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IdeaProjects\2ANO_1SEMESTRE\PROJ-INTEGRADOR\sem3pi2023_24_g073\docs\bddad\sprint3\inserts\"/>
    </mc:Choice>
  </mc:AlternateContent>
  <xr:revisionPtr revIDLastSave="0" documentId="8_{56DD364B-633D-4A9B-AC2D-AFD62248EF5A}" xr6:coauthVersionLast="47" xr6:coauthVersionMax="47" xr10:uidLastSave="{00000000-0000-0000-0000-000000000000}"/>
  <bookViews>
    <workbookView xWindow="-98" yWindow="-98" windowWidth="21795" windowHeight="12975" firstSheet="12" activeTab="12" xr2:uid="{ACBD79A1-D35B-4D3E-A78E-4F35CA726952}"/>
  </bookViews>
  <sheets>
    <sheet name="Plantas" sheetId="1" r:id="rId1"/>
    <sheet name="Fator Produção" sheetId="4" r:id="rId2"/>
    <sheet name="Exploração agrícola" sheetId="2" r:id="rId3"/>
    <sheet name="Table3" sheetId="7" state="hidden" r:id="rId4"/>
    <sheet name="Table5" sheetId="8" state="hidden" r:id="rId5"/>
    <sheet name="Table7" sheetId="9" state="hidden" r:id="rId6"/>
    <sheet name="Culturas" sheetId="5" r:id="rId7"/>
    <sheet name="Operações" sheetId="3" r:id="rId8"/>
    <sheet name="(S2) Plantas + Fatores" sheetId="10" r:id="rId9"/>
    <sheet name="(S2) Setores + Operações" sheetId="11" r:id="rId10"/>
    <sheet name="(S3) Fatores" sheetId="12" r:id="rId11"/>
    <sheet name="(S3) Receitas Fertirrega" sheetId="13" r:id="rId12"/>
    <sheet name="(S3) Regas + Fertirrega" sheetId="14" r:id="rId13"/>
    <sheet name="(S3) Operações" sheetId="15" r:id="rId14"/>
  </sheets>
  <definedNames>
    <definedName name="_xlnm._FilterDatabase" localSheetId="7" hidden="1">Operações!$B$1:$C$266</definedName>
    <definedName name="_xlnm._FilterDatabase" localSheetId="0" hidden="1">Plantas!$B$1:$B$96</definedName>
    <definedName name="ExternalData_1" localSheetId="3" hidden="1">Table3!$A$1:$A$28</definedName>
    <definedName name="ExternalData_1" localSheetId="4" hidden="1">Table5!$A$1:$A$28</definedName>
    <definedName name="ExternalData_1" localSheetId="5" hidden="1">Table7!$A$1:$A$28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4" i="15" l="1"/>
  <c r="AQ89" i="14"/>
  <c r="AQ88" i="14"/>
  <c r="AQ84" i="14"/>
  <c r="AQ83" i="14"/>
  <c r="AQ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58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AB65" i="14"/>
  <c r="AB66" i="14"/>
  <c r="AB67" i="14"/>
  <c r="AB68" i="14"/>
  <c r="AB69" i="14"/>
  <c r="AB70" i="14"/>
  <c r="G59" i="14"/>
  <c r="G60" i="14"/>
  <c r="G61" i="14"/>
  <c r="G62" i="14"/>
  <c r="G63" i="14"/>
  <c r="G64" i="14"/>
  <c r="G5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1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58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R26" i="15"/>
  <c r="AR21" i="15"/>
  <c r="AR22" i="15"/>
  <c r="AR23" i="15"/>
  <c r="AR24" i="15"/>
  <c r="AR25" i="15"/>
  <c r="AR20" i="15"/>
  <c r="AR18" i="15"/>
  <c r="AR19" i="15"/>
  <c r="BN29" i="15"/>
  <c r="BN30" i="15"/>
  <c r="BN31" i="15"/>
  <c r="BN32" i="15"/>
  <c r="BN33" i="15"/>
  <c r="BN34" i="15"/>
  <c r="BN28" i="15"/>
  <c r="K87" i="15"/>
  <c r="AX28" i="15"/>
  <c r="J79" i="15"/>
  <c r="AM77" i="15"/>
  <c r="AM76" i="15"/>
  <c r="AM75" i="15"/>
  <c r="AM74" i="15"/>
  <c r="G34" i="15"/>
  <c r="G28" i="15"/>
  <c r="Y28" i="15"/>
  <c r="AX29" i="15"/>
  <c r="AX30" i="15"/>
  <c r="AX31" i="15"/>
  <c r="AX32" i="15"/>
  <c r="AX33" i="15"/>
  <c r="AX34" i="15"/>
  <c r="Y29" i="15"/>
  <c r="Y30" i="15"/>
  <c r="Y31" i="15"/>
  <c r="Y32" i="15"/>
  <c r="Y33" i="15"/>
  <c r="Y34" i="15"/>
  <c r="J29" i="15"/>
  <c r="J30" i="15"/>
  <c r="J31" i="15"/>
  <c r="J32" i="15"/>
  <c r="J33" i="15"/>
  <c r="J34" i="15"/>
  <c r="S18" i="15"/>
  <c r="S19" i="15"/>
  <c r="S20" i="15"/>
  <c r="S21" i="15"/>
  <c r="S22" i="15"/>
  <c r="S23" i="15"/>
  <c r="S24" i="15"/>
  <c r="S25" i="15"/>
  <c r="S26" i="15"/>
  <c r="AI84" i="15"/>
  <c r="AI83" i="15"/>
  <c r="AY79" i="15"/>
  <c r="AY80" i="15"/>
  <c r="AY81" i="15"/>
  <c r="AY78" i="15"/>
  <c r="BA76" i="15"/>
  <c r="BA74" i="15"/>
  <c r="BA75" i="15"/>
  <c r="BA73" i="15"/>
  <c r="BL29" i="15"/>
  <c r="BL30" i="15"/>
  <c r="BL31" i="15"/>
  <c r="BL32" i="15"/>
  <c r="BL33" i="15"/>
  <c r="BL34" i="15"/>
  <c r="BL28" i="15"/>
  <c r="BF26" i="15"/>
  <c r="BF17" i="15"/>
  <c r="BF18" i="15"/>
  <c r="BF19" i="15"/>
  <c r="BF20" i="15"/>
  <c r="BF21" i="15"/>
  <c r="BF22" i="15"/>
  <c r="BF23" i="15"/>
  <c r="BF24" i="15"/>
  <c r="BF25" i="15"/>
  <c r="B110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9" i="15"/>
  <c r="J130" i="15"/>
  <c r="J128" i="15"/>
  <c r="I128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9" i="15"/>
  <c r="I130" i="15"/>
  <c r="I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H84" i="15"/>
  <c r="H85" i="15"/>
  <c r="AB85" i="15"/>
  <c r="I81" i="15"/>
  <c r="AK82" i="15" s="1"/>
  <c r="I79" i="15"/>
  <c r="I80" i="15"/>
  <c r="I78" i="15"/>
  <c r="AK79" i="15" s="1"/>
  <c r="K74" i="15"/>
  <c r="L75" i="15" s="1"/>
  <c r="K75" i="15"/>
  <c r="L76" i="15" s="1"/>
  <c r="K76" i="15"/>
  <c r="L77" i="15" s="1"/>
  <c r="K73" i="15"/>
  <c r="L74" i="15" s="1"/>
  <c r="J18" i="15"/>
  <c r="J19" i="15"/>
  <c r="J20" i="15"/>
  <c r="J21" i="15"/>
  <c r="J22" i="15"/>
  <c r="J23" i="15"/>
  <c r="J24" i="15"/>
  <c r="J25" i="15"/>
  <c r="J26" i="15"/>
  <c r="CW46" i="15"/>
  <c r="CW47" i="15"/>
  <c r="CW48" i="15"/>
  <c r="CW49" i="15"/>
  <c r="CW50" i="15"/>
  <c r="CW51" i="15"/>
  <c r="CW52" i="15"/>
  <c r="CW53" i="15"/>
  <c r="CW54" i="15"/>
  <c r="CW55" i="15"/>
  <c r="CW56" i="15"/>
  <c r="CW57" i="15"/>
  <c r="CW58" i="15"/>
  <c r="CW59" i="15"/>
  <c r="CW60" i="15"/>
  <c r="CW61" i="15"/>
  <c r="CW62" i="15"/>
  <c r="CW63" i="15"/>
  <c r="CW64" i="15"/>
  <c r="CW65" i="15"/>
  <c r="CW66" i="15"/>
  <c r="CW67" i="15"/>
  <c r="CW68" i="15"/>
  <c r="CW69" i="15"/>
  <c r="CW70" i="15"/>
  <c r="CW71" i="15"/>
  <c r="CW72" i="15"/>
  <c r="CW73" i="15"/>
  <c r="CW74" i="15"/>
  <c r="CW75" i="15"/>
  <c r="CW76" i="15"/>
  <c r="CW77" i="15"/>
  <c r="CW78" i="15"/>
  <c r="CW79" i="15"/>
  <c r="CW80" i="15"/>
  <c r="CW81" i="15"/>
  <c r="CW82" i="15"/>
  <c r="CW83" i="15"/>
  <c r="CW84" i="15"/>
  <c r="CW85" i="15"/>
  <c r="CW86" i="15"/>
  <c r="CW87" i="15"/>
  <c r="CW88" i="15"/>
  <c r="CW89" i="15"/>
  <c r="CW90" i="15"/>
  <c r="CW91" i="15"/>
  <c r="CW92" i="15"/>
  <c r="CW93" i="15"/>
  <c r="CW94" i="15"/>
  <c r="CW95" i="15"/>
  <c r="CW96" i="15"/>
  <c r="CW97" i="15"/>
  <c r="CW98" i="15"/>
  <c r="CW99" i="15"/>
  <c r="CW100" i="15"/>
  <c r="CW101" i="15"/>
  <c r="CW102" i="15"/>
  <c r="CW103" i="15"/>
  <c r="CW104" i="15"/>
  <c r="CW105" i="15"/>
  <c r="CW106" i="15"/>
  <c r="CW107" i="15"/>
  <c r="CW108" i="15"/>
  <c r="CW109" i="15"/>
  <c r="CW110" i="15"/>
  <c r="CW111" i="15"/>
  <c r="CW112" i="15"/>
  <c r="CW113" i="15"/>
  <c r="CW114" i="15"/>
  <c r="CW115" i="15"/>
  <c r="CW116" i="15"/>
  <c r="CW117" i="15"/>
  <c r="CW118" i="15"/>
  <c r="CW119" i="15"/>
  <c r="CW120" i="15"/>
  <c r="CW121" i="15"/>
  <c r="CW122" i="15"/>
  <c r="G73" i="14"/>
  <c r="I74" i="14" s="1"/>
  <c r="G74" i="14"/>
  <c r="I75" i="14" s="1"/>
  <c r="G75" i="14"/>
  <c r="I76" i="14" s="1"/>
  <c r="G76" i="14"/>
  <c r="I77" i="14" s="1"/>
  <c r="G77" i="14"/>
  <c r="I78" i="14" s="1"/>
  <c r="G78" i="14"/>
  <c r="I79" i="14" s="1"/>
  <c r="G79" i="14"/>
  <c r="I80" i="14" s="1"/>
  <c r="G80" i="14"/>
  <c r="I81" i="14" s="1"/>
  <c r="G81" i="14"/>
  <c r="I82" i="14" s="1"/>
  <c r="G82" i="14"/>
  <c r="I83" i="14" s="1"/>
  <c r="G83" i="14"/>
  <c r="I84" i="14" s="1"/>
  <c r="G84" i="14"/>
  <c r="I85" i="14" s="1"/>
  <c r="G85" i="14"/>
  <c r="I86" i="14" s="1"/>
  <c r="G86" i="14"/>
  <c r="I87" i="14" s="1"/>
  <c r="G87" i="14"/>
  <c r="I88" i="14" s="1"/>
  <c r="G88" i="14"/>
  <c r="I89" i="14" s="1"/>
  <c r="G89" i="14"/>
  <c r="I90" i="14" s="1"/>
  <c r="G90" i="14"/>
  <c r="I91" i="14" s="1"/>
  <c r="G91" i="14"/>
  <c r="I92" i="14" s="1"/>
  <c r="G92" i="14"/>
  <c r="I93" i="14" s="1"/>
  <c r="G93" i="14"/>
  <c r="I94" i="14" s="1"/>
  <c r="G94" i="14"/>
  <c r="I95" i="14" s="1"/>
  <c r="G95" i="14"/>
  <c r="I96" i="14" s="1"/>
  <c r="G96" i="14"/>
  <c r="I97" i="14" s="1"/>
  <c r="G97" i="14"/>
  <c r="I98" i="14" s="1"/>
  <c r="G98" i="14"/>
  <c r="I99" i="14" s="1"/>
  <c r="G99" i="14"/>
  <c r="I100" i="14" s="1"/>
  <c r="G100" i="14"/>
  <c r="I101" i="14" s="1"/>
  <c r="G101" i="14"/>
  <c r="I102" i="14" s="1"/>
  <c r="G102" i="14"/>
  <c r="I103" i="14" s="1"/>
  <c r="G103" i="14"/>
  <c r="I104" i="14" s="1"/>
  <c r="G104" i="14"/>
  <c r="I105" i="14" s="1"/>
  <c r="G105" i="14"/>
  <c r="I106" i="14" s="1"/>
  <c r="G106" i="14"/>
  <c r="I107" i="14" s="1"/>
  <c r="G107" i="14"/>
  <c r="I108" i="14" s="1"/>
  <c r="G108" i="14"/>
  <c r="I109" i="14" s="1"/>
  <c r="G109" i="14"/>
  <c r="I110" i="14" s="1"/>
  <c r="G110" i="14"/>
  <c r="I111" i="14" s="1"/>
  <c r="G111" i="14"/>
  <c r="I112" i="14" s="1"/>
  <c r="G112" i="14"/>
  <c r="I113" i="14" s="1"/>
  <c r="G113" i="14"/>
  <c r="I114" i="14" s="1"/>
  <c r="G114" i="14"/>
  <c r="I115" i="14" s="1"/>
  <c r="G115" i="14"/>
  <c r="I116" i="14" s="1"/>
  <c r="G116" i="14"/>
  <c r="I117" i="14" s="1"/>
  <c r="G117" i="14"/>
  <c r="I118" i="14" s="1"/>
  <c r="G118" i="14"/>
  <c r="I119" i="14" s="1"/>
  <c r="G119" i="14"/>
  <c r="I120" i="14" s="1"/>
  <c r="G120" i="14"/>
  <c r="I121" i="14" s="1"/>
  <c r="G121" i="14"/>
  <c r="I122" i="14" s="1"/>
  <c r="G122" i="14"/>
  <c r="I123" i="14" s="1"/>
  <c r="G123" i="14"/>
  <c r="I124" i="14" s="1"/>
  <c r="G124" i="14"/>
  <c r="I125" i="14" s="1"/>
  <c r="G125" i="14"/>
  <c r="I126" i="14" s="1"/>
  <c r="G126" i="14"/>
  <c r="I127" i="14" s="1"/>
  <c r="G127" i="14"/>
  <c r="I128" i="14" s="1"/>
  <c r="G128" i="14"/>
  <c r="I129" i="14" s="1"/>
  <c r="G129" i="14"/>
  <c r="I130" i="14" s="1"/>
  <c r="G130" i="14"/>
  <c r="I131" i="14" s="1"/>
  <c r="G131" i="14"/>
  <c r="I132" i="14" s="1"/>
  <c r="G132" i="14"/>
  <c r="I133" i="14" s="1"/>
  <c r="G72" i="14"/>
  <c r="I73" i="14" s="1"/>
  <c r="A11" i="11"/>
  <c r="G29" i="15"/>
  <c r="G30" i="15"/>
  <c r="G31" i="15"/>
  <c r="G32" i="15"/>
  <c r="G33" i="15"/>
  <c r="G26" i="15"/>
  <c r="G17" i="15"/>
  <c r="G18" i="15"/>
  <c r="G19" i="15"/>
  <c r="G20" i="15"/>
  <c r="G21" i="15"/>
  <c r="G22" i="15"/>
  <c r="G23" i="15"/>
  <c r="G24" i="15"/>
  <c r="G25" i="15"/>
  <c r="A21" i="13"/>
  <c r="A20" i="13"/>
  <c r="E3" i="13"/>
  <c r="E4" i="13"/>
  <c r="E5" i="13"/>
  <c r="E6" i="13"/>
  <c r="E2" i="13"/>
  <c r="A31" i="13"/>
  <c r="A33" i="13"/>
  <c r="A34" i="13"/>
  <c r="A35" i="13"/>
  <c r="A32" i="13"/>
  <c r="A18" i="12"/>
  <c r="A28" i="12"/>
  <c r="A101" i="12"/>
  <c r="A100" i="12"/>
  <c r="A99" i="12"/>
  <c r="A98" i="12"/>
  <c r="A97" i="12"/>
  <c r="A92" i="12"/>
  <c r="A91" i="12"/>
  <c r="A90" i="12"/>
  <c r="A89" i="12"/>
  <c r="A88" i="12"/>
  <c r="A87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3" i="12"/>
  <c r="A62" i="12"/>
  <c r="A61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27" i="12"/>
  <c r="A26" i="12"/>
  <c r="A25" i="12"/>
  <c r="A24" i="12"/>
  <c r="A23" i="12"/>
  <c r="A22" i="12"/>
  <c r="A21" i="12"/>
  <c r="A20" i="12"/>
  <c r="A19" i="12"/>
  <c r="B28" i="10"/>
  <c r="B29" i="10"/>
  <c r="B17" i="10"/>
  <c r="A30" i="2"/>
  <c r="A31" i="2"/>
  <c r="A32" i="2"/>
  <c r="A33" i="2"/>
  <c r="A34" i="2"/>
  <c r="A35" i="2"/>
  <c r="A29" i="2"/>
  <c r="BJ168" i="11"/>
  <c r="BJ169" i="11"/>
  <c r="BJ170" i="11"/>
  <c r="BJ171" i="11"/>
  <c r="BJ172" i="11"/>
  <c r="BJ173" i="11"/>
  <c r="BJ167" i="11"/>
  <c r="BJ221" i="11"/>
  <c r="BJ222" i="11"/>
  <c r="BJ223" i="11"/>
  <c r="BJ220" i="11"/>
  <c r="R2" i="3"/>
  <c r="L166" i="11"/>
  <c r="B9" i="10"/>
  <c r="A293" i="1"/>
  <c r="A292" i="1"/>
  <c r="A222" i="1"/>
  <c r="A221" i="1"/>
  <c r="A151" i="1"/>
  <c r="A152" i="1"/>
  <c r="A150" i="1"/>
  <c r="A101" i="1"/>
  <c r="A102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248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177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06" i="1"/>
  <c r="A103" i="1"/>
  <c r="A104" i="1"/>
  <c r="B12" i="10"/>
  <c r="B11" i="10"/>
  <c r="H4" i="10"/>
  <c r="H5" i="10"/>
  <c r="E284" i="3"/>
  <c r="D284" i="3"/>
  <c r="A87" i="4"/>
  <c r="K117" i="1"/>
  <c r="K116" i="1"/>
  <c r="K115" i="1"/>
  <c r="K123" i="1"/>
  <c r="K124" i="1"/>
  <c r="K125" i="1"/>
  <c r="K126" i="1"/>
  <c r="K129" i="1"/>
  <c r="K130" i="1"/>
  <c r="K131" i="1"/>
  <c r="K132" i="1"/>
  <c r="K133" i="1"/>
  <c r="K134" i="1"/>
  <c r="K135" i="1"/>
  <c r="K128" i="1"/>
  <c r="K121" i="1"/>
  <c r="K120" i="1"/>
  <c r="K119" i="1"/>
  <c r="L106" i="1"/>
  <c r="L107" i="1"/>
  <c r="L108" i="1"/>
  <c r="L109" i="1"/>
  <c r="L101" i="1"/>
  <c r="L102" i="1"/>
  <c r="A55" i="11"/>
  <c r="A43" i="11"/>
  <c r="A47" i="11"/>
  <c r="A48" i="11"/>
  <c r="A49" i="11"/>
  <c r="A50" i="11"/>
  <c r="A51" i="11"/>
  <c r="A52" i="11"/>
  <c r="A53" i="11"/>
  <c r="A54" i="11"/>
  <c r="I25" i="11"/>
  <c r="I26" i="11"/>
  <c r="I27" i="11"/>
  <c r="I24" i="11"/>
  <c r="K35" i="11"/>
  <c r="K36" i="11"/>
  <c r="K34" i="11"/>
  <c r="B65" i="5"/>
  <c r="E317" i="3"/>
  <c r="E314" i="3"/>
  <c r="K4" i="3"/>
  <c r="I156" i="11" s="1" a="1"/>
  <c r="I156" i="11" s="1"/>
  <c r="K150" i="3"/>
  <c r="K105" i="3"/>
  <c r="K97" i="3"/>
  <c r="K81" i="3"/>
  <c r="K73" i="3"/>
  <c r="K74" i="3"/>
  <c r="K44" i="3"/>
  <c r="K45" i="3"/>
  <c r="K37" i="3"/>
  <c r="K225" i="3"/>
  <c r="K226" i="3"/>
  <c r="K212" i="3"/>
  <c r="K213" i="3"/>
  <c r="K214" i="3"/>
  <c r="K208" i="3"/>
  <c r="K209" i="3"/>
  <c r="K202" i="3"/>
  <c r="K203" i="3"/>
  <c r="K151" i="3"/>
  <c r="K156" i="3"/>
  <c r="K157" i="3"/>
  <c r="K158" i="3"/>
  <c r="K147" i="3"/>
  <c r="K146" i="3"/>
  <c r="K145" i="3"/>
  <c r="K136" i="3"/>
  <c r="K137" i="3"/>
  <c r="K79" i="3"/>
  <c r="K78" i="3"/>
  <c r="K77" i="3"/>
  <c r="K71" i="3"/>
  <c r="K70" i="3"/>
  <c r="K69" i="3"/>
  <c r="K59" i="3"/>
  <c r="K65" i="3"/>
  <c r="K36" i="3"/>
  <c r="K35" i="3"/>
  <c r="K34" i="3"/>
  <c r="K117" i="3"/>
  <c r="K166" i="3"/>
  <c r="K170" i="3"/>
  <c r="K185" i="3"/>
  <c r="K237" i="3"/>
  <c r="K241" i="3"/>
  <c r="K254" i="3"/>
  <c r="K41" i="3"/>
  <c r="K42" i="3"/>
  <c r="K43" i="3"/>
  <c r="K46" i="3"/>
  <c r="K47" i="3"/>
  <c r="K48" i="3"/>
  <c r="K49" i="3"/>
  <c r="K50" i="3"/>
  <c r="K51" i="3"/>
  <c r="K10" i="3"/>
  <c r="K11" i="3"/>
  <c r="K14" i="3"/>
  <c r="K15" i="3"/>
  <c r="K16" i="3"/>
  <c r="K17" i="3"/>
  <c r="K18" i="3"/>
  <c r="K19" i="3"/>
  <c r="K9" i="3"/>
  <c r="K5" i="3"/>
  <c r="I158" i="11" s="1" a="1"/>
  <c r="I158" i="11" s="1"/>
  <c r="K6" i="3"/>
  <c r="I155" i="11" s="1" a="1"/>
  <c r="I155" i="11" s="1"/>
  <c r="K24" i="3"/>
  <c r="K25" i="3"/>
  <c r="K26" i="3"/>
  <c r="K27" i="3"/>
  <c r="K28" i="3"/>
  <c r="K29" i="3"/>
  <c r="K30" i="3"/>
  <c r="K31" i="3"/>
  <c r="K38" i="3"/>
  <c r="K55" i="3"/>
  <c r="K56" i="3"/>
  <c r="K57" i="3"/>
  <c r="K58" i="3"/>
  <c r="K61" i="3"/>
  <c r="K62" i="3"/>
  <c r="K63" i="3"/>
  <c r="K64" i="3"/>
  <c r="K82" i="3"/>
  <c r="K85" i="3"/>
  <c r="K86" i="3"/>
  <c r="K87" i="3"/>
  <c r="K88" i="3"/>
  <c r="K98" i="3"/>
  <c r="K106" i="3"/>
  <c r="K119" i="3"/>
  <c r="K122" i="3"/>
  <c r="K123" i="3"/>
  <c r="K124" i="3"/>
  <c r="K126" i="3"/>
  <c r="K128" i="3"/>
  <c r="K129" i="3"/>
  <c r="K135" i="3"/>
  <c r="K153" i="3"/>
  <c r="K154" i="3"/>
  <c r="K173" i="3"/>
  <c r="K175" i="3"/>
  <c r="K178" i="3"/>
  <c r="K179" i="3"/>
  <c r="K187" i="3"/>
  <c r="K188" i="3"/>
  <c r="K189" i="3"/>
  <c r="K191" i="3"/>
  <c r="K193" i="3"/>
  <c r="K194" i="3"/>
  <c r="K201" i="3"/>
  <c r="K207" i="3"/>
  <c r="K218" i="3"/>
  <c r="K221" i="3"/>
  <c r="K222" i="3"/>
  <c r="K224" i="3"/>
  <c r="K232" i="3"/>
  <c r="K233" i="3"/>
  <c r="K243" i="3"/>
  <c r="K244" i="3"/>
  <c r="K247" i="3"/>
  <c r="K248" i="3"/>
  <c r="K256" i="3"/>
  <c r="K259" i="3"/>
  <c r="K261" i="3"/>
  <c r="K262" i="3"/>
  <c r="K264" i="3"/>
  <c r="K265" i="3"/>
  <c r="J47" i="1"/>
  <c r="J46" i="1"/>
  <c r="N143" i="11"/>
  <c r="N144" i="11"/>
  <c r="N142" i="11"/>
  <c r="B45" i="10"/>
  <c r="B40" i="10"/>
  <c r="B41" i="10"/>
  <c r="B42" i="10"/>
  <c r="B43" i="10"/>
  <c r="B44" i="10"/>
  <c r="B39" i="10"/>
  <c r="B38" i="10"/>
  <c r="B33" i="10"/>
  <c r="B34" i="10"/>
  <c r="B35" i="10"/>
  <c r="B36" i="10"/>
  <c r="B37" i="10"/>
  <c r="B32" i="10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63" i="11"/>
  <c r="L169" i="11"/>
  <c r="M169" i="11"/>
  <c r="O169" i="11"/>
  <c r="L170" i="11"/>
  <c r="M170" i="11"/>
  <c r="O170" i="11"/>
  <c r="L171" i="11"/>
  <c r="M171" i="11"/>
  <c r="O171" i="11"/>
  <c r="L172" i="11"/>
  <c r="M172" i="11"/>
  <c r="O172" i="11"/>
  <c r="O173" i="11" s="1"/>
  <c r="L173" i="11"/>
  <c r="M173" i="11"/>
  <c r="L168" i="11"/>
  <c r="M168" i="11"/>
  <c r="O168" i="11"/>
  <c r="O167" i="11"/>
  <c r="M167" i="11"/>
  <c r="L167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O149" i="11"/>
  <c r="O150" i="11" s="1"/>
  <c r="I212" i="11" a="1"/>
  <c r="I212" i="11" s="1"/>
  <c r="A62" i="11"/>
  <c r="A61" i="11"/>
  <c r="A60" i="11"/>
  <c r="H229" i="11" a="1"/>
  <c r="H229" i="11" s="1"/>
  <c r="H230" i="11" a="1"/>
  <c r="H230" i="11" s="1"/>
  <c r="H231" i="11" a="1"/>
  <c r="H231" i="11" s="1"/>
  <c r="H228" i="11" a="1"/>
  <c r="H228" i="11" s="1"/>
  <c r="I199" i="11" a="1"/>
  <c r="I199" i="11" s="1"/>
  <c r="I209" i="11" a="1"/>
  <c r="I209" i="11" s="1"/>
  <c r="I180" i="11" a="1"/>
  <c r="I180" i="11" s="1"/>
  <c r="I181" i="11" a="1"/>
  <c r="I181" i="11" s="1"/>
  <c r="I182" i="11" a="1"/>
  <c r="I182" i="11" s="1"/>
  <c r="I183" i="11" a="1"/>
  <c r="I183" i="11" s="1"/>
  <c r="I184" i="11" a="1"/>
  <c r="I184" i="11" s="1"/>
  <c r="I185" i="11" a="1"/>
  <c r="I185" i="11" s="1"/>
  <c r="I186" i="11" a="1"/>
  <c r="I186" i="11" s="1"/>
  <c r="I187" i="11" a="1"/>
  <c r="I187" i="11" s="1"/>
  <c r="I188" i="11" a="1"/>
  <c r="I188" i="11" s="1"/>
  <c r="I189" i="11" a="1"/>
  <c r="I189" i="11" s="1"/>
  <c r="I190" i="11" a="1"/>
  <c r="I190" i="11" s="1"/>
  <c r="I191" i="11" a="1"/>
  <c r="I191" i="11" s="1"/>
  <c r="I192" i="11" a="1"/>
  <c r="I192" i="11" s="1"/>
  <c r="I193" i="11" a="1"/>
  <c r="I193" i="11" s="1"/>
  <c r="I194" i="11" a="1"/>
  <c r="I194" i="11" s="1"/>
  <c r="I195" i="11" a="1"/>
  <c r="I195" i="11" s="1"/>
  <c r="I196" i="11" a="1"/>
  <c r="I196" i="11" s="1"/>
  <c r="I197" i="11" a="1"/>
  <c r="I197" i="11" s="1"/>
  <c r="I198" i="11" a="1"/>
  <c r="I198" i="11" s="1"/>
  <c r="I200" i="11" a="1"/>
  <c r="I200" i="11" s="1"/>
  <c r="I201" i="11" a="1"/>
  <c r="I201" i="11" s="1"/>
  <c r="I202" i="11" a="1"/>
  <c r="I202" i="11" s="1"/>
  <c r="I203" i="11" a="1"/>
  <c r="I203" i="11" s="1"/>
  <c r="I135" i="11" a="1"/>
  <c r="I135" i="11" s="1"/>
  <c r="I146" i="11" a="1"/>
  <c r="I146" i="11" s="1"/>
  <c r="I147" i="11" a="1"/>
  <c r="I147" i="11" s="1"/>
  <c r="I148" i="11" a="1"/>
  <c r="I148" i="11" s="1"/>
  <c r="I149" i="11" a="1"/>
  <c r="I149" i="11" s="1"/>
  <c r="I150" i="11" a="1"/>
  <c r="I150" i="11" s="1"/>
  <c r="I151" i="11" a="1"/>
  <c r="I151" i="11" s="1"/>
  <c r="I152" i="11" a="1"/>
  <c r="I152" i="11" s="1"/>
  <c r="I153" i="11" a="1"/>
  <c r="I153" i="11" s="1"/>
  <c r="I145" i="11" a="1"/>
  <c r="I145" i="11" s="1"/>
  <c r="I136" i="11" a="1"/>
  <c r="I136" i="11" s="1"/>
  <c r="I137" i="11" a="1"/>
  <c r="I137" i="11" s="1"/>
  <c r="I138" i="11" a="1"/>
  <c r="I138" i="11" s="1"/>
  <c r="I139" i="11" a="1"/>
  <c r="I139" i="11" s="1"/>
  <c r="I140" i="11" a="1"/>
  <c r="I140" i="11" s="1"/>
  <c r="I141" i="11" a="1"/>
  <c r="I141" i="11" s="1"/>
  <c r="I142" i="11" a="1"/>
  <c r="I142" i="11" s="1"/>
  <c r="J223" i="11"/>
  <c r="J222" i="11"/>
  <c r="J221" i="11"/>
  <c r="J220" i="11"/>
  <c r="H168" i="11"/>
  <c r="H169" i="11"/>
  <c r="H170" i="11"/>
  <c r="H171" i="11"/>
  <c r="H172" i="11"/>
  <c r="H173" i="11"/>
  <c r="H167" i="11"/>
  <c r="K2" i="3"/>
  <c r="I208" i="11" s="1" a="1"/>
  <c r="I208" i="11" s="1"/>
  <c r="G6" i="11"/>
  <c r="B287" i="3"/>
  <c r="D52" i="5"/>
  <c r="G5" i="11"/>
  <c r="A12" i="11"/>
  <c r="A13" i="11"/>
  <c r="A14" i="11"/>
  <c r="A15" i="11"/>
  <c r="A16" i="11"/>
  <c r="B49" i="10"/>
  <c r="B50" i="10"/>
  <c r="B51" i="10"/>
  <c r="B52" i="10"/>
  <c r="B48" i="10"/>
  <c r="F313" i="3"/>
  <c r="F314" i="3"/>
  <c r="E313" i="3"/>
  <c r="A18" i="4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2" i="1"/>
  <c r="A21" i="2"/>
  <c r="A22" i="2"/>
  <c r="A23" i="2"/>
  <c r="A24" i="2"/>
  <c r="A25" i="2"/>
  <c r="A20" i="2"/>
  <c r="B58" i="5"/>
  <c r="A101" i="4"/>
  <c r="A100" i="4"/>
  <c r="L4" i="2"/>
  <c r="L14" i="2"/>
  <c r="L15" i="2"/>
  <c r="L8" i="2"/>
  <c r="E29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" i="3"/>
  <c r="I3" i="5"/>
  <c r="I2" i="5"/>
  <c r="B270" i="3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5" i="3"/>
  <c r="E285" i="3"/>
  <c r="D286" i="3"/>
  <c r="E286" i="3"/>
  <c r="H18" i="14" l="1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AB58" i="14"/>
  <c r="AB64" i="14"/>
  <c r="AB63" i="14"/>
  <c r="AB62" i="14"/>
  <c r="AB61" i="14"/>
  <c r="AB60" i="14"/>
  <c r="AB59" i="14"/>
  <c r="AK81" i="15"/>
  <c r="J81" i="15"/>
  <c r="AK80" i="15"/>
  <c r="J80" i="15"/>
  <c r="AR17" i="15"/>
  <c r="S17" i="15"/>
  <c r="J17" i="15"/>
  <c r="AQ66" i="14"/>
  <c r="AQ62" i="14"/>
  <c r="AQ78" i="14"/>
  <c r="AQ79" i="14"/>
  <c r="AQ77" i="14"/>
  <c r="AQ75" i="14"/>
  <c r="AQ73" i="14"/>
  <c r="AQ76" i="14"/>
  <c r="AQ74" i="14"/>
  <c r="AQ72" i="14"/>
  <c r="AQ71" i="14"/>
  <c r="AQ70" i="14"/>
  <c r="AQ69" i="14"/>
  <c r="AQ61" i="14"/>
  <c r="AQ65" i="14"/>
  <c r="AQ68" i="14"/>
  <c r="AQ60" i="14"/>
  <c r="AQ64" i="14"/>
  <c r="AQ67" i="14"/>
  <c r="AQ59" i="14"/>
  <c r="AQ63" i="14"/>
  <c r="J28" i="15"/>
  <c r="D317" i="3"/>
  <c r="F317" i="3" s="1"/>
  <c r="I159" i="11" a="1"/>
  <c r="I159" i="11" s="1"/>
  <c r="I157" i="11" a="1"/>
  <c r="I157" i="11" s="1"/>
  <c r="I144" i="11" a="1"/>
  <c r="I144" i="11" s="1"/>
  <c r="J21" i="11" s="1"/>
  <c r="A41" i="11" s="1"/>
  <c r="I154" i="11" a="1"/>
  <c r="I154" i="11" s="1"/>
  <c r="J26" i="11" s="1"/>
  <c r="A46" i="11" s="1"/>
  <c r="I205" i="11" a="1"/>
  <c r="I205" i="11" s="1"/>
  <c r="J24" i="11"/>
  <c r="A44" i="11" s="1"/>
  <c r="J25" i="11"/>
  <c r="A45" i="11" s="1"/>
  <c r="I211" i="11" a="1"/>
  <c r="I211" i="11" s="1"/>
  <c r="O151" i="11"/>
  <c r="E296" i="3"/>
  <c r="E297" i="3" s="1"/>
  <c r="B59" i="5"/>
  <c r="D300" i="3"/>
  <c r="D297" i="3"/>
  <c r="D298" i="3"/>
  <c r="D299" i="3"/>
  <c r="D295" i="3"/>
  <c r="F295" i="3" s="1"/>
  <c r="D296" i="3"/>
  <c r="D294" i="3"/>
  <c r="F294" i="3" s="1"/>
  <c r="J150" i="3"/>
  <c r="J151" i="3"/>
  <c r="J105" i="3"/>
  <c r="J106" i="3"/>
  <c r="J97" i="3"/>
  <c r="J98" i="3"/>
  <c r="J81" i="3"/>
  <c r="J82" i="3"/>
  <c r="J73" i="3"/>
  <c r="J74" i="3"/>
  <c r="J75" i="3"/>
  <c r="J37" i="3"/>
  <c r="J38" i="3"/>
  <c r="J44" i="3"/>
  <c r="J45" i="3"/>
  <c r="K240" i="3"/>
  <c r="K239" i="3"/>
  <c r="K235" i="3"/>
  <c r="K228" i="3"/>
  <c r="K220" i="3"/>
  <c r="K211" i="3"/>
  <c r="K205" i="3"/>
  <c r="K200" i="3"/>
  <c r="K192" i="3"/>
  <c r="K190" i="3"/>
  <c r="K182" i="3"/>
  <c r="K266" i="3"/>
  <c r="K236" i="3"/>
  <c r="K229" i="3"/>
  <c r="K223" i="3"/>
  <c r="K219" i="3"/>
  <c r="K196" i="3"/>
  <c r="K168" i="3"/>
  <c r="K161" i="3"/>
  <c r="K155" i="3"/>
  <c r="K152" i="3"/>
  <c r="K234" i="3"/>
  <c r="K197" i="3"/>
  <c r="K206" i="3"/>
  <c r="K195" i="3"/>
  <c r="K174" i="3"/>
  <c r="K263" i="3"/>
  <c r="K260" i="3"/>
  <c r="K253" i="3"/>
  <c r="K245" i="3"/>
  <c r="K172" i="3"/>
  <c r="K169" i="3"/>
  <c r="K165" i="3"/>
  <c r="K160" i="3"/>
  <c r="K149" i="3"/>
  <c r="K142" i="3"/>
  <c r="K141" i="3"/>
  <c r="K140" i="3"/>
  <c r="K139" i="3"/>
  <c r="K130" i="3"/>
  <c r="K127" i="3"/>
  <c r="K125" i="3"/>
  <c r="K116" i="3"/>
  <c r="K111" i="3"/>
  <c r="K110" i="3"/>
  <c r="K109" i="3"/>
  <c r="K107" i="3"/>
  <c r="K100" i="3"/>
  <c r="K94" i="3"/>
  <c r="K93" i="3"/>
  <c r="K92" i="3"/>
  <c r="K89" i="3"/>
  <c r="K258" i="3"/>
  <c r="K257" i="3"/>
  <c r="K252" i="3"/>
  <c r="K251" i="3"/>
  <c r="K250" i="3"/>
  <c r="K249" i="3"/>
  <c r="K231" i="3"/>
  <c r="K230" i="3"/>
  <c r="K217" i="3"/>
  <c r="K216" i="3"/>
  <c r="K184" i="3"/>
  <c r="K183" i="3"/>
  <c r="K181" i="3"/>
  <c r="K180" i="3"/>
  <c r="K163" i="3"/>
  <c r="K162" i="3"/>
  <c r="K144" i="3"/>
  <c r="K143" i="3"/>
  <c r="K121" i="3"/>
  <c r="K120" i="3"/>
  <c r="K115" i="3"/>
  <c r="K114" i="3"/>
  <c r="K103" i="3"/>
  <c r="K102" i="3"/>
  <c r="K96" i="3"/>
  <c r="K95" i="3"/>
  <c r="K84" i="3"/>
  <c r="K83" i="3"/>
  <c r="K76" i="3"/>
  <c r="K75" i="3"/>
  <c r="K68" i="3"/>
  <c r="K67" i="3"/>
  <c r="K53" i="3"/>
  <c r="K52" i="3"/>
  <c r="K40" i="3"/>
  <c r="K39" i="3"/>
  <c r="K33" i="3"/>
  <c r="K32" i="3"/>
  <c r="K23" i="3"/>
  <c r="K22" i="3"/>
  <c r="K21" i="3"/>
  <c r="K20" i="3"/>
  <c r="K13" i="3"/>
  <c r="K12" i="3"/>
  <c r="K8" i="3"/>
  <c r="K7" i="3"/>
  <c r="K3" i="3"/>
  <c r="K199" i="3"/>
  <c r="K176" i="3"/>
  <c r="K164" i="3"/>
  <c r="K134" i="3"/>
  <c r="K132" i="3"/>
  <c r="K112" i="3"/>
  <c r="J266" i="3"/>
  <c r="J246" i="3"/>
  <c r="K246" i="3"/>
  <c r="J236" i="3"/>
  <c r="J229" i="3"/>
  <c r="K177" i="3"/>
  <c r="K133" i="3"/>
  <c r="K198" i="3"/>
  <c r="K131" i="3"/>
  <c r="K113" i="3"/>
  <c r="K108" i="3"/>
  <c r="K104" i="3"/>
  <c r="K101" i="3"/>
  <c r="K99" i="3"/>
  <c r="K91" i="3"/>
  <c r="K90" i="3"/>
  <c r="J225" i="3"/>
  <c r="J226" i="3"/>
  <c r="J227" i="3"/>
  <c r="J212" i="3"/>
  <c r="J213" i="3"/>
  <c r="J214" i="3"/>
  <c r="J208" i="3"/>
  <c r="J209" i="3"/>
  <c r="J210" i="3"/>
  <c r="J202" i="3"/>
  <c r="J203" i="3"/>
  <c r="J204" i="3"/>
  <c r="J156" i="3"/>
  <c r="J157" i="3"/>
  <c r="J158" i="3"/>
  <c r="J148" i="3"/>
  <c r="J147" i="3"/>
  <c r="J146" i="3"/>
  <c r="J145" i="3"/>
  <c r="J136" i="3"/>
  <c r="J137" i="3"/>
  <c r="J138" i="3"/>
  <c r="J80" i="3"/>
  <c r="J79" i="3"/>
  <c r="H79" i="3"/>
  <c r="J78" i="3"/>
  <c r="H78" i="3"/>
  <c r="J77" i="3"/>
  <c r="H77" i="3"/>
  <c r="J72" i="3"/>
  <c r="J71" i="3"/>
  <c r="H71" i="3"/>
  <c r="J70" i="3"/>
  <c r="H70" i="3"/>
  <c r="J69" i="3"/>
  <c r="H69" i="3"/>
  <c r="J59" i="3"/>
  <c r="J65" i="3"/>
  <c r="R280" i="3"/>
  <c r="R279" i="3"/>
  <c r="R278" i="3"/>
  <c r="R277" i="3"/>
  <c r="R276" i="3"/>
  <c r="R275" i="3"/>
  <c r="R274" i="3"/>
  <c r="R273" i="3"/>
  <c r="J36" i="3"/>
  <c r="H36" i="3"/>
  <c r="J35" i="3"/>
  <c r="H35" i="3"/>
  <c r="J34" i="3"/>
  <c r="H34" i="3"/>
  <c r="J117" i="3"/>
  <c r="J166" i="3"/>
  <c r="J170" i="3"/>
  <c r="J171" i="3"/>
  <c r="J185" i="3"/>
  <c r="J237" i="3"/>
  <c r="J241" i="3"/>
  <c r="J254" i="3"/>
  <c r="J41" i="3"/>
  <c r="J42" i="3"/>
  <c r="J43" i="3"/>
  <c r="J46" i="3"/>
  <c r="J47" i="3"/>
  <c r="J48" i="3"/>
  <c r="J49" i="3"/>
  <c r="J50" i="3"/>
  <c r="J51" i="3"/>
  <c r="J19" i="3"/>
  <c r="J10" i="3"/>
  <c r="J11" i="3"/>
  <c r="J14" i="3"/>
  <c r="J15" i="3"/>
  <c r="J16" i="3"/>
  <c r="J17" i="3"/>
  <c r="J18" i="3"/>
  <c r="J9" i="3"/>
  <c r="J3" i="3"/>
  <c r="J4" i="3"/>
  <c r="J5" i="3"/>
  <c r="J6" i="3"/>
  <c r="J7" i="3"/>
  <c r="J8" i="3"/>
  <c r="J12" i="3"/>
  <c r="J13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9" i="3"/>
  <c r="J40" i="3"/>
  <c r="J52" i="3"/>
  <c r="J53" i="3"/>
  <c r="J54" i="3"/>
  <c r="J55" i="3"/>
  <c r="J56" i="3"/>
  <c r="J57" i="3"/>
  <c r="J58" i="3"/>
  <c r="J60" i="3"/>
  <c r="J61" i="3"/>
  <c r="J62" i="3"/>
  <c r="J63" i="3"/>
  <c r="J64" i="3"/>
  <c r="J66" i="3"/>
  <c r="J67" i="3"/>
  <c r="J68" i="3"/>
  <c r="J76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9" i="3"/>
  <c r="J100" i="3"/>
  <c r="J101" i="3"/>
  <c r="J102" i="3"/>
  <c r="J103" i="3"/>
  <c r="J104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9" i="3"/>
  <c r="J140" i="3"/>
  <c r="J141" i="3"/>
  <c r="J142" i="3"/>
  <c r="J143" i="3"/>
  <c r="J144" i="3"/>
  <c r="J149" i="3"/>
  <c r="J152" i="3"/>
  <c r="J153" i="3"/>
  <c r="J154" i="3"/>
  <c r="J155" i="3"/>
  <c r="J159" i="3"/>
  <c r="J160" i="3"/>
  <c r="J161" i="3"/>
  <c r="J162" i="3"/>
  <c r="J163" i="3"/>
  <c r="J164" i="3"/>
  <c r="J165" i="3"/>
  <c r="J167" i="3"/>
  <c r="J168" i="3"/>
  <c r="J169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5" i="3"/>
  <c r="J206" i="3"/>
  <c r="J207" i="3"/>
  <c r="J211" i="3"/>
  <c r="J215" i="3"/>
  <c r="J216" i="3"/>
  <c r="J217" i="3"/>
  <c r="J218" i="3"/>
  <c r="J219" i="3"/>
  <c r="J220" i="3"/>
  <c r="J221" i="3"/>
  <c r="J222" i="3"/>
  <c r="J223" i="3"/>
  <c r="J224" i="3"/>
  <c r="J228" i="3"/>
  <c r="J230" i="3"/>
  <c r="J231" i="3"/>
  <c r="J232" i="3"/>
  <c r="J233" i="3"/>
  <c r="J234" i="3"/>
  <c r="J235" i="3"/>
  <c r="J238" i="3"/>
  <c r="J239" i="3"/>
  <c r="J240" i="3"/>
  <c r="J242" i="3"/>
  <c r="J243" i="3"/>
  <c r="J244" i="3"/>
  <c r="J245" i="3"/>
  <c r="J247" i="3"/>
  <c r="J248" i="3"/>
  <c r="J249" i="3"/>
  <c r="J250" i="3"/>
  <c r="J251" i="3"/>
  <c r="J252" i="3"/>
  <c r="J253" i="3"/>
  <c r="J255" i="3"/>
  <c r="J256" i="3"/>
  <c r="J257" i="3"/>
  <c r="J258" i="3"/>
  <c r="J259" i="3"/>
  <c r="J260" i="3"/>
  <c r="J261" i="3"/>
  <c r="J262" i="3"/>
  <c r="J263" i="3"/>
  <c r="J264" i="3"/>
  <c r="J265" i="3"/>
  <c r="J2" i="3"/>
  <c r="AN2" i="3" s="1"/>
  <c r="L2" i="3"/>
  <c r="L3" i="2"/>
  <c r="L5" i="2"/>
  <c r="H51" i="3"/>
  <c r="H50" i="3"/>
  <c r="H49" i="3"/>
  <c r="H48" i="3"/>
  <c r="H47" i="3"/>
  <c r="H46" i="3"/>
  <c r="H43" i="3"/>
  <c r="H42" i="3"/>
  <c r="H41" i="3"/>
  <c r="H19" i="3"/>
  <c r="H18" i="3"/>
  <c r="H17" i="3"/>
  <c r="H16" i="3"/>
  <c r="H15" i="3"/>
  <c r="H14" i="3"/>
  <c r="H11" i="3"/>
  <c r="H10" i="3"/>
  <c r="H9" i="3"/>
  <c r="A97" i="4"/>
  <c r="A99" i="4"/>
  <c r="A98" i="4"/>
  <c r="A92" i="4"/>
  <c r="A91" i="4"/>
  <c r="A90" i="4"/>
  <c r="A89" i="4"/>
  <c r="A88" i="4"/>
  <c r="A79" i="4"/>
  <c r="A80" i="4"/>
  <c r="A78" i="4"/>
  <c r="A77" i="4"/>
  <c r="A76" i="4"/>
  <c r="A75" i="4"/>
  <c r="A74" i="4"/>
  <c r="A73" i="4"/>
  <c r="A72" i="4"/>
  <c r="A71" i="4"/>
  <c r="A70" i="4"/>
  <c r="A69" i="4"/>
  <c r="A63" i="4"/>
  <c r="A62" i="4"/>
  <c r="A61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D53" i="5"/>
  <c r="D54" i="5"/>
  <c r="C53" i="5"/>
  <c r="C54" i="5"/>
  <c r="L12" i="2"/>
  <c r="L13" i="2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A32" i="5"/>
  <c r="B74" i="5" l="1"/>
  <c r="N12" i="5"/>
  <c r="J27" i="11"/>
  <c r="I143" i="11" a="1"/>
  <c r="I143" i="11" s="1"/>
  <c r="I207" i="11" a="1"/>
  <c r="I207" i="11" s="1"/>
  <c r="I210" i="11" a="1"/>
  <c r="I210" i="11" s="1"/>
  <c r="I204" i="11" a="1"/>
  <c r="I204" i="11" s="1"/>
  <c r="O152" i="11"/>
  <c r="F297" i="3"/>
  <c r="B60" i="5"/>
  <c r="F296" i="3"/>
  <c r="A33" i="5"/>
  <c r="B61" i="5"/>
  <c r="E298" i="3"/>
  <c r="F298" i="3" s="1"/>
  <c r="L3" i="3"/>
  <c r="R3" i="3" s="1"/>
  <c r="N13" i="5" l="1"/>
  <c r="B75" i="5"/>
  <c r="AN3" i="3"/>
  <c r="J22" i="11"/>
  <c r="A42" i="11" s="1"/>
  <c r="O153" i="11"/>
  <c r="A34" i="5"/>
  <c r="B62" i="5"/>
  <c r="E299" i="3"/>
  <c r="F299" i="3" s="1"/>
  <c r="L4" i="3"/>
  <c r="R4" i="3" s="1"/>
  <c r="N23" i="5" l="1"/>
  <c r="B82" i="5"/>
  <c r="AN4" i="3"/>
  <c r="O154" i="11"/>
  <c r="A35" i="5"/>
  <c r="B63" i="5"/>
  <c r="E300" i="3"/>
  <c r="F300" i="3" s="1"/>
  <c r="L5" i="3"/>
  <c r="R5" i="3" s="1"/>
  <c r="B83" i="5" l="1"/>
  <c r="N25" i="5"/>
  <c r="N26" i="5"/>
  <c r="N24" i="5"/>
  <c r="AN5" i="3"/>
  <c r="O155" i="11"/>
  <c r="A36" i="5"/>
  <c r="E302" i="3"/>
  <c r="F302" i="3" s="1"/>
  <c r="B64" i="5"/>
  <c r="L6" i="3"/>
  <c r="R6" i="3" s="1"/>
  <c r="N7" i="5" l="1"/>
  <c r="B84" i="5"/>
  <c r="AN6" i="3"/>
  <c r="O156" i="11"/>
  <c r="A37" i="5"/>
  <c r="E303" i="3"/>
  <c r="F303" i="3" s="1"/>
  <c r="L7" i="3"/>
  <c r="R7" i="3" s="1"/>
  <c r="N11" i="5" l="1"/>
  <c r="B71" i="5"/>
  <c r="N4" i="5"/>
  <c r="AN7" i="3"/>
  <c r="O157" i="11"/>
  <c r="A19" i="4"/>
  <c r="A38" i="5"/>
  <c r="E304" i="3"/>
  <c r="F304" i="3" s="1"/>
  <c r="L8" i="3"/>
  <c r="R8" i="3" s="1"/>
  <c r="N5" i="5" l="1"/>
  <c r="B72" i="5"/>
  <c r="AN8" i="3"/>
  <c r="O158" i="11"/>
  <c r="A20" i="4"/>
  <c r="A39" i="5"/>
  <c r="E305" i="3"/>
  <c r="F305" i="3" s="1"/>
  <c r="L9" i="3"/>
  <c r="R9" i="3" s="1"/>
  <c r="AN9" i="3" l="1"/>
  <c r="O159" i="11"/>
  <c r="A21" i="4"/>
  <c r="A40" i="5"/>
  <c r="E306" i="3"/>
  <c r="F306" i="3" s="1"/>
  <c r="L10" i="3"/>
  <c r="R10" i="3" s="1"/>
  <c r="AN10" i="3" l="1"/>
  <c r="O160" i="11"/>
  <c r="O161" i="11" s="1"/>
  <c r="O162" i="11" s="1"/>
  <c r="O163" i="11" s="1"/>
  <c r="O164" i="11" s="1"/>
  <c r="O165" i="11" s="1"/>
  <c r="O166" i="11" s="1"/>
  <c r="A22" i="4"/>
  <c r="A41" i="5"/>
  <c r="E307" i="3"/>
  <c r="F307" i="3" s="1"/>
  <c r="L11" i="3"/>
  <c r="R11" i="3" s="1"/>
  <c r="AN11" i="3" l="1"/>
  <c r="A23" i="4"/>
  <c r="A42" i="5"/>
  <c r="E308" i="3"/>
  <c r="F308" i="3" s="1"/>
  <c r="L12" i="3"/>
  <c r="R12" i="3" s="1"/>
  <c r="AN12" i="3" l="1"/>
  <c r="A24" i="4"/>
  <c r="A43" i="5"/>
  <c r="E309" i="3"/>
  <c r="F309" i="3" s="1"/>
  <c r="L13" i="3"/>
  <c r="R13" i="3" s="1"/>
  <c r="AN13" i="3" l="1"/>
  <c r="A25" i="4"/>
  <c r="A44" i="5"/>
  <c r="E310" i="3"/>
  <c r="F310" i="3" s="1"/>
  <c r="L14" i="3"/>
  <c r="R14" i="3" s="1"/>
  <c r="AN14" i="3" l="1"/>
  <c r="A26" i="4"/>
  <c r="A45" i="5"/>
  <c r="E311" i="3"/>
  <c r="F311" i="3" s="1"/>
  <c r="L15" i="3"/>
  <c r="R15" i="3" s="1"/>
  <c r="AN15" i="3" l="1"/>
  <c r="A27" i="4"/>
  <c r="A46" i="5"/>
  <c r="E312" i="3"/>
  <c r="F312" i="3" s="1"/>
  <c r="L16" i="3"/>
  <c r="R16" i="3" s="1"/>
  <c r="AN16" i="3" l="1"/>
  <c r="A28" i="4"/>
  <c r="A47" i="5"/>
  <c r="L17" i="3"/>
  <c r="R17" i="3" s="1"/>
  <c r="AN17" i="3" l="1"/>
  <c r="A48" i="5"/>
  <c r="L18" i="3"/>
  <c r="R18" i="3" s="1"/>
  <c r="A49" i="5" l="1"/>
  <c r="N3" i="5"/>
  <c r="N2" i="5"/>
  <c r="N9" i="5"/>
  <c r="N18" i="5"/>
  <c r="N10" i="5"/>
  <c r="N16" i="5"/>
  <c r="N21" i="5"/>
  <c r="N14" i="5"/>
  <c r="N8" i="5"/>
  <c r="N20" i="5"/>
  <c r="N27" i="5"/>
  <c r="N6" i="5"/>
  <c r="N19" i="5"/>
  <c r="N15" i="5"/>
  <c r="N22" i="5"/>
  <c r="N17" i="5"/>
  <c r="N28" i="5"/>
  <c r="AN18" i="3"/>
  <c r="L19" i="3"/>
  <c r="R19" i="3" s="1"/>
  <c r="B77" i="5" l="1"/>
  <c r="B76" i="5"/>
  <c r="B78" i="5"/>
  <c r="B80" i="5"/>
  <c r="B86" i="5"/>
  <c r="B73" i="5"/>
  <c r="B79" i="5"/>
  <c r="B87" i="5"/>
  <c r="B81" i="5"/>
  <c r="B85" i="5"/>
  <c r="AN19" i="3"/>
  <c r="L20" i="3"/>
  <c r="R20" i="3" s="1"/>
  <c r="AN20" i="3" l="1"/>
  <c r="L21" i="3"/>
  <c r="R21" i="3" s="1"/>
  <c r="AN21" i="3" l="1"/>
  <c r="L22" i="3"/>
  <c r="R22" i="3" s="1"/>
  <c r="R283" i="3" l="1"/>
  <c r="AN22" i="3"/>
  <c r="L23" i="3"/>
  <c r="R23" i="3" s="1"/>
  <c r="AN23" i="3" l="1"/>
  <c r="R284" i="3"/>
  <c r="L24" i="3"/>
  <c r="R24" i="3" s="1"/>
  <c r="AN24" i="3" l="1"/>
  <c r="L25" i="3"/>
  <c r="R25" i="3" s="1"/>
  <c r="AN25" i="3" l="1"/>
  <c r="L26" i="3"/>
  <c r="R26" i="3" s="1"/>
  <c r="AN26" i="3" l="1"/>
  <c r="L27" i="3"/>
  <c r="R27" i="3" s="1"/>
  <c r="AN27" i="3" l="1"/>
  <c r="L28" i="3"/>
  <c r="R28" i="3" s="1"/>
  <c r="AN28" i="3" l="1"/>
  <c r="L29" i="3"/>
  <c r="R29" i="3" s="1"/>
  <c r="AN29" i="3" l="1"/>
  <c r="R285" i="3"/>
  <c r="L30" i="3"/>
  <c r="R30" i="3" s="1"/>
  <c r="AN30" i="3" l="1"/>
  <c r="R286" i="3"/>
  <c r="L31" i="3"/>
  <c r="R31" i="3" s="1"/>
  <c r="AN31" i="3" l="1"/>
  <c r="R287" i="3"/>
  <c r="L32" i="3"/>
  <c r="R32" i="3" s="1"/>
  <c r="AN32" i="3" l="1"/>
  <c r="L33" i="3"/>
  <c r="R33" i="3" s="1"/>
  <c r="AN33" i="3" l="1"/>
  <c r="L34" i="3"/>
  <c r="R34" i="3" s="1"/>
  <c r="AN34" i="3" l="1"/>
  <c r="L35" i="3"/>
  <c r="R35" i="3" s="1"/>
  <c r="AN35" i="3" l="1"/>
  <c r="L36" i="3"/>
  <c r="R36" i="3" s="1"/>
  <c r="AN36" i="3" l="1"/>
  <c r="L37" i="3"/>
  <c r="R37" i="3" s="1"/>
  <c r="AN37" i="3" l="1"/>
  <c r="L38" i="3"/>
  <c r="R38" i="3" s="1"/>
  <c r="AN38" i="3" l="1"/>
  <c r="L39" i="3"/>
  <c r="R39" i="3" s="1"/>
  <c r="AN39" i="3" l="1"/>
  <c r="L40" i="3"/>
  <c r="R40" i="3" s="1"/>
  <c r="AN40" i="3" l="1"/>
  <c r="L41" i="3"/>
  <c r="R41" i="3" s="1"/>
  <c r="AN41" i="3" l="1"/>
  <c r="L42" i="3"/>
  <c r="R42" i="3" s="1"/>
  <c r="AN42" i="3" l="1"/>
  <c r="L43" i="3"/>
  <c r="R43" i="3" s="1"/>
  <c r="AN43" i="3" l="1"/>
  <c r="L44" i="3"/>
  <c r="R44" i="3" s="1"/>
  <c r="AN44" i="3" l="1"/>
  <c r="L45" i="3"/>
  <c r="R45" i="3" s="1"/>
  <c r="AN45" i="3" l="1"/>
  <c r="L46" i="3"/>
  <c r="R46" i="3" s="1"/>
  <c r="AN46" i="3" l="1"/>
  <c r="L47" i="3"/>
  <c r="R47" i="3" s="1"/>
  <c r="AN47" i="3" l="1"/>
  <c r="L48" i="3"/>
  <c r="R48" i="3" s="1"/>
  <c r="AN48" i="3" l="1"/>
  <c r="L49" i="3"/>
  <c r="R49" i="3" s="1"/>
  <c r="AN49" i="3" l="1"/>
  <c r="L50" i="3"/>
  <c r="R50" i="3" s="1"/>
  <c r="AN50" i="3" l="1"/>
  <c r="L51" i="3"/>
  <c r="R51" i="3" s="1"/>
  <c r="AN51" i="3" l="1"/>
  <c r="L52" i="3"/>
  <c r="R52" i="3" s="1"/>
  <c r="AN52" i="3" l="1"/>
  <c r="L53" i="3"/>
  <c r="R53" i="3" s="1"/>
  <c r="AN53" i="3" l="1"/>
  <c r="L54" i="3"/>
  <c r="R54" i="3" s="1"/>
  <c r="AN54" i="3" l="1"/>
  <c r="L55" i="3"/>
  <c r="R55" i="3" s="1"/>
  <c r="AN55" i="3" l="1"/>
  <c r="L56" i="3"/>
  <c r="R56" i="3" s="1"/>
  <c r="AN56" i="3" l="1"/>
  <c r="L57" i="3"/>
  <c r="R57" i="3" s="1"/>
  <c r="AN57" i="3" l="1"/>
  <c r="L58" i="3"/>
  <c r="R58" i="3" s="1"/>
  <c r="AN58" i="3" l="1"/>
  <c r="L59" i="3"/>
  <c r="R59" i="3" s="1"/>
  <c r="AN59" i="3" l="1"/>
  <c r="L60" i="3"/>
  <c r="R60" i="3" s="1"/>
  <c r="AN60" i="3" l="1"/>
  <c r="L61" i="3"/>
  <c r="R61" i="3" s="1"/>
  <c r="AN61" i="3" l="1"/>
  <c r="R288" i="3"/>
  <c r="L62" i="3"/>
  <c r="R62" i="3" s="1"/>
  <c r="AN62" i="3" l="1"/>
  <c r="R289" i="3"/>
  <c r="L63" i="3"/>
  <c r="R63" i="3" s="1"/>
  <c r="AN63" i="3" l="1"/>
  <c r="R290" i="3"/>
  <c r="L64" i="3"/>
  <c r="R64" i="3" s="1"/>
  <c r="AN64" i="3" l="1"/>
  <c r="R291" i="3"/>
  <c r="L65" i="3"/>
  <c r="R65" i="3" s="1"/>
  <c r="AN65" i="3" l="1"/>
  <c r="R292" i="3"/>
  <c r="L66" i="3"/>
  <c r="R66" i="3" s="1"/>
  <c r="AN66" i="3" l="1"/>
  <c r="R293" i="3"/>
  <c r="L67" i="3"/>
  <c r="R67" i="3" s="1"/>
  <c r="AN67" i="3" l="1"/>
  <c r="L68" i="3"/>
  <c r="R68" i="3" s="1"/>
  <c r="AN68" i="3" l="1"/>
  <c r="L69" i="3"/>
  <c r="R69" i="3" s="1"/>
  <c r="AN69" i="3" l="1"/>
  <c r="L70" i="3"/>
  <c r="R70" i="3" s="1"/>
  <c r="AN70" i="3" l="1"/>
  <c r="L71" i="3"/>
  <c r="R71" i="3" s="1"/>
  <c r="AN71" i="3" l="1"/>
  <c r="L72" i="3"/>
  <c r="R72" i="3" s="1"/>
  <c r="AN72" i="3" l="1"/>
  <c r="L73" i="3"/>
  <c r="R73" i="3" s="1"/>
  <c r="AN73" i="3" l="1"/>
  <c r="L74" i="3"/>
  <c r="R74" i="3" s="1"/>
  <c r="AN74" i="3" l="1"/>
  <c r="L75" i="3"/>
  <c r="R75" i="3" s="1"/>
  <c r="AN75" i="3" l="1"/>
  <c r="L76" i="3"/>
  <c r="R76" i="3" s="1"/>
  <c r="AN76" i="3" l="1"/>
  <c r="L77" i="3"/>
  <c r="R77" i="3" s="1"/>
  <c r="AN77" i="3" l="1"/>
  <c r="L78" i="3"/>
  <c r="R78" i="3" s="1"/>
  <c r="AN78" i="3" l="1"/>
  <c r="L79" i="3"/>
  <c r="R79" i="3" s="1"/>
  <c r="AN79" i="3" l="1"/>
  <c r="L80" i="3"/>
  <c r="R80" i="3" s="1"/>
  <c r="AN80" i="3" l="1"/>
  <c r="L81" i="3"/>
  <c r="R81" i="3" s="1"/>
  <c r="AN81" i="3" l="1"/>
  <c r="L82" i="3"/>
  <c r="R82" i="3" s="1"/>
  <c r="AN82" i="3" l="1"/>
  <c r="L83" i="3"/>
  <c r="R83" i="3" s="1"/>
  <c r="AN83" i="3" l="1"/>
  <c r="L84" i="3"/>
  <c r="R84" i="3" s="1"/>
  <c r="AN84" i="3" l="1"/>
  <c r="L85" i="3"/>
  <c r="R85" i="3" s="1"/>
  <c r="AN85" i="3" l="1"/>
  <c r="L86" i="3"/>
  <c r="R86" i="3" s="1"/>
  <c r="AN86" i="3" l="1"/>
  <c r="L87" i="3"/>
  <c r="R87" i="3" s="1"/>
  <c r="AN87" i="3" l="1"/>
  <c r="R294" i="3"/>
  <c r="L88" i="3"/>
  <c r="R88" i="3" s="1"/>
  <c r="AN88" i="3" l="1"/>
  <c r="R295" i="3"/>
  <c r="L89" i="3"/>
  <c r="R89" i="3" s="1"/>
  <c r="AN89" i="3" l="1"/>
  <c r="L90" i="3"/>
  <c r="R90" i="3" s="1"/>
  <c r="BH90" i="3" l="1"/>
  <c r="R296" i="3"/>
  <c r="L91" i="3"/>
  <c r="R91" i="3" s="1"/>
  <c r="AN91" i="3" l="1"/>
  <c r="L92" i="3"/>
  <c r="AE273" i="3" l="1"/>
  <c r="R92" i="3"/>
  <c r="AN92" i="3"/>
  <c r="L93" i="3"/>
  <c r="AE274" i="3" l="1"/>
  <c r="R93" i="3"/>
  <c r="AN93" i="3"/>
  <c r="L94" i="3"/>
  <c r="R94" i="3" s="1"/>
  <c r="AN94" i="3" l="1"/>
  <c r="L95" i="3"/>
  <c r="R95" i="3" s="1"/>
  <c r="AN95" i="3" l="1"/>
  <c r="L96" i="3"/>
  <c r="R96" i="3" s="1"/>
  <c r="AN96" i="3" l="1"/>
  <c r="L97" i="3"/>
  <c r="R97" i="3" s="1"/>
  <c r="AN97" i="3" l="1"/>
  <c r="L98" i="3"/>
  <c r="R98" i="3" s="1"/>
  <c r="AN98" i="3" l="1"/>
  <c r="L99" i="3"/>
  <c r="R99" i="3" s="1"/>
  <c r="AN99" i="3" l="1"/>
  <c r="L100" i="3"/>
  <c r="R100" i="3" s="1"/>
  <c r="AN100" i="3" l="1"/>
  <c r="L101" i="3"/>
  <c r="R101" i="3" s="1"/>
  <c r="AN101" i="3" l="1"/>
  <c r="L102" i="3"/>
  <c r="R102" i="3" s="1"/>
  <c r="AN102" i="3" l="1"/>
  <c r="L103" i="3"/>
  <c r="R103" i="3" s="1"/>
  <c r="AN103" i="3" l="1"/>
  <c r="L104" i="3"/>
  <c r="R104" i="3" s="1"/>
  <c r="AN104" i="3" l="1"/>
  <c r="L105" i="3"/>
  <c r="R105" i="3" s="1"/>
  <c r="AN105" i="3" l="1"/>
  <c r="L106" i="3"/>
  <c r="R106" i="3" s="1"/>
  <c r="AN106" i="3" l="1"/>
  <c r="L107" i="3"/>
  <c r="R107" i="3" s="1"/>
  <c r="AN107" i="3" l="1"/>
  <c r="L108" i="3"/>
  <c r="AE275" i="3" l="1"/>
  <c r="R108" i="3"/>
  <c r="AN108" i="3"/>
  <c r="L109" i="3"/>
  <c r="R109" i="3" l="1"/>
  <c r="AE276" i="3"/>
  <c r="AN109" i="3"/>
  <c r="L110" i="3"/>
  <c r="R110" i="3" l="1"/>
  <c r="AE277" i="3"/>
  <c r="AN110" i="3"/>
  <c r="L111" i="3"/>
  <c r="R111" i="3" s="1"/>
  <c r="AN111" i="3" l="1"/>
  <c r="L112" i="3"/>
  <c r="R112" i="3" s="1"/>
  <c r="AN112" i="3" l="1"/>
  <c r="L113" i="3"/>
  <c r="R113" i="3" s="1"/>
  <c r="AN113" i="3" l="1"/>
  <c r="L114" i="3"/>
  <c r="R114" i="3" s="1"/>
  <c r="AN114" i="3" l="1"/>
  <c r="L115" i="3"/>
  <c r="R115" i="3" s="1"/>
  <c r="AN115" i="3" l="1"/>
  <c r="L116" i="3"/>
  <c r="R116" i="3" l="1"/>
  <c r="AE278" i="3"/>
  <c r="AN116" i="3"/>
  <c r="L117" i="3"/>
  <c r="R117" i="3" s="1"/>
  <c r="AN117" i="3" l="1"/>
  <c r="L118" i="3"/>
  <c r="R118" i="3" s="1"/>
  <c r="AN118" i="3" l="1"/>
  <c r="L119" i="3"/>
  <c r="R119" i="3" s="1"/>
  <c r="AN119" i="3" l="1"/>
  <c r="L120" i="3"/>
  <c r="R120" i="3" s="1"/>
  <c r="AN120" i="3" l="1"/>
  <c r="R297" i="3"/>
  <c r="L121" i="3"/>
  <c r="R121" i="3" s="1"/>
  <c r="AN121" i="3" l="1"/>
  <c r="R298" i="3"/>
  <c r="L122" i="3"/>
  <c r="R122" i="3" s="1"/>
  <c r="AN122" i="3" l="1"/>
  <c r="L123" i="3"/>
  <c r="R123" i="3" s="1"/>
  <c r="AN123" i="3" l="1"/>
  <c r="L124" i="3"/>
  <c r="R124" i="3" s="1"/>
  <c r="AN124" i="3" l="1"/>
  <c r="L125" i="3"/>
  <c r="R125" i="3" l="1"/>
  <c r="AE279" i="3"/>
  <c r="AN125" i="3"/>
  <c r="L126" i="3"/>
  <c r="R126" i="3" s="1"/>
  <c r="AN126" i="3" l="1"/>
  <c r="L127" i="3"/>
  <c r="AE280" i="3" l="1"/>
  <c r="R127" i="3"/>
  <c r="AN127" i="3"/>
  <c r="L128" i="3"/>
  <c r="R128" i="3" s="1"/>
  <c r="AN128" i="3" l="1"/>
  <c r="R299" i="3"/>
  <c r="L129" i="3"/>
  <c r="R129" i="3" s="1"/>
  <c r="AN129" i="3" l="1"/>
  <c r="R300" i="3"/>
  <c r="L130" i="3"/>
  <c r="R130" i="3" s="1"/>
  <c r="AN130" i="3" l="1"/>
  <c r="L131" i="3"/>
  <c r="R131" i="3" s="1"/>
  <c r="AN131" i="3" l="1"/>
  <c r="L132" i="3"/>
  <c r="R132" i="3" s="1"/>
  <c r="AN132" i="3" l="1"/>
  <c r="L133" i="3"/>
  <c r="R133" i="3" s="1"/>
  <c r="AN133" i="3" l="1"/>
  <c r="L134" i="3"/>
  <c r="R134" i="3" s="1"/>
  <c r="AN134" i="3" l="1"/>
  <c r="L135" i="3"/>
  <c r="R135" i="3" s="1"/>
  <c r="AN135" i="3" l="1"/>
  <c r="R301" i="3"/>
  <c r="L136" i="3"/>
  <c r="R136" i="3" s="1"/>
  <c r="AN136" i="3" l="1"/>
  <c r="R302" i="3"/>
  <c r="L137" i="3"/>
  <c r="R137" i="3" s="1"/>
  <c r="AN137" i="3" l="1"/>
  <c r="R303" i="3"/>
  <c r="L138" i="3"/>
  <c r="R138" i="3" s="1"/>
  <c r="AN138" i="3" l="1"/>
  <c r="R304" i="3"/>
  <c r="L139" i="3"/>
  <c r="R139" i="3" l="1"/>
  <c r="AE281" i="3"/>
  <c r="AN139" i="3"/>
  <c r="L140" i="3"/>
  <c r="R140" i="3" l="1"/>
  <c r="AE282" i="3"/>
  <c r="AN140" i="3"/>
  <c r="L141" i="3"/>
  <c r="R141" i="3" s="1"/>
  <c r="AN141" i="3" l="1"/>
  <c r="L142" i="3"/>
  <c r="R142" i="3" s="1"/>
  <c r="AN142" i="3" l="1"/>
  <c r="L143" i="3"/>
  <c r="R143" i="3" s="1"/>
  <c r="AN143" i="3" l="1"/>
  <c r="L144" i="3"/>
  <c r="R144" i="3" s="1"/>
  <c r="AN144" i="3" l="1"/>
  <c r="L145" i="3"/>
  <c r="R145" i="3" s="1"/>
  <c r="AN145" i="3" l="1"/>
  <c r="L146" i="3"/>
  <c r="R146" i="3" s="1"/>
  <c r="AN146" i="3" l="1"/>
  <c r="L147" i="3"/>
  <c r="R147" i="3" s="1"/>
  <c r="AN147" i="3" l="1"/>
  <c r="L148" i="3"/>
  <c r="R148" i="3" s="1"/>
  <c r="AN148" i="3" l="1"/>
  <c r="L149" i="3"/>
  <c r="R149" i="3" s="1"/>
  <c r="AN149" i="3" l="1"/>
  <c r="L150" i="3"/>
  <c r="R150" i="3" s="1"/>
  <c r="AN150" i="3" l="1"/>
  <c r="L151" i="3"/>
  <c r="R151" i="3" s="1"/>
  <c r="AN151" i="3" l="1"/>
  <c r="L152" i="3"/>
  <c r="R152" i="3" s="1"/>
  <c r="AN152" i="3" l="1"/>
  <c r="L153" i="3"/>
  <c r="R153" i="3" l="1"/>
  <c r="AE283" i="3"/>
  <c r="AN153" i="3"/>
  <c r="L154" i="3"/>
  <c r="R154" i="3" l="1"/>
  <c r="AE284" i="3"/>
  <c r="AN154" i="3"/>
  <c r="L155" i="3"/>
  <c r="R155" i="3" s="1"/>
  <c r="AN155" i="3" l="1"/>
  <c r="L156" i="3"/>
  <c r="R156" i="3" s="1"/>
  <c r="AN156" i="3" l="1"/>
  <c r="L157" i="3"/>
  <c r="R157" i="3" s="1"/>
  <c r="AN157" i="3" l="1"/>
  <c r="L158" i="3"/>
  <c r="R158" i="3" s="1"/>
  <c r="AN158" i="3" l="1"/>
  <c r="L159" i="3"/>
  <c r="R159" i="3" s="1"/>
  <c r="AN159" i="3" l="1"/>
  <c r="L160" i="3"/>
  <c r="R160" i="3" s="1"/>
  <c r="AN160" i="3" l="1"/>
  <c r="L161" i="3"/>
  <c r="R161" i="3" s="1"/>
  <c r="AN161" i="3" l="1"/>
  <c r="L162" i="3"/>
  <c r="R162" i="3" s="1"/>
  <c r="AN162" i="3" l="1"/>
  <c r="L163" i="3"/>
  <c r="R163" i="3" s="1"/>
  <c r="AN163" i="3" l="1"/>
  <c r="L164" i="3"/>
  <c r="R164" i="3" l="1"/>
  <c r="AE285" i="3"/>
  <c r="AN164" i="3"/>
  <c r="L165" i="3"/>
  <c r="R165" i="3" s="1"/>
  <c r="AN165" i="3" l="1"/>
  <c r="L166" i="3"/>
  <c r="R166" i="3" l="1"/>
  <c r="AE286" i="3"/>
  <c r="AN166" i="3"/>
  <c r="L167" i="3"/>
  <c r="R167" i="3" l="1"/>
  <c r="AE287" i="3"/>
  <c r="AN167" i="3"/>
  <c r="L168" i="3"/>
  <c r="AE288" i="3" l="1"/>
  <c r="R168" i="3"/>
  <c r="AN168" i="3"/>
  <c r="L169" i="3"/>
  <c r="AE289" i="3" l="1"/>
  <c r="R169" i="3"/>
  <c r="AN169" i="3"/>
  <c r="L170" i="3"/>
  <c r="AE290" i="3" l="1"/>
  <c r="R170" i="3"/>
  <c r="AN170" i="3"/>
  <c r="L171" i="3"/>
  <c r="AE291" i="3" l="1"/>
  <c r="R171" i="3"/>
  <c r="AN171" i="3"/>
  <c r="L172" i="3"/>
  <c r="R172" i="3" l="1"/>
  <c r="AE292" i="3"/>
  <c r="AN172" i="3"/>
  <c r="L173" i="3"/>
  <c r="R173" i="3" l="1"/>
  <c r="AE293" i="3"/>
  <c r="AN173" i="3"/>
  <c r="L174" i="3"/>
  <c r="R174" i="3" s="1"/>
  <c r="AN174" i="3" l="1"/>
  <c r="L175" i="3"/>
  <c r="R175" i="3" l="1"/>
  <c r="AE294" i="3"/>
  <c r="AN175" i="3"/>
  <c r="L176" i="3"/>
  <c r="R176" i="3" s="1"/>
  <c r="AN176" i="3" l="1"/>
  <c r="L177" i="3"/>
  <c r="R177" i="3" s="1"/>
  <c r="AN177" i="3" l="1"/>
  <c r="L178" i="3"/>
  <c r="AE295" i="3" l="1"/>
  <c r="R178" i="3"/>
  <c r="AN178" i="3"/>
  <c r="L179" i="3"/>
  <c r="R179" i="3" l="1"/>
  <c r="AE296" i="3"/>
  <c r="AN179" i="3"/>
  <c r="L180" i="3"/>
  <c r="R180" i="3" l="1"/>
  <c r="AE297" i="3"/>
  <c r="AN180" i="3"/>
  <c r="L181" i="3"/>
  <c r="R181" i="3" l="1"/>
  <c r="AE298" i="3"/>
  <c r="AN181" i="3"/>
  <c r="L182" i="3"/>
  <c r="R182" i="3" l="1"/>
  <c r="AE299" i="3"/>
  <c r="AN182" i="3"/>
  <c r="L183" i="3"/>
  <c r="R183" i="3" s="1"/>
  <c r="AN183" i="3" l="1"/>
  <c r="L184" i="3"/>
  <c r="R184" i="3" s="1"/>
  <c r="AN184" i="3" l="1"/>
  <c r="L185" i="3"/>
  <c r="R185" i="3" s="1"/>
  <c r="AN185" i="3" l="1"/>
  <c r="L186" i="3"/>
  <c r="R186" i="3" s="1"/>
  <c r="AN186" i="3" l="1"/>
  <c r="L187" i="3"/>
  <c r="R187" i="3" s="1"/>
  <c r="AN187" i="3" l="1"/>
  <c r="L188" i="3"/>
  <c r="R188" i="3" s="1"/>
  <c r="AN188" i="3" l="1"/>
  <c r="L189" i="3"/>
  <c r="R189" i="3" s="1"/>
  <c r="AN189" i="3" l="1"/>
  <c r="L190" i="3"/>
  <c r="AE300" i="3" l="1"/>
  <c r="R190" i="3"/>
  <c r="AN190" i="3"/>
  <c r="L191" i="3"/>
  <c r="R191" i="3" s="1"/>
  <c r="AN191" i="3" l="1"/>
  <c r="L192" i="3"/>
  <c r="AE301" i="3" l="1"/>
  <c r="R192" i="3"/>
  <c r="AN192" i="3"/>
  <c r="L193" i="3"/>
  <c r="R193" i="3" s="1"/>
  <c r="AN193" i="3" l="1"/>
  <c r="R305" i="3"/>
  <c r="L194" i="3"/>
  <c r="R194" i="3" s="1"/>
  <c r="AN194" i="3" l="1"/>
  <c r="R306" i="3"/>
  <c r="L195" i="3"/>
  <c r="R195" i="3" s="1"/>
  <c r="AN195" i="3" l="1"/>
  <c r="L196" i="3"/>
  <c r="R196" i="3" s="1"/>
  <c r="AN196" i="3" l="1"/>
  <c r="L197" i="3"/>
  <c r="R197" i="3" s="1"/>
  <c r="AN197" i="3" l="1"/>
  <c r="L198" i="3"/>
  <c r="R198" i="3" s="1"/>
  <c r="AN198" i="3" l="1"/>
  <c r="L199" i="3"/>
  <c r="R199" i="3" s="1"/>
  <c r="AN199" i="3" l="1"/>
  <c r="L200" i="3"/>
  <c r="R200" i="3" l="1"/>
  <c r="AE302" i="3"/>
  <c r="AN200" i="3"/>
  <c r="L201" i="3"/>
  <c r="R201" i="3" s="1"/>
  <c r="AN201" i="3" l="1"/>
  <c r="R307" i="3"/>
  <c r="L202" i="3"/>
  <c r="R202" i="3" s="1"/>
  <c r="AN202" i="3" l="1"/>
  <c r="R308" i="3"/>
  <c r="L203" i="3"/>
  <c r="R203" i="3" s="1"/>
  <c r="AN203" i="3" l="1"/>
  <c r="R309" i="3"/>
  <c r="L204" i="3"/>
  <c r="R204" i="3" s="1"/>
  <c r="AN204" i="3" l="1"/>
  <c r="R310" i="3"/>
  <c r="L205" i="3"/>
  <c r="AE303" i="3" l="1"/>
  <c r="R205" i="3"/>
  <c r="AN205" i="3"/>
  <c r="L206" i="3"/>
  <c r="R206" i="3" s="1"/>
  <c r="AN206" i="3" l="1"/>
  <c r="L207" i="3"/>
  <c r="R207" i="3" s="1"/>
  <c r="AN207" i="3" l="1"/>
  <c r="L208" i="3"/>
  <c r="R208" i="3" s="1"/>
  <c r="AN208" i="3" l="1"/>
  <c r="L209" i="3"/>
  <c r="R209" i="3" s="1"/>
  <c r="AN209" i="3" l="1"/>
  <c r="L210" i="3"/>
  <c r="R210" i="3" s="1"/>
  <c r="AN210" i="3" l="1"/>
  <c r="L211" i="3"/>
  <c r="R211" i="3" s="1"/>
  <c r="AN211" i="3" l="1"/>
  <c r="L212" i="3"/>
  <c r="R212" i="3" s="1"/>
  <c r="AN212" i="3" l="1"/>
  <c r="L213" i="3"/>
  <c r="R213" i="3" s="1"/>
  <c r="AN213" i="3" l="1"/>
  <c r="L214" i="3"/>
  <c r="R214" i="3" s="1"/>
  <c r="AN214" i="3" l="1"/>
  <c r="L215" i="3"/>
  <c r="R215" i="3" s="1"/>
  <c r="AN215" i="3" l="1"/>
  <c r="L216" i="3"/>
  <c r="R216" i="3" s="1"/>
  <c r="AN216" i="3" l="1"/>
  <c r="L217" i="3"/>
  <c r="R217" i="3" s="1"/>
  <c r="AN217" i="3" l="1"/>
  <c r="L218" i="3"/>
  <c r="R218" i="3" s="1"/>
  <c r="AN218" i="3" l="1"/>
  <c r="L219" i="3"/>
  <c r="R219" i="3" s="1"/>
  <c r="AN219" i="3" l="1"/>
  <c r="L220" i="3"/>
  <c r="R220" i="3" s="1"/>
  <c r="AN220" i="3" l="1"/>
  <c r="L221" i="3"/>
  <c r="AE304" i="3" l="1"/>
  <c r="R221" i="3"/>
  <c r="AN221" i="3"/>
  <c r="L222" i="3"/>
  <c r="AE305" i="3" l="1"/>
  <c r="R222" i="3"/>
  <c r="AN222" i="3"/>
  <c r="L223" i="3"/>
  <c r="R223" i="3" s="1"/>
  <c r="AN223" i="3" l="1"/>
  <c r="L224" i="3"/>
  <c r="R224" i="3" s="1"/>
  <c r="AN224" i="3" l="1"/>
  <c r="L225" i="3"/>
  <c r="R225" i="3" s="1"/>
  <c r="AN225" i="3" l="1"/>
  <c r="L226" i="3"/>
  <c r="R226" i="3" s="1"/>
  <c r="AN226" i="3" l="1"/>
  <c r="L227" i="3"/>
  <c r="R227" i="3" s="1"/>
  <c r="AN227" i="3" l="1"/>
  <c r="L228" i="3"/>
  <c r="R228" i="3" s="1"/>
  <c r="AN228" i="3" l="1"/>
  <c r="L229" i="3"/>
  <c r="R229" i="3" s="1"/>
  <c r="AN229" i="3" l="1"/>
  <c r="L230" i="3"/>
  <c r="R230" i="3" s="1"/>
  <c r="AN230" i="3" l="1"/>
  <c r="L231" i="3"/>
  <c r="R231" i="3" s="1"/>
  <c r="AN231" i="3" l="1"/>
  <c r="L232" i="3"/>
  <c r="AE306" i="3" l="1"/>
  <c r="R232" i="3"/>
  <c r="AN232" i="3"/>
  <c r="L233" i="3"/>
  <c r="AE307" i="3" l="1"/>
  <c r="R233" i="3"/>
  <c r="AN233" i="3"/>
  <c r="L234" i="3"/>
  <c r="R234" i="3" l="1"/>
  <c r="AE308" i="3"/>
  <c r="AN234" i="3"/>
  <c r="L235" i="3"/>
  <c r="R235" i="3" s="1"/>
  <c r="AN235" i="3" l="1"/>
  <c r="L236" i="3"/>
  <c r="R236" i="3" l="1"/>
  <c r="AE309" i="3"/>
  <c r="AN236" i="3"/>
  <c r="L237" i="3"/>
  <c r="R237" i="3" l="1"/>
  <c r="AE310" i="3"/>
  <c r="AN237" i="3"/>
  <c r="L238" i="3"/>
  <c r="R238" i="3" l="1"/>
  <c r="AE311" i="3"/>
  <c r="AN238" i="3"/>
  <c r="L239" i="3"/>
  <c r="AE312" i="3" l="1"/>
  <c r="R239" i="3"/>
  <c r="AN239" i="3"/>
  <c r="L240" i="3"/>
  <c r="AE313" i="3" l="1"/>
  <c r="R240" i="3"/>
  <c r="AN240" i="3"/>
  <c r="L241" i="3"/>
  <c r="AE314" i="3" l="1"/>
  <c r="R241" i="3"/>
  <c r="AN241" i="3"/>
  <c r="L242" i="3"/>
  <c r="AE315" i="3" l="1"/>
  <c r="R242" i="3"/>
  <c r="AN242" i="3"/>
  <c r="L243" i="3"/>
  <c r="R243" i="3" l="1"/>
  <c r="AE316" i="3"/>
  <c r="AN243" i="3"/>
  <c r="L244" i="3"/>
  <c r="R244" i="3" l="1"/>
  <c r="AE317" i="3"/>
  <c r="AN244" i="3"/>
  <c r="L245" i="3"/>
  <c r="R245" i="3" s="1"/>
  <c r="AN245" i="3" l="1"/>
  <c r="L246" i="3"/>
  <c r="R246" i="3" s="1"/>
  <c r="AN246" i="3" l="1"/>
  <c r="L247" i="3"/>
  <c r="R247" i="3" l="1"/>
  <c r="AE318" i="3"/>
  <c r="AN247" i="3"/>
  <c r="L248" i="3"/>
  <c r="AE319" i="3" l="1"/>
  <c r="R248" i="3"/>
  <c r="AN248" i="3"/>
  <c r="L249" i="3"/>
  <c r="R249" i="3" s="1"/>
  <c r="AN249" i="3" l="1"/>
  <c r="L250" i="3"/>
  <c r="R250" i="3" s="1"/>
  <c r="AN250" i="3" l="1"/>
  <c r="L251" i="3"/>
  <c r="AE320" i="3" l="1"/>
  <c r="R251" i="3"/>
  <c r="AN251" i="3"/>
  <c r="L252" i="3"/>
  <c r="AE321" i="3" l="1"/>
  <c r="R252" i="3"/>
  <c r="AN252" i="3"/>
  <c r="L253" i="3"/>
  <c r="AE322" i="3" l="1"/>
  <c r="R253" i="3"/>
  <c r="AN253" i="3"/>
  <c r="L254" i="3"/>
  <c r="R254" i="3" s="1"/>
  <c r="AN254" i="3" l="1"/>
  <c r="L255" i="3"/>
  <c r="R255" i="3" s="1"/>
  <c r="AN255" i="3" l="1"/>
  <c r="L256" i="3"/>
  <c r="R256" i="3" s="1"/>
  <c r="AN256" i="3" l="1"/>
  <c r="L257" i="3"/>
  <c r="R257" i="3" s="1"/>
  <c r="AN257" i="3" l="1"/>
  <c r="R311" i="3"/>
  <c r="L258" i="3"/>
  <c r="R258" i="3" s="1"/>
  <c r="AN258" i="3" l="1"/>
  <c r="R312" i="3"/>
  <c r="L259" i="3"/>
  <c r="R259" i="3" s="1"/>
  <c r="AN259" i="3" l="1"/>
  <c r="L260" i="3"/>
  <c r="AE323" i="3" l="1"/>
  <c r="R260" i="3"/>
  <c r="AN260" i="3"/>
  <c r="L261" i="3"/>
  <c r="R261" i="3" s="1"/>
  <c r="AN261" i="3" l="1"/>
  <c r="L262" i="3"/>
  <c r="R262" i="3" s="1"/>
  <c r="AN262" i="3" l="1"/>
  <c r="L263" i="3"/>
  <c r="AN263" i="3" l="1"/>
  <c r="R263" i="3"/>
  <c r="AE324" i="3"/>
  <c r="L264" i="3"/>
  <c r="R264" i="3" s="1"/>
  <c r="AN264" i="3" l="1"/>
  <c r="R313" i="3"/>
  <c r="L265" i="3"/>
  <c r="R265" i="3" s="1"/>
  <c r="AN265" i="3" l="1"/>
  <c r="R314" i="3"/>
  <c r="L266" i="3"/>
  <c r="R266" i="3" s="1"/>
  <c r="AN266" i="3" l="1"/>
  <c r="H67" i="11"/>
  <c r="J67" i="11" l="1"/>
  <c r="S67" i="11"/>
  <c r="BJ67" i="11"/>
  <c r="H68" i="11"/>
  <c r="S68" i="11" l="1"/>
  <c r="J68" i="11"/>
  <c r="BJ68" i="11"/>
  <c r="H69" i="11"/>
  <c r="S69" i="11" l="1"/>
  <c r="J69" i="11"/>
  <c r="BJ69" i="11"/>
  <c r="H70" i="11"/>
  <c r="J70" i="11" l="1"/>
  <c r="S70" i="11"/>
  <c r="BJ70" i="11"/>
  <c r="H71" i="11"/>
  <c r="J71" i="11" l="1"/>
  <c r="S71" i="11"/>
  <c r="BJ71" i="11"/>
  <c r="H72" i="11"/>
  <c r="J72" i="11" l="1"/>
  <c r="S72" i="11"/>
  <c r="BJ72" i="11"/>
  <c r="H73" i="11"/>
  <c r="S73" i="11" l="1"/>
  <c r="J73" i="11"/>
  <c r="BJ73" i="11"/>
  <c r="H74" i="11"/>
  <c r="S74" i="11" l="1"/>
  <c r="J74" i="11"/>
  <c r="BJ74" i="11"/>
  <c r="H75" i="11"/>
  <c r="S75" i="11" l="1"/>
  <c r="J75" i="11"/>
  <c r="BJ75" i="11"/>
  <c r="H76" i="11"/>
  <c r="S76" i="11" l="1"/>
  <c r="J76" i="11"/>
  <c r="BJ76" i="11"/>
  <c r="H77" i="11"/>
  <c r="S77" i="11" l="1"/>
  <c r="J77" i="11"/>
  <c r="BJ77" i="11"/>
  <c r="H78" i="11"/>
  <c r="J78" i="11" l="1"/>
  <c r="S78" i="11"/>
  <c r="BJ78" i="11"/>
  <c r="H79" i="11"/>
  <c r="J79" i="11" l="1"/>
  <c r="S79" i="11"/>
  <c r="BJ79" i="11"/>
  <c r="H80" i="11"/>
  <c r="J80" i="11" l="1"/>
  <c r="S80" i="11"/>
  <c r="BJ80" i="11"/>
  <c r="H81" i="11"/>
  <c r="S81" i="11" l="1"/>
  <c r="J81" i="11"/>
  <c r="BJ81" i="11"/>
  <c r="H82" i="11"/>
  <c r="S82" i="11" l="1"/>
  <c r="J82" i="11"/>
  <c r="BJ82" i="11"/>
  <c r="H83" i="11"/>
  <c r="S83" i="11" l="1"/>
  <c r="J83" i="11"/>
  <c r="BJ83" i="11"/>
  <c r="H84" i="11"/>
  <c r="S84" i="11" l="1"/>
  <c r="J84" i="11"/>
  <c r="BJ84" i="11"/>
  <c r="H85" i="11"/>
  <c r="S85" i="11" l="1"/>
  <c r="J85" i="11"/>
  <c r="BJ85" i="11"/>
  <c r="H86" i="11"/>
  <c r="J86" i="11" l="1"/>
  <c r="S86" i="11"/>
  <c r="BJ86" i="11"/>
  <c r="H87" i="11"/>
  <c r="J87" i="11" l="1"/>
  <c r="S87" i="11"/>
  <c r="BJ87" i="11"/>
  <c r="H88" i="11"/>
  <c r="J88" i="11" l="1"/>
  <c r="S88" i="11"/>
  <c r="BJ88" i="11"/>
  <c r="H89" i="11"/>
  <c r="S89" i="11" l="1"/>
  <c r="J89" i="11"/>
  <c r="BJ89" i="11"/>
  <c r="H90" i="11"/>
  <c r="S90" i="11" l="1"/>
  <c r="J90" i="11"/>
  <c r="BJ90" i="11"/>
  <c r="H91" i="11"/>
  <c r="S91" i="11" l="1"/>
  <c r="J91" i="11"/>
  <c r="BJ91" i="11"/>
  <c r="H92" i="11"/>
  <c r="S92" i="11" l="1"/>
  <c r="J92" i="11"/>
  <c r="BJ92" i="11"/>
  <c r="H93" i="11"/>
  <c r="S93" i="11" l="1"/>
  <c r="J93" i="11"/>
  <c r="BJ93" i="11"/>
  <c r="H94" i="11"/>
  <c r="J94" i="11" l="1"/>
  <c r="S94" i="11"/>
  <c r="BJ94" i="11"/>
  <c r="H95" i="11"/>
  <c r="J95" i="11" l="1"/>
  <c r="S95" i="11"/>
  <c r="BJ95" i="11"/>
  <c r="H96" i="11"/>
  <c r="J96" i="11" l="1"/>
  <c r="S96" i="11"/>
  <c r="BJ96" i="11"/>
  <c r="H97" i="11"/>
  <c r="S97" i="11" l="1"/>
  <c r="J97" i="11"/>
  <c r="BJ97" i="11"/>
  <c r="H98" i="11"/>
  <c r="S98" i="11" l="1"/>
  <c r="J98" i="11"/>
  <c r="BJ98" i="11"/>
  <c r="H99" i="11"/>
  <c r="S99" i="11" l="1"/>
  <c r="J99" i="11"/>
  <c r="BJ99" i="11"/>
  <c r="H100" i="11"/>
  <c r="S100" i="11" l="1"/>
  <c r="J100" i="11"/>
  <c r="BJ100" i="11"/>
  <c r="H101" i="11"/>
  <c r="S101" i="11" l="1"/>
  <c r="J101" i="11"/>
  <c r="BJ101" i="11"/>
  <c r="H102" i="11"/>
  <c r="J102" i="11" l="1"/>
  <c r="S102" i="11"/>
  <c r="BJ102" i="11"/>
  <c r="H103" i="11"/>
  <c r="J103" i="11" l="1"/>
  <c r="S103" i="11"/>
  <c r="BJ103" i="11"/>
  <c r="H104" i="11"/>
  <c r="J104" i="11" l="1"/>
  <c r="S104" i="11"/>
  <c r="BJ104" i="11"/>
  <c r="H105" i="11"/>
  <c r="S105" i="11" l="1"/>
  <c r="J105" i="11"/>
  <c r="BJ105" i="11"/>
  <c r="H106" i="11"/>
  <c r="S106" i="11" l="1"/>
  <c r="J106" i="11"/>
  <c r="BJ106" i="11"/>
  <c r="H107" i="11"/>
  <c r="S107" i="11" l="1"/>
  <c r="J107" i="11"/>
  <c r="BJ107" i="11"/>
  <c r="H108" i="11"/>
  <c r="S108" i="11" l="1"/>
  <c r="J108" i="11"/>
  <c r="BJ108" i="11"/>
  <c r="H109" i="11"/>
  <c r="S109" i="11" l="1"/>
  <c r="J109" i="11"/>
  <c r="BJ109" i="11"/>
  <c r="H110" i="11"/>
  <c r="J110" i="11" l="1"/>
  <c r="S110" i="11"/>
  <c r="BJ110" i="11"/>
  <c r="H111" i="11"/>
  <c r="J111" i="11" l="1"/>
  <c r="S111" i="11"/>
  <c r="BJ111" i="11"/>
  <c r="H112" i="11"/>
  <c r="J112" i="11" l="1"/>
  <c r="S112" i="11"/>
  <c r="BJ112" i="11"/>
  <c r="H113" i="11"/>
  <c r="S113" i="11" l="1"/>
  <c r="J113" i="11"/>
  <c r="BJ113" i="11"/>
  <c r="H114" i="11"/>
  <c r="S114" i="11" l="1"/>
  <c r="J114" i="11"/>
  <c r="BJ114" i="11"/>
  <c r="H115" i="11"/>
  <c r="S115" i="11" l="1"/>
  <c r="J115" i="11"/>
  <c r="BJ115" i="11"/>
  <c r="H116" i="11"/>
  <c r="S116" i="11" l="1"/>
  <c r="J116" i="11"/>
  <c r="BJ116" i="11"/>
  <c r="H117" i="11"/>
  <c r="S117" i="11" l="1"/>
  <c r="J117" i="11"/>
  <c r="BJ117" i="11"/>
  <c r="H118" i="11"/>
  <c r="J118" i="11" l="1"/>
  <c r="S118" i="11"/>
  <c r="BJ118" i="11"/>
  <c r="H119" i="11"/>
  <c r="J119" i="11" l="1"/>
  <c r="S119" i="11"/>
  <c r="BJ119" i="11"/>
  <c r="H120" i="11"/>
  <c r="J120" i="11" l="1"/>
  <c r="S120" i="11"/>
  <c r="BJ120" i="11"/>
  <c r="H121" i="11"/>
  <c r="S121" i="11" l="1"/>
  <c r="J121" i="11"/>
  <c r="BJ121" i="11"/>
  <c r="H122" i="11"/>
  <c r="S122" i="11" l="1"/>
  <c r="J122" i="11"/>
  <c r="BJ122" i="11"/>
  <c r="H123" i="11"/>
  <c r="S123" i="11" l="1"/>
  <c r="J123" i="11"/>
  <c r="BJ123" i="11"/>
  <c r="H124" i="11"/>
  <c r="S124" i="11" l="1"/>
  <c r="J124" i="11"/>
  <c r="BJ124" i="11"/>
  <c r="H125" i="11"/>
  <c r="S125" i="11" l="1"/>
  <c r="J125" i="11"/>
  <c r="BJ125" i="11"/>
  <c r="H126" i="11"/>
  <c r="J126" i="11" l="1"/>
  <c r="S126" i="11"/>
  <c r="BJ126" i="11"/>
  <c r="H127" i="11"/>
  <c r="J127" i="11" l="1"/>
  <c r="S127" i="11"/>
  <c r="BJ127" i="11"/>
  <c r="H135" i="11"/>
  <c r="AO135" i="11" l="1"/>
  <c r="BJ135" i="11"/>
  <c r="H136" i="11"/>
  <c r="BJ136" i="11" s="1"/>
  <c r="S135" i="11"/>
  <c r="S136" i="11" l="1"/>
  <c r="AO136" i="11"/>
  <c r="H137" i="11"/>
  <c r="BJ137" i="11" s="1"/>
  <c r="S137" i="11" l="1"/>
  <c r="AO137" i="11"/>
  <c r="H138" i="11"/>
  <c r="BJ138" i="11" s="1"/>
  <c r="S138" i="11" l="1"/>
  <c r="AO138" i="11"/>
  <c r="H139" i="11"/>
  <c r="BJ139" i="11" s="1"/>
  <c r="S139" i="11" l="1"/>
  <c r="AO139" i="11"/>
  <c r="H140" i="11"/>
  <c r="BJ140" i="11" s="1"/>
  <c r="S140" i="11" l="1"/>
  <c r="AO140" i="11"/>
  <c r="H141" i="11"/>
  <c r="BJ141" i="11" s="1"/>
  <c r="S141" i="11" l="1"/>
  <c r="AO141" i="11"/>
  <c r="H142" i="11"/>
  <c r="BJ142" i="11" s="1"/>
  <c r="S142" i="11" l="1"/>
  <c r="AO142" i="11"/>
  <c r="H143" i="11"/>
  <c r="BJ143" i="11" s="1"/>
  <c r="S143" i="11" l="1"/>
  <c r="AO143" i="11"/>
  <c r="H144" i="11"/>
  <c r="BJ144" i="11" s="1"/>
  <c r="AO144" i="11" l="1"/>
  <c r="S144" i="11"/>
  <c r="H145" i="11"/>
  <c r="BJ145" i="11" s="1"/>
  <c r="S145" i="11" l="1"/>
  <c r="AO145" i="11"/>
  <c r="H146" i="11"/>
  <c r="BJ146" i="11" s="1"/>
  <c r="S146" i="11" l="1"/>
  <c r="AO146" i="11"/>
  <c r="H147" i="11"/>
  <c r="BJ147" i="11" s="1"/>
  <c r="S147" i="11" l="1"/>
  <c r="AO147" i="11"/>
  <c r="H148" i="11"/>
  <c r="BJ148" i="11" s="1"/>
  <c r="S148" i="11" l="1"/>
  <c r="AO148" i="11"/>
  <c r="H149" i="11"/>
  <c r="BJ149" i="11" s="1"/>
  <c r="S149" i="11" l="1"/>
  <c r="AO149" i="11"/>
  <c r="H150" i="11"/>
  <c r="BJ150" i="11" s="1"/>
  <c r="S150" i="11" l="1"/>
  <c r="AO150" i="11"/>
  <c r="H151" i="11"/>
  <c r="BJ151" i="11" s="1"/>
  <c r="S151" i="11" l="1"/>
  <c r="AO151" i="11"/>
  <c r="H152" i="11"/>
  <c r="BJ152" i="11" s="1"/>
  <c r="S152" i="11" l="1"/>
  <c r="AO152" i="11"/>
  <c r="H153" i="11"/>
  <c r="BJ153" i="11" s="1"/>
  <c r="S153" i="11" l="1"/>
  <c r="AO153" i="11"/>
  <c r="H154" i="11"/>
  <c r="BJ154" i="11" s="1"/>
  <c r="AO154" i="11" l="1"/>
  <c r="S154" i="11"/>
  <c r="H155" i="11"/>
  <c r="BJ155" i="11" s="1"/>
  <c r="AO155" i="11" l="1"/>
  <c r="S155" i="11"/>
  <c r="H156" i="11"/>
  <c r="BJ156" i="11" s="1"/>
  <c r="AO156" i="11" l="1"/>
  <c r="S156" i="11"/>
  <c r="H157" i="11"/>
  <c r="BJ157" i="11" s="1"/>
  <c r="AO157" i="11" l="1"/>
  <c r="S157" i="11"/>
  <c r="H158" i="11"/>
  <c r="BJ158" i="11" s="1"/>
  <c r="AO158" i="11" l="1"/>
  <c r="S158" i="11"/>
  <c r="H159" i="11"/>
  <c r="BJ159" i="11" s="1"/>
  <c r="S159" i="11" l="1"/>
  <c r="AO159" i="11"/>
  <c r="G167" i="11"/>
  <c r="AO167" i="11" s="1"/>
  <c r="G168" i="11" l="1"/>
  <c r="AO168" i="11" s="1"/>
  <c r="S167" i="11"/>
  <c r="G169" i="11" l="1"/>
  <c r="AO169" i="11" s="1"/>
  <c r="S168" i="11"/>
  <c r="G170" i="11" l="1"/>
  <c r="AO170" i="11" s="1"/>
  <c r="S169" i="11"/>
  <c r="G171" i="11" l="1"/>
  <c r="AO171" i="11" s="1"/>
  <c r="S170" i="11"/>
  <c r="G172" i="11" l="1"/>
  <c r="AO172" i="11" s="1"/>
  <c r="S171" i="11"/>
  <c r="G173" i="11" l="1"/>
  <c r="AO173" i="11" s="1"/>
  <c r="S172" i="11"/>
  <c r="H179" i="11" l="1"/>
  <c r="S173" i="11"/>
  <c r="BX179" i="11" l="1"/>
  <c r="BI179" i="11"/>
  <c r="H180" i="11"/>
  <c r="AO180" i="11" s="1"/>
  <c r="S179" i="11"/>
  <c r="BX180" i="11" l="1"/>
  <c r="H181" i="11"/>
  <c r="AO181" i="11" s="1"/>
  <c r="S180" i="11"/>
  <c r="BX181" i="11" l="1"/>
  <c r="H182" i="11"/>
  <c r="AO182" i="11" s="1"/>
  <c r="S181" i="11"/>
  <c r="BX182" i="11" l="1"/>
  <c r="H183" i="11"/>
  <c r="AO183" i="11" s="1"/>
  <c r="S182" i="11"/>
  <c r="BX183" i="11" l="1"/>
  <c r="H184" i="11"/>
  <c r="AO184" i="11" s="1"/>
  <c r="S183" i="11"/>
  <c r="BX184" i="11" l="1"/>
  <c r="H185" i="11"/>
  <c r="AO185" i="11" s="1"/>
  <c r="S184" i="11"/>
  <c r="BX185" i="11" l="1"/>
  <c r="H186" i="11"/>
  <c r="AO186" i="11" s="1"/>
  <c r="S185" i="11"/>
  <c r="BX186" i="11" l="1"/>
  <c r="H187" i="11"/>
  <c r="AO187" i="11" s="1"/>
  <c r="S186" i="11"/>
  <c r="BX187" i="11" l="1"/>
  <c r="H188" i="11"/>
  <c r="AO188" i="11" s="1"/>
  <c r="S187" i="11"/>
  <c r="BX188" i="11" l="1"/>
  <c r="H189" i="11"/>
  <c r="AO189" i="11" s="1"/>
  <c r="S188" i="11"/>
  <c r="BX189" i="11" l="1"/>
  <c r="H190" i="11"/>
  <c r="AO190" i="11" s="1"/>
  <c r="S189" i="11"/>
  <c r="BX190" i="11" l="1"/>
  <c r="H191" i="11"/>
  <c r="AO191" i="11" s="1"/>
  <c r="S190" i="11"/>
  <c r="BX191" i="11" l="1"/>
  <c r="H192" i="11"/>
  <c r="AO192" i="11" s="1"/>
  <c r="S191" i="11"/>
  <c r="BX192" i="11" l="1"/>
  <c r="H193" i="11"/>
  <c r="AO193" i="11" s="1"/>
  <c r="S192" i="11"/>
  <c r="BX193" i="11" l="1"/>
  <c r="H194" i="11"/>
  <c r="AO194" i="11" s="1"/>
  <c r="S193" i="11"/>
  <c r="BX194" i="11" l="1"/>
  <c r="H195" i="11"/>
  <c r="AO195" i="11" s="1"/>
  <c r="S194" i="11"/>
  <c r="BX195" i="11" l="1"/>
  <c r="H196" i="11"/>
  <c r="AO196" i="11" s="1"/>
  <c r="S195" i="11"/>
  <c r="BX196" i="11" l="1"/>
  <c r="H197" i="11"/>
  <c r="AO197" i="11" s="1"/>
  <c r="S196" i="11"/>
  <c r="BX197" i="11" l="1"/>
  <c r="H198" i="11"/>
  <c r="AO198" i="11" s="1"/>
  <c r="S197" i="11"/>
  <c r="BX198" i="11" l="1"/>
  <c r="H199" i="11"/>
  <c r="AO199" i="11" s="1"/>
  <c r="S198" i="11"/>
  <c r="BX199" i="11" l="1"/>
  <c r="H200" i="11"/>
  <c r="AO200" i="11" s="1"/>
  <c r="S199" i="11"/>
  <c r="BX200" i="11" l="1"/>
  <c r="H201" i="11"/>
  <c r="AO201" i="11" s="1"/>
  <c r="S200" i="11"/>
  <c r="BX201" i="11" l="1"/>
  <c r="H202" i="11"/>
  <c r="AO202" i="11" s="1"/>
  <c r="S201" i="11"/>
  <c r="BX202" i="11" l="1"/>
  <c r="H203" i="11"/>
  <c r="AO203" i="11" s="1"/>
  <c r="S202" i="11"/>
  <c r="BX203" i="11" l="1"/>
  <c r="H204" i="11"/>
  <c r="AO204" i="11" s="1"/>
  <c r="S203" i="11"/>
  <c r="BX204" i="11" l="1"/>
  <c r="H205" i="11"/>
  <c r="AO205" i="11" s="1"/>
  <c r="S204" i="11"/>
  <c r="BX205" i="11" l="1"/>
  <c r="H206" i="11"/>
  <c r="BX206" i="11" s="1"/>
  <c r="S205" i="11"/>
  <c r="H207" i="11" l="1"/>
  <c r="AO207" i="11" s="1"/>
  <c r="S206" i="11"/>
  <c r="BX207" i="11" l="1"/>
  <c r="H208" i="11"/>
  <c r="AO208" i="11" s="1"/>
  <c r="S207" i="11"/>
  <c r="BX208" i="11" l="1"/>
  <c r="H209" i="11"/>
  <c r="AO209" i="11" s="1"/>
  <c r="S208" i="11"/>
  <c r="BX209" i="11" l="1"/>
  <c r="H210" i="11"/>
  <c r="AO210" i="11" s="1"/>
  <c r="S209" i="11"/>
  <c r="BX210" i="11" l="1"/>
  <c r="H211" i="11"/>
  <c r="AO211" i="11" s="1"/>
  <c r="S210" i="11"/>
  <c r="BX211" i="11" l="1"/>
  <c r="H212" i="11"/>
  <c r="AO212" i="11" s="1"/>
  <c r="S211" i="11"/>
  <c r="BX212" i="11" l="1"/>
  <c r="H213" i="11"/>
  <c r="S212" i="11"/>
  <c r="BX213" i="11" l="1"/>
  <c r="BI213" i="11"/>
  <c r="H214" i="11"/>
  <c r="S213" i="11"/>
  <c r="BX214" i="11" l="1"/>
  <c r="BI214" i="11"/>
  <c r="I220" i="11"/>
  <c r="AO220" i="11" s="1"/>
  <c r="S214" i="11"/>
  <c r="I221" i="11" l="1"/>
  <c r="AO221" i="11" s="1"/>
  <c r="S220" i="11"/>
  <c r="I222" i="11" l="1"/>
  <c r="AO222" i="11" s="1"/>
  <c r="S221" i="11"/>
  <c r="I223" i="11" l="1"/>
  <c r="AO223" i="11" s="1"/>
  <c r="S222" i="11"/>
  <c r="G228" i="11" l="1"/>
  <c r="AO228" i="11" s="1"/>
  <c r="S223" i="11"/>
  <c r="G229" i="11" l="1"/>
  <c r="AO229" i="11" s="1"/>
  <c r="S228" i="11"/>
  <c r="G230" i="11" l="1"/>
  <c r="AO230" i="11" s="1"/>
  <c r="S229" i="11"/>
  <c r="G231" i="11" l="1"/>
  <c r="AO231" i="11" s="1"/>
  <c r="S230" i="11"/>
  <c r="F237" i="11" l="1"/>
  <c r="S231" i="11"/>
  <c r="F238" i="11" l="1"/>
  <c r="S237" i="11"/>
  <c r="BI237" i="11"/>
  <c r="S238" i="11" l="1"/>
  <c r="BI238" i="11"/>
  <c r="I206" i="11" a="1"/>
  <c r="I206" i="11" s="1"/>
  <c r="AO20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F445C6-D627-4790-8E1D-06930449E81E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2" xr16:uid="{3C9492CE-3630-4A1B-88FC-E03371CB74FE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1D97DA87-CE2C-44D1-A83A-2F4CF098A0EA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08BCE883-D5EF-4699-9464-506527863E9B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50C8874B-4086-4107-8033-FF5F8702B16C}" keepAlive="1" name="Query - Table9" description="Connection to the 'Table9' query in the workbook." type="5" refreshedVersion="0" background="1" saveData="1">
    <dbPr connection="Provider=Microsoft.Mashup.OleDb.1;Data Source=$Workbook$;Location=Table9;Extended Properties=&quot;&quot;" command="SELECT * FROM [Table9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<sst xmlns="http://schemas.openxmlformats.org/spreadsheetml/2006/main" count="4292" uniqueCount="483">
  <si>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</si>
  <si>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</si>
  <si>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</si>
  <si>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</si>
  <si>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</si>
  <si>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</si>
  <si>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</si>
  <si>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</si>
  <si>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SQL</t>
  </si>
  <si>
    <t>table_name</t>
  </si>
  <si>
    <t>Planta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</si>
  <si>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</si>
  <si>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</si>
  <si>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</si>
  <si>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</si>
  <si>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</si>
  <si>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</si>
  <si>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</si>
  <si>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</si>
  <si>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</si>
  <si>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</si>
  <si>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</si>
  <si>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</si>
  <si>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</si>
  <si>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</si>
  <si>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</si>
  <si>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</si>
  <si>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</si>
  <si>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</si>
  <si>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</si>
  <si>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</si>
  <si>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</si>
  <si>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</si>
  <si>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</si>
  <si>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</si>
  <si>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</si>
  <si>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</si>
  <si>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</si>
  <si>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</si>
  <si>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</si>
  <si>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</si>
  <si>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</si>
  <si>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</si>
  <si>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</si>
  <si>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</si>
  <si>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</si>
  <si>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</si>
  <si>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</si>
  <si>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</si>
  <si>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</si>
  <si>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</si>
  <si>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</si>
  <si>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</si>
  <si>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</si>
  <si>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</si>
  <si>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</si>
  <si>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</si>
  <si>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</si>
  <si>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</si>
  <si>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</si>
  <si>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</si>
  <si>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</si>
  <si>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</si>
  <si>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</si>
  <si>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</si>
  <si>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</si>
  <si>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</si>
  <si>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</si>
  <si>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</si>
  <si>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</si>
  <si>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</si>
  <si>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</si>
  <si>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</si>
  <si>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</si>
  <si>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</si>
  <si>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</si>
  <si>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</si>
  <si>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</si>
  <si>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</si>
  <si>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</si>
  <si>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</si>
  <si>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</si>
  <si>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</si>
  <si>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</si>
  <si>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</si>
  <si>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</si>
  <si>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</si>
  <si>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</si>
  <si>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</si>
  <si>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</si>
  <si>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</si>
  <si>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</si>
  <si>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</si>
  <si>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</si>
  <si>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</si>
  <si>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</si>
  <si>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</si>
  <si>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</si>
  <si>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</si>
  <si>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</si>
  <si>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</si>
  <si>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</si>
  <si>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</si>
  <si>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</si>
  <si>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</si>
  <si>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</si>
  <si>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</si>
  <si>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</si>
  <si>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</si>
  <si>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</si>
  <si>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</si>
  <si>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</si>
  <si>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</si>
  <si>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</si>
  <si>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</si>
  <si>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</si>
  <si>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</si>
  <si>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</si>
  <si>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</si>
  <si>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</si>
  <si>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</si>
  <si>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</si>
  <si>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</si>
  <si>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</si>
  <si>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</si>
  <si>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</si>
  <si>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</si>
  <si>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</si>
  <si>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</si>
  <si>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</si>
  <si>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</si>
  <si>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</si>
  <si>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</si>
  <si>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</si>
  <si>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</si>
  <si>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</si>
  <si>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</t>
  </si>
  <si>
    <t>Nabo</t>
  </si>
  <si>
    <t>S. Cosme</t>
  </si>
  <si>
    <t>Fevereiro a abril, agosto a outubro</t>
  </si>
  <si>
    <t>90 dias</t>
  </si>
  <si>
    <t>Vitis vinifera</t>
  </si>
  <si>
    <t>Videira</t>
  </si>
  <si>
    <t>Dona Maria</t>
  </si>
  <si>
    <t>Dezembro a janeiro</t>
  </si>
  <si>
    <t>Maio</t>
  </si>
  <si>
    <t>Junho a agosto</t>
  </si>
  <si>
    <t>Cardinal</t>
  </si>
  <si>
    <t>CalendarioAcaoAgricola</t>
  </si>
  <si>
    <t>TipoPermanencia</t>
  </si>
  <si>
    <t>TipoAcaoAgricola</t>
  </si>
  <si>
    <t>DataAcaoAgricola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</si>
  <si>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</si>
  <si>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</si>
  <si>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</si>
  <si>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</si>
  <si>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</si>
  <si>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</si>
  <si>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</si>
  <si>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</si>
  <si>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</si>
  <si>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</si>
  <si>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Ph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</si>
  <si>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</si>
  <si>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</si>
  <si>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</si>
  <si>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</si>
  <si>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</si>
  <si>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</si>
  <si>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</si>
  <si>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</si>
  <si>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</si>
  <si>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</si>
  <si>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</si>
  <si>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</si>
  <si>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</si>
  <si>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</si>
  <si>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</si>
  <si>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</si>
  <si>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</si>
  <si>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</si>
  <si>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</si>
  <si>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</si>
  <si>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</si>
  <si>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</si>
  <si>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</si>
  <si>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</si>
  <si>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</si>
  <si>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</si>
  <si>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</si>
  <si>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</si>
  <si>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</si>
  <si>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</si>
  <si>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</si>
  <si>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</si>
  <si>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Sonata</t>
  </si>
  <si>
    <t>Líquido</t>
  </si>
  <si>
    <t>Bacillus pumilus</t>
  </si>
  <si>
    <t xml:space="preserve">FLiPPER </t>
  </si>
  <si>
    <t>Emulsão de óleo em água</t>
  </si>
  <si>
    <t>Insecticida</t>
  </si>
  <si>
    <t>Ácidos gordos (na forma de sais de potássio)</t>
  </si>
  <si>
    <t>Requiem Prime</t>
  </si>
  <si>
    <t>Terpenóides</t>
  </si>
  <si>
    <t>FatorProducao</t>
  </si>
  <si>
    <t>ConstituicaoQuimica</t>
  </si>
  <si>
    <t>table_ name</t>
  </si>
  <si>
    <t>Classificacao</t>
  </si>
  <si>
    <t>ComponenteQuimico</t>
  </si>
  <si>
    <t>MetodoAplicacao</t>
  </si>
  <si>
    <t>Formulacao</t>
  </si>
  <si>
    <t>ID</t>
  </si>
  <si>
    <t>Dimensão</t>
  </si>
  <si>
    <t>Unidade</t>
  </si>
  <si>
    <t>Parcela</t>
  </si>
  <si>
    <t>Campo da bouça</t>
  </si>
  <si>
    <t>ha</t>
  </si>
  <si>
    <t>TipoUnidade</t>
  </si>
  <si>
    <t>Campo Grande</t>
  </si>
  <si>
    <t>Campo do poço</t>
  </si>
  <si>
    <t>Lameiro da ponte</t>
  </si>
  <si>
    <t>Lameiro do moinho</t>
  </si>
  <si>
    <t>INSERT INTO TipoUnidade(designacaoUnidade) VALUES ('un');</t>
  </si>
  <si>
    <t>Horta nova</t>
  </si>
  <si>
    <t>INSERT INTO TipoUnidade(designacaoUnidade) VALUES ('kg');</t>
  </si>
  <si>
    <t>Vinha</t>
  </si>
  <si>
    <t>Armazém</t>
  </si>
  <si>
    <t>Espigueiro</t>
  </si>
  <si>
    <t>m2</t>
  </si>
  <si>
    <t>Armazém novo</t>
  </si>
  <si>
    <t>Garagem</t>
  </si>
  <si>
    <t>Armazém grande</t>
  </si>
  <si>
    <t>TipoEdificio</t>
  </si>
  <si>
    <t>Moinho</t>
  </si>
  <si>
    <t>Rega</t>
  </si>
  <si>
    <t>Tanque do campo grande</t>
  </si>
  <si>
    <t>m3</t>
  </si>
  <si>
    <t>Poço da bouça</t>
  </si>
  <si>
    <t>Edificio</t>
  </si>
  <si>
    <t>Cultura</t>
  </si>
  <si>
    <t>Tremoço Amarelo</t>
  </si>
  <si>
    <t>Milho Doce Golden Bantam</t>
  </si>
  <si>
    <t>Milho MAS 24.C</t>
  </si>
  <si>
    <t>Oliveira Galega</t>
  </si>
  <si>
    <t>Oliveira Picual</t>
  </si>
  <si>
    <t>Cenoura Scarlet Nantes</t>
  </si>
  <si>
    <t>Cenoura Nelson Hybrid</t>
  </si>
  <si>
    <t>Nabo S. Cosme</t>
  </si>
  <si>
    <t>Cenoura Sugarsnax Hybrid</t>
  </si>
  <si>
    <t>Cenoura Danvers Half Long</t>
  </si>
  <si>
    <t>Nabo greleiro Senhora Conceição</t>
  </si>
  <si>
    <t>Macieira Jonagored</t>
  </si>
  <si>
    <t>Macieira Fuji</t>
  </si>
  <si>
    <t>Macieira Royal Gala</t>
  </si>
  <si>
    <t>Videira Dona Maria</t>
  </si>
  <si>
    <t>Videira Cardinal</t>
  </si>
  <si>
    <t>Horta Nova</t>
  </si>
  <si>
    <t>Data Inicial</t>
  </si>
  <si>
    <t>Data Final</t>
  </si>
  <si>
    <t>Quantidade</t>
  </si>
  <si>
    <t>Unidades</t>
  </si>
  <si>
    <t>idCultura</t>
  </si>
  <si>
    <t>DONE?</t>
  </si>
  <si>
    <t>idColheitaPrevista</t>
  </si>
  <si>
    <t>SETOR</t>
  </si>
  <si>
    <t>CulturaInstalada</t>
  </si>
  <si>
    <t>✅</t>
  </si>
  <si>
    <t>un</t>
  </si>
  <si>
    <t>Abóbora Manteiga</t>
  </si>
  <si>
    <t>ID cultura</t>
  </si>
  <si>
    <t>NomeComum</t>
  </si>
  <si>
    <t>Produto</t>
  </si>
  <si>
    <t>Azeitona</t>
  </si>
  <si>
    <t>Maçã</t>
  </si>
  <si>
    <t>Uvas</t>
  </si>
  <si>
    <t>Butternut</t>
  </si>
  <si>
    <t>Abóbora</t>
  </si>
  <si>
    <t>nome_tabela</t>
  </si>
  <si>
    <t>Producao</t>
  </si>
  <si>
    <t>ID Parcela</t>
  </si>
  <si>
    <t>Operação</t>
  </si>
  <si>
    <t>Modo</t>
  </si>
  <si>
    <t>Data</t>
  </si>
  <si>
    <t>Fator de produção</t>
  </si>
  <si>
    <t>dataInicial</t>
  </si>
  <si>
    <t>idOperação</t>
  </si>
  <si>
    <t>NomeComun</t>
  </si>
  <si>
    <t>Operacao</t>
  </si>
  <si>
    <t>OperacaoCultura</t>
  </si>
  <si>
    <t>Plantação</t>
  </si>
  <si>
    <t>Fertilização</t>
  </si>
  <si>
    <t>Solo</t>
  </si>
  <si>
    <t>kg</t>
  </si>
  <si>
    <t>Aplicação fitofármaco</t>
  </si>
  <si>
    <t>Sementeira</t>
  </si>
  <si>
    <t>OperacaoParcela</t>
  </si>
  <si>
    <t>Incorporação no solo</t>
  </si>
  <si>
    <t>Foliar</t>
  </si>
  <si>
    <t>TipoOperacaoAgricola</t>
  </si>
  <si>
    <t>AplicacaoFatorProducao</t>
  </si>
  <si>
    <t>idStock</t>
  </si>
  <si>
    <t>Stock</t>
  </si>
  <si>
    <t>FatorProdução</t>
  </si>
  <si>
    <t>Fertimax Extrume de Cavalo</t>
  </si>
  <si>
    <t>BIOFERTIL N6</t>
  </si>
  <si>
    <t>nomeComum</t>
  </si>
  <si>
    <t>especie</t>
  </si>
  <si>
    <t>variedade</t>
  </si>
  <si>
    <t>tipoperm.</t>
  </si>
  <si>
    <t xml:space="preserve"> Cucurbita Moschata</t>
  </si>
  <si>
    <t>manteiga</t>
  </si>
  <si>
    <t>Primavera</t>
  </si>
  <si>
    <t>Final Verão ou Outono</t>
  </si>
  <si>
    <t>nome</t>
  </si>
  <si>
    <t>area</t>
  </si>
  <si>
    <t>unidade</t>
  </si>
  <si>
    <t>data</t>
  </si>
  <si>
    <t>Campo Novo</t>
  </si>
  <si>
    <t>[1º] FICHA TECNICA</t>
  </si>
  <si>
    <t>[2º] FICHA TECNICA:</t>
  </si>
  <si>
    <t>Matéria Orgânica</t>
  </si>
  <si>
    <t>N</t>
  </si>
  <si>
    <t>classificacao</t>
  </si>
  <si>
    <t>metodo</t>
  </si>
  <si>
    <t>nomeC.</t>
  </si>
  <si>
    <t>fabricante</t>
  </si>
  <si>
    <t>formulacao</t>
  </si>
  <si>
    <t>pH</t>
  </si>
  <si>
    <t>P2O5</t>
  </si>
  <si>
    <t>[1º]</t>
  </si>
  <si>
    <t>Nutrofertil</t>
  </si>
  <si>
    <t>6.7</t>
  </si>
  <si>
    <t>K2O</t>
  </si>
  <si>
    <t>[2º]</t>
  </si>
  <si>
    <t>6.5</t>
  </si>
  <si>
    <t>Ca</t>
  </si>
  <si>
    <t>IDSETOR</t>
  </si>
  <si>
    <t>DATA INICIO</t>
  </si>
  <si>
    <t>DATA FIM</t>
  </si>
  <si>
    <t>CAUDAL MAXIMO</t>
  </si>
  <si>
    <t>UNIDADE</t>
  </si>
  <si>
    <t>l/h</t>
  </si>
  <si>
    <t>Setor</t>
  </si>
  <si>
    <t>PARCELA</t>
  </si>
  <si>
    <t>NOME CULTURA</t>
  </si>
  <si>
    <t>VARIEDADE</t>
  </si>
  <si>
    <t>DATA INICIAL REGA</t>
  </si>
  <si>
    <t xml:space="preserve"> DATA FINAL REGA</t>
  </si>
  <si>
    <t>Data Incial</t>
  </si>
  <si>
    <t>Picual</t>
  </si>
  <si>
    <t>Oliveira Piscual</t>
  </si>
  <si>
    <t>Arbequina</t>
  </si>
  <si>
    <t>Oliveira Arbequina</t>
  </si>
  <si>
    <t>Jonagored</t>
  </si>
  <si>
    <t>Fuji</t>
  </si>
  <si>
    <t>Royal Gala</t>
  </si>
  <si>
    <t>Pipo de Basto</t>
  </si>
  <si>
    <t>Macieira Pipo de Basto</t>
  </si>
  <si>
    <t>Porta da Loja</t>
  </si>
  <si>
    <t>Macieira Porta da Loja</t>
  </si>
  <si>
    <t>Malápio</t>
  </si>
  <si>
    <t>Macieira Malápio</t>
  </si>
  <si>
    <t>Canada</t>
  </si>
  <si>
    <t>Macieira Canada</t>
  </si>
  <si>
    <t>Grand Fay</t>
  </si>
  <si>
    <t>Macieira Grand Fay</t>
  </si>
  <si>
    <t>Gronho Doce</t>
  </si>
  <si>
    <t>Macieira Gronho Doce</t>
  </si>
  <si>
    <t xml:space="preserve"> 31/05/2023</t>
  </si>
  <si>
    <t xml:space="preserve"> 08/10/2023</t>
  </si>
  <si>
    <t xml:space="preserve"> 10/09/2023</t>
  </si>
  <si>
    <t>SetorCulturaInstalada</t>
  </si>
  <si>
    <t>TIPO OPERACAO</t>
  </si>
  <si>
    <t>QUANTIDADE</t>
  </si>
  <si>
    <t>Hora Inicial</t>
  </si>
  <si>
    <t>DATA</t>
  </si>
  <si>
    <t>min</t>
  </si>
  <si>
    <t>legacy file previous cultures</t>
  </si>
  <si>
    <t>CULTURA</t>
  </si>
  <si>
    <t>PRODUTO</t>
  </si>
  <si>
    <t>Azeitona Arbequina</t>
  </si>
  <si>
    <t>Azeitona Picual</t>
  </si>
  <si>
    <t>Azeitona Galega</t>
  </si>
  <si>
    <t>Maçã Canada</t>
  </si>
  <si>
    <t>Maçã Grand Fay</t>
  </si>
  <si>
    <t>Maçã Pipo de Basto</t>
  </si>
  <si>
    <t>Maçã Gronho Doce</t>
  </si>
  <si>
    <t>Maçã Malápio</t>
  </si>
  <si>
    <t>Maçã Porta da Loja</t>
  </si>
  <si>
    <t>Maçã Royal Gala</t>
  </si>
  <si>
    <t>Maçã Jonagored</t>
  </si>
  <si>
    <t>Maçã Fuji</t>
  </si>
  <si>
    <t>data inicial</t>
  </si>
  <si>
    <t>NOME COMERCIAL</t>
  </si>
  <si>
    <t>Aplicação de fator de produção</t>
  </si>
  <si>
    <t>QUANTIDADE CULTURA</t>
  </si>
  <si>
    <t>UNIDADE CULTURA</t>
  </si>
  <si>
    <t>QUANTIDADE OPERACAO</t>
  </si>
  <si>
    <t>UNIDADE OPERACAO</t>
  </si>
  <si>
    <t>Semeadura</t>
  </si>
  <si>
    <t>Monda</t>
  </si>
  <si>
    <t>Mobilização do solo</t>
  </si>
  <si>
    <t>Tecniferti MOL</t>
  </si>
  <si>
    <t>Tecniferti</t>
  </si>
  <si>
    <t>Matéria orgânica</t>
  </si>
  <si>
    <t>Adubo solo+Adubo foliar</t>
  </si>
  <si>
    <t>N orgânico</t>
  </si>
  <si>
    <t>soluSOP 52</t>
  </si>
  <si>
    <t>Pó molhavel</t>
  </si>
  <si>
    <t>SO3</t>
  </si>
  <si>
    <t>52,5%</t>
  </si>
  <si>
    <t>Floracal Flow SL</t>
  </si>
  <si>
    <t>Plymag</t>
  </si>
  <si>
    <t>CaO</t>
  </si>
  <si>
    <t>Kiplant AllGrip</t>
  </si>
  <si>
    <t>Asfertglobal</t>
  </si>
  <si>
    <t>Fertirrega</t>
  </si>
  <si>
    <t>Cuperdem</t>
  </si>
  <si>
    <t>Cu</t>
  </si>
  <si>
    <t>Id</t>
  </si>
  <si>
    <t>C</t>
  </si>
  <si>
    <t>EPSO TOP</t>
  </si>
  <si>
    <t>Insert para a ReceitaFertirrega</t>
  </si>
  <si>
    <t>Insert para o CatalogoReceitaFertirrega</t>
  </si>
  <si>
    <t>setor</t>
  </si>
  <si>
    <t>duracao</t>
  </si>
  <si>
    <t>horaInicio</t>
  </si>
  <si>
    <t>parcela</t>
  </si>
  <si>
    <t>idOperacao</t>
  </si>
  <si>
    <t>Operacao Cultura</t>
  </si>
  <si>
    <t>Inicio</t>
  </si>
  <si>
    <t>Data Fim</t>
  </si>
  <si>
    <t>Parcelas</t>
  </si>
  <si>
    <t>Nome Comum</t>
  </si>
  <si>
    <t>NULL</t>
  </si>
  <si>
    <t>l/ha</t>
  </si>
  <si>
    <t>Sugarnax Hybrid</t>
  </si>
  <si>
    <t>31/05/2023</t>
  </si>
  <si>
    <t>17/06/2023</t>
  </si>
  <si>
    <t>Manteiga</t>
  </si>
  <si>
    <t>17/07/2023</t>
  </si>
  <si>
    <t>17/08/2023</t>
  </si>
  <si>
    <t>18/09/2023</t>
  </si>
  <si>
    <t>Lameiro do Moinho</t>
  </si>
  <si>
    <t>13/05/2023</t>
  </si>
  <si>
    <t>22/07/2023</t>
  </si>
  <si>
    <t>29/07/2023</t>
  </si>
  <si>
    <t>24/08/2023</t>
  </si>
  <si>
    <t>inicio</t>
  </si>
  <si>
    <t>mix</t>
  </si>
  <si>
    <t>id operacao</t>
  </si>
  <si>
    <t>tamanho</t>
  </si>
  <si>
    <t>Aplicação Fator Producao</t>
  </si>
  <si>
    <t>16/06/2023</t>
  </si>
  <si>
    <t>15/07/2023</t>
  </si>
  <si>
    <t>30/06/2023</t>
  </si>
  <si>
    <t>20/05/2023</t>
  </si>
  <si>
    <t>INSERT INTO AplicacaoFatorProducao (nomeComercial, idOperacao) VALUES ('EPSO TOP',304);</t>
  </si>
  <si>
    <t>INSERT INTO AplicacaoFatorProducao (nomeComercial, idOperacao) VALUES ('soluSOP 52',304);</t>
  </si>
  <si>
    <t>INSERT INTO AplicacaoFatorProducao (nomeComercial, idOperacao) VALUES ('Floracal Flow SL',304);</t>
  </si>
  <si>
    <t>INSERT INTO AplicacaoFatorProducao (nomeComercial, idOperacao) VALUES ('EPSO TOP',308);</t>
  </si>
  <si>
    <t>INSERT INTO AplicacaoFatorProducao (nomeComercial, idOperacao) VALUES ('soluSOP 52',308);</t>
  </si>
  <si>
    <t>INSERT INTO AplicacaoFatorProducao (nomeComercial, idOperacao) VALUES ('Floracal Flow SL',308);</t>
  </si>
  <si>
    <t>INSERT INTO AplicacaoFatorProducao (nomeComercial, idOperacao) VALUES ('EPSO TOP',315);</t>
  </si>
  <si>
    <t>INSERT INTO AplicacaoFatorProducao (nomeComercial, idOperacao) VALUES ('soluSOP 52',315);</t>
  </si>
  <si>
    <t>INSERT INTO AplicacaoFatorProducao (nomeComercial, idOperacao) VALUES ('Floracal Flow SL',315);</t>
  </si>
  <si>
    <t>Id Operacao</t>
  </si>
  <si>
    <t>Nome Operacao</t>
  </si>
  <si>
    <t>ProdutoColhido</t>
  </si>
  <si>
    <t>Operacao Parcela</t>
  </si>
  <si>
    <t>Operacao Setor</t>
  </si>
  <si>
    <t>14/06/2023</t>
  </si>
  <si>
    <t>Sugarsnax</t>
  </si>
  <si>
    <t>28/06/2023</t>
  </si>
  <si>
    <t>15/09/2023</t>
  </si>
  <si>
    <t>25/09/2023</t>
  </si>
  <si>
    <t>22/09/2023</t>
  </si>
  <si>
    <t>distancia</t>
  </si>
  <si>
    <t>Cultura Instalada</t>
  </si>
  <si>
    <t>20/06/2023</t>
  </si>
  <si>
    <t>INSERT INTO Operacao (idOperacao, designacaoOperacaoAgricola, designacaoUnidade, idEstadoOperacao, quantidade, dataOperacao, instanteRegistoOperacao) VALUES (546,'Monda','ha',1,0.5,TO_DATE('08/08/2023', 'DD/MM/YYYY'),CURRENT_TIMESTAMP);</t>
  </si>
  <si>
    <t xml:space="preserve">Cenoura </t>
  </si>
  <si>
    <t>Plano 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</si>
</sst>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h:mm;@"/>
    <numFmt numFmtId="167" formatCode="mm/dd/yy;@"/>
    <numFmt numFmtId="168" formatCode="[$-F400]h:mm:ss\ AM/PM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double"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0"/>
      <color rgb="FFFFFFFF"/>
      <name val="Arial Unicode MS"/>
    </font>
    <font>
      <sz val="8"/>
      <color theme="1"/>
      <name val="Calibri"/>
      <family val="2"/>
      <scheme val="minor"/>
    </font>
    <font>
      <sz val="10"/>
      <color rgb="FFCC7832"/>
      <name val="Arial Unicode MS"/>
    </font>
    <font>
      <sz val="9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5" borderId="2" applyNumberFormat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2" fillId="28" borderId="3" applyNumberFormat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9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9" fillId="42" borderId="0" applyNumberFormat="0" applyBorder="0" applyAlignment="0" applyProtection="0"/>
    <xf numFmtId="164" fontId="3" fillId="0" borderId="0" applyFont="0" applyFill="0" applyBorder="0" applyAlignment="0" applyProtection="0"/>
  </cellStyleXfs>
  <cellXfs count="184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15" borderId="0" xfId="0" applyFill="1"/>
    <xf numFmtId="0" fontId="1" fillId="15" borderId="0" xfId="0" applyFont="1" applyFill="1"/>
    <xf numFmtId="0" fontId="3" fillId="9" borderId="0" xfId="8"/>
    <xf numFmtId="0" fontId="3" fillId="8" borderId="0" xfId="7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1" borderId="0" xfId="10" applyFont="1"/>
    <xf numFmtId="0" fontId="0" fillId="20" borderId="0" xfId="0" applyFill="1"/>
    <xf numFmtId="0" fontId="0" fillId="21" borderId="0" xfId="0" applyFill="1"/>
    <xf numFmtId="0" fontId="8" fillId="0" borderId="0" xfId="0" applyFont="1"/>
    <xf numFmtId="0" fontId="0" fillId="12" borderId="0" xfId="11" applyFont="1"/>
    <xf numFmtId="0" fontId="3" fillId="14" borderId="0" xfId="13"/>
    <xf numFmtId="0" fontId="0" fillId="22" borderId="0" xfId="0" applyFill="1"/>
    <xf numFmtId="0" fontId="0" fillId="23" borderId="0" xfId="0" applyFill="1"/>
    <xf numFmtId="0" fontId="5" fillId="3" borderId="0" xfId="2"/>
    <xf numFmtId="0" fontId="4" fillId="2" borderId="0" xfId="1"/>
    <xf numFmtId="0" fontId="8" fillId="15" borderId="0" xfId="0" applyFont="1" applyFill="1"/>
    <xf numFmtId="0" fontId="0" fillId="24" borderId="0" xfId="0" applyFill="1"/>
    <xf numFmtId="0" fontId="8" fillId="24" borderId="0" xfId="0" applyFont="1" applyFill="1"/>
    <xf numFmtId="0" fontId="3" fillId="10" borderId="0" xfId="9"/>
    <xf numFmtId="0" fontId="7" fillId="5" borderId="2" xfId="4"/>
    <xf numFmtId="14" fontId="3" fillId="14" borderId="0" xfId="13" applyNumberFormat="1"/>
    <xf numFmtId="0" fontId="3" fillId="13" borderId="0" xfId="12"/>
    <xf numFmtId="14" fontId="3" fillId="13" borderId="0" xfId="12" applyNumberFormat="1"/>
    <xf numFmtId="0" fontId="0" fillId="25" borderId="0" xfId="0" applyFill="1"/>
    <xf numFmtId="0" fontId="0" fillId="26" borderId="0" xfId="0" applyFill="1"/>
    <xf numFmtId="14" fontId="5" fillId="3" borderId="0" xfId="2" applyNumberFormat="1"/>
    <xf numFmtId="0" fontId="10" fillId="0" borderId="0" xfId="0" applyFont="1"/>
    <xf numFmtId="0" fontId="9" fillId="6" borderId="0" xfId="5" applyBorder="1"/>
    <xf numFmtId="14" fontId="9" fillId="6" borderId="0" xfId="5" applyNumberFormat="1" applyBorder="1"/>
    <xf numFmtId="0" fontId="5" fillId="3" borderId="0" xfId="2" applyBorder="1"/>
    <xf numFmtId="0" fontId="9" fillId="6" borderId="0" xfId="5"/>
    <xf numFmtId="0" fontId="0" fillId="14" borderId="0" xfId="13" applyFont="1"/>
    <xf numFmtId="0" fontId="0" fillId="13" borderId="0" xfId="12" applyFont="1"/>
    <xf numFmtId="14" fontId="9" fillId="6" borderId="0" xfId="5" applyNumberFormat="1"/>
    <xf numFmtId="0" fontId="11" fillId="2" borderId="0" xfId="1" applyFont="1"/>
    <xf numFmtId="14" fontId="11" fillId="2" borderId="0" xfId="1" applyNumberFormat="1" applyFont="1"/>
    <xf numFmtId="0" fontId="0" fillId="27" borderId="0" xfId="0" applyFill="1"/>
    <xf numFmtId="0" fontId="8" fillId="16" borderId="0" xfId="0" applyFont="1" applyFill="1"/>
    <xf numFmtId="0" fontId="13" fillId="16" borderId="0" xfId="0" applyFont="1" applyFill="1"/>
    <xf numFmtId="0" fontId="9" fillId="6" borderId="4" xfId="5" applyBorder="1"/>
    <xf numFmtId="14" fontId="9" fillId="6" borderId="4" xfId="5" applyNumberFormat="1" applyBorder="1"/>
    <xf numFmtId="0" fontId="3" fillId="31" borderId="0" xfId="17"/>
    <xf numFmtId="14" fontId="3" fillId="31" borderId="0" xfId="17" applyNumberFormat="1"/>
    <xf numFmtId="14" fontId="1" fillId="31" borderId="0" xfId="17" applyNumberFormat="1" applyFont="1"/>
    <xf numFmtId="14" fontId="12" fillId="6" borderId="0" xfId="5" applyNumberFormat="1" applyFont="1"/>
    <xf numFmtId="0" fontId="3" fillId="32" borderId="0" xfId="18"/>
    <xf numFmtId="14" fontId="3" fillId="32" borderId="0" xfId="18" applyNumberFormat="1"/>
    <xf numFmtId="0" fontId="12" fillId="35" borderId="0" xfId="2" applyFont="1" applyFill="1"/>
    <xf numFmtId="14" fontId="12" fillId="35" borderId="0" xfId="2" applyNumberFormat="1" applyFont="1" applyFill="1"/>
    <xf numFmtId="0" fontId="3" fillId="34" borderId="0" xfId="20"/>
    <xf numFmtId="14" fontId="3" fillId="34" borderId="0" xfId="20" applyNumberFormat="1"/>
    <xf numFmtId="0" fontId="9" fillId="33" borderId="0" xfId="19"/>
    <xf numFmtId="14" fontId="9" fillId="33" borderId="0" xfId="19" applyNumberFormat="1"/>
    <xf numFmtId="0" fontId="14" fillId="29" borderId="0" xfId="15" applyFont="1" applyBorder="1"/>
    <xf numFmtId="0" fontId="1" fillId="29" borderId="0" xfId="15" applyFont="1" applyBorder="1"/>
    <xf numFmtId="14" fontId="1" fillId="29" borderId="0" xfId="15" applyNumberFormat="1" applyFont="1" applyBorder="1"/>
    <xf numFmtId="0" fontId="3" fillId="30" borderId="0" xfId="16"/>
    <xf numFmtId="14" fontId="3" fillId="30" borderId="0" xfId="16" applyNumberFormat="1"/>
    <xf numFmtId="0" fontId="12" fillId="28" borderId="3" xfId="14"/>
    <xf numFmtId="0" fontId="15" fillId="0" borderId="0" xfId="0" applyFont="1"/>
    <xf numFmtId="0" fontId="16" fillId="0" borderId="0" xfId="0" applyFont="1"/>
    <xf numFmtId="0" fontId="17" fillId="5" borderId="2" xfId="4" applyFont="1"/>
    <xf numFmtId="14" fontId="3" fillId="10" borderId="0" xfId="9" applyNumberFormat="1"/>
    <xf numFmtId="0" fontId="16" fillId="10" borderId="0" xfId="9" applyFont="1"/>
    <xf numFmtId="0" fontId="1" fillId="10" borderId="0" xfId="9" applyFont="1"/>
    <xf numFmtId="0" fontId="14" fillId="10" borderId="0" xfId="9" applyFont="1"/>
    <xf numFmtId="14" fontId="1" fillId="10" borderId="0" xfId="9" applyNumberFormat="1" applyFont="1"/>
    <xf numFmtId="0" fontId="1" fillId="10" borderId="2" xfId="9" applyFont="1" applyBorder="1"/>
    <xf numFmtId="0" fontId="15" fillId="10" borderId="2" xfId="9" applyFont="1" applyBorder="1"/>
    <xf numFmtId="0" fontId="18" fillId="5" borderId="2" xfId="4" applyFont="1"/>
    <xf numFmtId="0" fontId="9" fillId="7" borderId="0" xfId="6" applyBorder="1"/>
    <xf numFmtId="0" fontId="9" fillId="7" borderId="0" xfId="6"/>
    <xf numFmtId="14" fontId="9" fillId="7" borderId="0" xfId="6" applyNumberFormat="1" applyBorder="1"/>
    <xf numFmtId="14" fontId="9" fillId="7" borderId="0" xfId="6" applyNumberFormat="1"/>
    <xf numFmtId="0" fontId="6" fillId="4" borderId="1" xfId="3"/>
    <xf numFmtId="0" fontId="3" fillId="36" borderId="0" xfId="21"/>
    <xf numFmtId="0" fontId="9" fillId="35" borderId="0" xfId="2" applyFont="1" applyFill="1"/>
    <xf numFmtId="0" fontId="12" fillId="35" borderId="3" xfId="14" applyFill="1"/>
    <xf numFmtId="0" fontId="9" fillId="35" borderId="0" xfId="0" applyFont="1" applyFill="1"/>
    <xf numFmtId="0" fontId="9" fillId="35" borderId="0" xfId="7" applyFont="1" applyFill="1"/>
    <xf numFmtId="0" fontId="0" fillId="8" borderId="0" xfId="7" applyFont="1"/>
    <xf numFmtId="14" fontId="0" fillId="0" borderId="0" xfId="0" quotePrefix="1" applyNumberFormat="1"/>
    <xf numFmtId="0" fontId="0" fillId="0" borderId="0" xfId="0" quotePrefix="1"/>
    <xf numFmtId="0" fontId="0" fillId="9" borderId="0" xfId="8" applyFont="1"/>
    <xf numFmtId="0" fontId="0" fillId="19" borderId="0" xfId="10" applyFont="1" applyFill="1"/>
    <xf numFmtId="0" fontId="5" fillId="3" borderId="0" xfId="2" quotePrefix="1"/>
    <xf numFmtId="0" fontId="3" fillId="37" borderId="0" xfId="22"/>
    <xf numFmtId="0" fontId="19" fillId="3" borderId="0" xfId="2" applyFont="1"/>
    <xf numFmtId="0" fontId="1" fillId="38" borderId="0" xfId="23" applyFont="1"/>
    <xf numFmtId="0" fontId="1" fillId="12" borderId="0" xfId="11" applyFont="1"/>
    <xf numFmtId="0" fontId="1" fillId="18" borderId="0" xfId="11" applyFont="1" applyFill="1"/>
    <xf numFmtId="0" fontId="1" fillId="18" borderId="0" xfId="0" applyFont="1" applyFill="1"/>
    <xf numFmtId="0" fontId="12" fillId="35" borderId="1" xfId="3" applyFont="1" applyFill="1"/>
    <xf numFmtId="0" fontId="3" fillId="31" borderId="0" xfId="17" applyBorder="1"/>
    <xf numFmtId="14" fontId="12" fillId="35" borderId="1" xfId="3" applyNumberFormat="1" applyFont="1" applyFill="1"/>
    <xf numFmtId="14" fontId="1" fillId="29" borderId="0" xfId="15" applyNumberFormat="1" applyFont="1"/>
    <xf numFmtId="0" fontId="0" fillId="40" borderId="0" xfId="0" applyFill="1"/>
    <xf numFmtId="0" fontId="3" fillId="40" borderId="0" xfId="9" applyFill="1"/>
    <xf numFmtId="0" fontId="0" fillId="19" borderId="0" xfId="0" applyFill="1" applyAlignment="1">
      <alignment horizontal="left" vertical="center"/>
    </xf>
    <xf numFmtId="0" fontId="1" fillId="19" borderId="5" xfId="0" applyFont="1" applyFill="1" applyBorder="1" applyAlignment="1">
      <alignment horizontal="left" vertical="center"/>
    </xf>
    <xf numFmtId="0" fontId="0" fillId="41" borderId="0" xfId="0" applyFill="1"/>
    <xf numFmtId="0" fontId="0" fillId="39" borderId="0" xfId="0" applyFill="1"/>
    <xf numFmtId="0" fontId="0" fillId="43" borderId="0" xfId="0" applyFill="1"/>
    <xf numFmtId="0" fontId="0" fillId="43" borderId="0" xfId="0" applyFill="1" applyAlignment="1">
      <alignment horizontal="center" vertical="center"/>
    </xf>
    <xf numFmtId="0" fontId="0" fillId="43" borderId="0" xfId="0" applyFill="1" applyAlignment="1">
      <alignment horizontal="right" vertical="center"/>
    </xf>
    <xf numFmtId="0" fontId="0" fillId="44" borderId="0" xfId="0" applyFill="1" applyAlignment="1">
      <alignment horizontal="center" vertical="center"/>
    </xf>
    <xf numFmtId="14" fontId="0" fillId="44" borderId="0" xfId="0" applyNumberFormat="1" applyFill="1" applyAlignment="1">
      <alignment horizontal="center" vertical="center"/>
    </xf>
    <xf numFmtId="0" fontId="3" fillId="10" borderId="0" xfId="9" applyAlignment="1">
      <alignment horizontal="center" vertical="center"/>
    </xf>
    <xf numFmtId="14" fontId="3" fillId="10" borderId="0" xfId="9" applyNumberFormat="1" applyAlignment="1">
      <alignment horizontal="center" vertical="center"/>
    </xf>
    <xf numFmtId="0" fontId="3" fillId="37" borderId="0" xfId="22" applyAlignment="1">
      <alignment horizontal="center" vertical="center"/>
    </xf>
    <xf numFmtId="14" fontId="3" fillId="37" borderId="0" xfId="22" applyNumberFormat="1" applyAlignment="1">
      <alignment horizontal="center" vertical="center"/>
    </xf>
    <xf numFmtId="0" fontId="9" fillId="42" borderId="0" xfId="24" applyAlignment="1">
      <alignment horizontal="center" vertical="center"/>
    </xf>
    <xf numFmtId="0" fontId="3" fillId="10" borderId="0" xfId="9" applyAlignment="1">
      <alignment horizontal="center"/>
    </xf>
    <xf numFmtId="14" fontId="3" fillId="10" borderId="0" xfId="9" applyNumberFormat="1" applyAlignment="1">
      <alignment horizontal="center"/>
    </xf>
    <xf numFmtId="0" fontId="3" fillId="39" borderId="0" xfId="16" applyFill="1"/>
    <xf numFmtId="0" fontId="9" fillId="42" borderId="6" xfId="24" applyBorder="1" applyAlignment="1">
      <alignment horizontal="center" vertical="center"/>
    </xf>
    <xf numFmtId="0" fontId="9" fillId="42" borderId="0" xfId="24" applyBorder="1" applyAlignment="1">
      <alignment horizontal="center" vertical="center"/>
    </xf>
    <xf numFmtId="0" fontId="3" fillId="10" borderId="6" xfId="9" applyBorder="1" applyAlignment="1">
      <alignment horizontal="center" vertical="center"/>
    </xf>
    <xf numFmtId="0" fontId="3" fillId="10" borderId="0" xfId="9" applyBorder="1" applyAlignment="1">
      <alignment horizontal="center" vertical="center"/>
    </xf>
    <xf numFmtId="14" fontId="3" fillId="10" borderId="0" xfId="9" applyNumberFormat="1" applyBorder="1" applyAlignment="1">
      <alignment horizontal="center" vertical="center"/>
    </xf>
    <xf numFmtId="0" fontId="20" fillId="16" borderId="0" xfId="0" applyFont="1" applyFill="1"/>
    <xf numFmtId="0" fontId="5" fillId="3" borderId="0" xfId="2" applyAlignment="1">
      <alignment horizontal="center" vertical="center"/>
    </xf>
    <xf numFmtId="14" fontId="5" fillId="3" borderId="0" xfId="2" applyNumberFormat="1" applyAlignment="1">
      <alignment horizontal="center" vertical="center"/>
    </xf>
    <xf numFmtId="14" fontId="5" fillId="20" borderId="0" xfId="2" applyNumberForma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14" fontId="5" fillId="45" borderId="0" xfId="2" applyNumberFormat="1" applyFill="1" applyAlignment="1">
      <alignment horizontal="center" vertical="center"/>
    </xf>
    <xf numFmtId="0" fontId="4" fillId="2" borderId="0" xfId="1" applyAlignment="1">
      <alignment horizontal="center" vertical="center"/>
    </xf>
    <xf numFmtId="0" fontId="0" fillId="39" borderId="0" xfId="12" applyFont="1" applyFill="1"/>
    <xf numFmtId="14" fontId="0" fillId="43" borderId="0" xfId="0" applyNumberFormat="1" applyFill="1"/>
    <xf numFmtId="14" fontId="0" fillId="3" borderId="0" xfId="2" applyNumberFormat="1" applyFont="1"/>
    <xf numFmtId="14" fontId="0" fillId="7" borderId="0" xfId="6" applyNumberFormat="1" applyFont="1"/>
    <xf numFmtId="14" fontId="0" fillId="7" borderId="0" xfId="6" applyNumberFormat="1" applyFont="1" applyBorder="1"/>
    <xf numFmtId="14" fontId="0" fillId="6" borderId="0" xfId="5" applyNumberFormat="1" applyFont="1"/>
    <xf numFmtId="14" fontId="0" fillId="6" borderId="0" xfId="5" applyNumberFormat="1" applyFont="1" applyBorder="1"/>
    <xf numFmtId="14" fontId="0" fillId="31" borderId="0" xfId="17" applyNumberFormat="1" applyFont="1"/>
    <xf numFmtId="14" fontId="0" fillId="6" borderId="4" xfId="5" applyNumberFormat="1" applyFont="1" applyBorder="1"/>
    <xf numFmtId="14" fontId="0" fillId="29" borderId="0" xfId="15" applyNumberFormat="1" applyFont="1" applyBorder="1"/>
    <xf numFmtId="14" fontId="0" fillId="30" borderId="0" xfId="16" applyNumberFormat="1" applyFont="1"/>
    <xf numFmtId="0" fontId="3" fillId="10" borderId="0" xfId="9" applyAlignment="1">
      <alignment vertical="center"/>
    </xf>
    <xf numFmtId="14" fontId="3" fillId="10" borderId="0" xfId="9" applyNumberFormat="1" applyAlignment="1">
      <alignment vertical="center"/>
    </xf>
    <xf numFmtId="0" fontId="3" fillId="10" borderId="0" xfId="9" applyAlignment="1"/>
    <xf numFmtId="0" fontId="3" fillId="10" borderId="0" xfId="9" applyBorder="1" applyAlignment="1">
      <alignment vertical="center"/>
    </xf>
    <xf numFmtId="14" fontId="0" fillId="20" borderId="0" xfId="0" applyNumberFormat="1" applyFill="1"/>
    <xf numFmtId="20" fontId="3" fillId="10" borderId="0" xfId="9" applyNumberFormat="1" applyBorder="1" applyAlignment="1">
      <alignment horizontal="center" vertical="center"/>
    </xf>
    <xf numFmtId="20" fontId="0" fillId="0" borderId="0" xfId="0" applyNumberFormat="1"/>
    <xf numFmtId="166" fontId="0" fillId="0" borderId="0" xfId="0" applyNumberFormat="1"/>
    <xf numFmtId="0" fontId="22" fillId="27" borderId="0" xfId="0" applyFont="1" applyFill="1"/>
    <xf numFmtId="0" fontId="22" fillId="0" borderId="0" xfId="0" applyFont="1"/>
    <xf numFmtId="0" fontId="22" fillId="17" borderId="0" xfId="0" applyFont="1" applyFill="1"/>
    <xf numFmtId="0" fontId="22" fillId="16" borderId="0" xfId="0" applyFont="1" applyFill="1"/>
    <xf numFmtId="167" fontId="0" fillId="0" borderId="0" xfId="0" applyNumberFormat="1"/>
    <xf numFmtId="167" fontId="21" fillId="0" borderId="0" xfId="0" applyNumberFormat="1" applyFont="1" applyAlignment="1">
      <alignment vertical="center"/>
    </xf>
    <xf numFmtId="0" fontId="22" fillId="22" borderId="0" xfId="0" applyFont="1" applyFill="1"/>
    <xf numFmtId="0" fontId="23" fillId="0" borderId="0" xfId="0" applyFont="1" applyAlignment="1">
      <alignment vertical="center"/>
    </xf>
    <xf numFmtId="0" fontId="24" fillId="27" borderId="0" xfId="0" applyFont="1" applyFill="1"/>
    <xf numFmtId="0" fontId="23" fillId="27" borderId="0" xfId="0" applyFont="1" applyFill="1" applyAlignment="1">
      <alignment vertical="center"/>
    </xf>
    <xf numFmtId="0" fontId="0" fillId="49" borderId="0" xfId="0" applyFill="1"/>
    <xf numFmtId="0" fontId="23" fillId="49" borderId="0" xfId="0" applyFont="1" applyFill="1" applyAlignment="1">
      <alignment vertical="center"/>
    </xf>
    <xf numFmtId="0" fontId="0" fillId="35" borderId="0" xfId="0" applyFill="1"/>
    <xf numFmtId="0" fontId="23" fillId="35" borderId="0" xfId="0" applyFont="1" applyFill="1" applyAlignment="1">
      <alignment vertical="center"/>
    </xf>
    <xf numFmtId="0" fontId="22" fillId="35" borderId="0" xfId="0" applyFont="1" applyFill="1"/>
    <xf numFmtId="14" fontId="0" fillId="0" borderId="0" xfId="25" applyNumberFormat="1" applyFont="1"/>
    <xf numFmtId="14" fontId="0" fillId="39" borderId="0" xfId="25" applyNumberFormat="1" applyFont="1" applyFill="1"/>
    <xf numFmtId="14" fontId="0" fillId="39" borderId="0" xfId="0" applyNumberFormat="1" applyFill="1"/>
    <xf numFmtId="168" fontId="0" fillId="0" borderId="0" xfId="0" applyNumberFormat="1"/>
    <xf numFmtId="0" fontId="0" fillId="1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50" borderId="0" xfId="0" applyFill="1" applyAlignment="1">
      <alignment horizontal="center"/>
    </xf>
  </cellXfs>
  <cellStyles count="26">
    <cellStyle name="20% - Accent1" xfId="15" builtinId="30"/>
    <cellStyle name="20% - Accent2" xfId="18" builtinId="34"/>
    <cellStyle name="20% - Accent3" xfId="9" builtinId="38"/>
    <cellStyle name="20% - Accent4" xfId="21" builtinId="42"/>
    <cellStyle name="20% - Accent6" xfId="20" builtinId="50"/>
    <cellStyle name="40% - Accent1" xfId="16" builtinId="31"/>
    <cellStyle name="40% - Accent2" xfId="7" builtinId="35"/>
    <cellStyle name="40% - Accent3" xfId="22" builtinId="39"/>
    <cellStyle name="40% - Accent5" xfId="10" builtinId="47"/>
    <cellStyle name="40% - Accent6" xfId="12" builtinId="51"/>
    <cellStyle name="60% - Accent1" xfId="17" builtinId="32"/>
    <cellStyle name="60% - Accent2" xfId="8" builtinId="36"/>
    <cellStyle name="60% - Accent3" xfId="23" builtinId="40"/>
    <cellStyle name="60% - Accent5" xfId="11" builtinId="48"/>
    <cellStyle name="60% - Accent6" xfId="13" builtinId="52"/>
    <cellStyle name="Accent1" xfId="5" builtinId="29"/>
    <cellStyle name="Accent2" xfId="6" builtinId="33"/>
    <cellStyle name="Accent3" xfId="24" builtinId="37"/>
    <cellStyle name="Accent6" xfId="19" builtinId="49"/>
    <cellStyle name="Check Cell" xfId="14" builtinId="23"/>
    <cellStyle name="Comma" xfId="25" builtinId="3"/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65483</xdr:colOff>
      <xdr:row>72</xdr:row>
      <xdr:rowOff>71437</xdr:rowOff>
    </xdr:from>
    <xdr:to>
      <xdr:col>41</xdr:col>
      <xdr:colOff>85757</xdr:colOff>
      <xdr:row>78</xdr:row>
      <xdr:rowOff>28582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19562-F0A7-D0A9-6C4F-5E3C9935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64687" y="12930187"/>
          <a:ext cx="4562508" cy="102870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6CBF5F-D16C-4574-9ECA-849CF77F0936}" autoFormatId="16" applyNumberFormats="0" applyBorderFormats="0" applyFontFormats="0" applyPatternFormats="0" applyAlignmentFormats="0" applyWidthHeightFormats="0">
  <queryTableRefresh nextId="2">
    <queryTableFields count="1">
      <queryTableField id="1" name="Tip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A7B428-1EE0-43A3-8735-F2D05803B118}" autoFormatId="16" applyNumberFormats="0" applyBorderFormats="0" applyFontFormats="0" applyPatternFormats="0" applyAlignmentFormats="0" applyWidthHeightFormats="0">
  <queryTableRefresh nextId="2">
    <queryTableFields count="1">
      <queryTableField id="1" name="Cultura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483FA3A-4D9F-4ADA-B799-EB90753682D1}" autoFormatId="16" applyNumberFormats="0" applyBorderFormats="0" applyFontFormats="0" applyPatternFormats="0" applyAlignmentFormats="0" applyWidthHeightFormats="0">
  <queryTableRefresh nextId="2">
    <queryTableFields count="1">
      <queryTableField id="1" name="Parcel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CF4EE-DB28-4BA1-B0CC-EBD903CCB03F}" name="Table3_2" displayName="Table3_2" ref="A1:A28" tableType="queryTable" totalsRowShown="0">
  <autoFilter ref="A1:A28" xr:uid="{AC5CF4EE-DB28-4BA1-B0CC-EBD903CCB03F}"/>
  <tableColumns count="1">
    <tableColumn id="1" xr3:uid="{D1FEF7C6-DB40-4720-B011-E8752C3615B6}" uniqueName="1" name="Tipo" queryTableFieldId="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DBAA7-5727-4C9B-8E8D-CE1447905116}" name="Table5_2" displayName="Table5_2" ref="A1:A28" tableType="queryTable" totalsRowShown="0">
  <autoFilter ref="A1:A28" xr:uid="{F2CDBAA7-5727-4C9B-8E8D-CE1447905116}"/>
  <tableColumns count="1">
    <tableColumn id="1" xr3:uid="{3277E460-5D59-4503-92A3-DCB49CB1776B}" uniqueName="1" name="Cultura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180355-63D5-4B2F-8373-4B809E1F2DD7}" name="Table7_2" displayName="Table7_2" ref="A1:A28" tableType="queryTable" totalsRowShown="0">
  <autoFilter ref="A1:A28" xr:uid="{DF180355-63D5-4B2F-8373-4B809E1F2DD7}"/>
  <tableColumns count="1">
    <tableColumn id="1" xr3:uid="{CC508CC5-32A0-46A1-9AA7-319504AA3772}" uniqueName="1" name="Parcela" queryTableFieldId="1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9E49-73CA-4413-95B6-38C144070114}" name="Table3" displayName="Table3" ref="D1:D29" totalsRowShown="0">
  <autoFilter ref="D1:D29" xr:uid="{DEB39E49-73CA-4413-95B6-38C144070114}"/>
  <tableColumns count="1">
    <tableColumn id="1" xr3:uid="{FD716F07-39FF-4212-A1AF-6FDFCE7418EC}" name="Tipo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04503-6DDF-4B74-9090-C257EEBCB985}" name="Table5" displayName="Table5" ref="C1:C29" totalsRowShown="0" headerRowDxfId="1">
  <tableColumns count="1">
    <tableColumn id="1" xr3:uid="{B34CBE2B-0350-4FC8-A68A-A5EE42E0E278}" name="Cultur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B65FE0-6328-4D55-AC30-39C3243738E6}" name="Table7" displayName="Table7" ref="B1:B29" totalsRowShown="0" headerRowDxfId="0">
  <autoFilter ref="B1:B29" xr:uid="{61B65FE0-6328-4D55-AC30-39C3243738E6}"/>
  <tableColumns count="1">
    <tableColumn id="1" xr3:uid="{8C110D22-AA6D-404E-AD83-6D99489FC742}" name="Parcel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397C00-E2F5-455C-A03B-5936D3F962E6}">
  <we:reference id="81ae7f57-2760-4043-a9cb-e0d36209e808" version="1.3.0.0" store="EXCatalog" storeType="EXCatalog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AA336"/>
  <sheetViews>
    <sheetView topLeftCell="A317" zoomScale="35" zoomScaleNormal="27" workbookViewId="0">
      <selection activeCell="A231" sqref="A231"/>
    </sheetView>
  </sheetViews>
  <sheetFormatPr defaultRowHeight="14.25"/>
  <cols>
    <col min="1" max="1" width="25.1328125" bestFit="1" customWidth="1"/>
    <col min="2" max="2" width="27.86328125" customWidth="1"/>
    <col min="3" max="3" width="29.86328125" bestFit="1" customWidth="1"/>
    <col min="4" max="4" width="13.1328125" bestFit="1" customWidth="1"/>
    <col min="5" max="5" width="19.1328125" bestFit="1" customWidth="1"/>
    <col min="6" max="6" width="20.1328125" bestFit="1" customWidth="1"/>
    <col min="7" max="7" width="15.86328125" bestFit="1" customWidth="1"/>
    <col min="8" max="8" width="19.86328125" bestFit="1" customWidth="1"/>
    <col min="9" max="9" width="10.53125" customWidth="1"/>
    <col min="10" max="10" width="15.46484375" customWidth="1"/>
    <col min="11" max="11" width="13.1328125" customWidth="1"/>
    <col min="12" max="12" width="12.46484375" customWidth="1"/>
    <col min="13" max="13" width="16.46484375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7" t="s">
        <v>8</v>
      </c>
      <c r="K1" s="7" t="s">
        <v>9</v>
      </c>
      <c r="L1" s="8" t="s">
        <v>10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9"/>
    </row>
    <row r="2" spans="1:26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17</v>
      </c>
      <c r="J2" s="10" t="str">
        <f>"INSERT INTO " &amp;$L$1&amp; "(variedade, nomeComum, designacaoTipoPermanencia, especie) VALUES ('"&amp;UPPER(TRIM(SUBSTITUTE(C2, "'", "")))&amp; "', '" &amp;B2&amp; "','"&amp;D2&amp;"', '" &amp;A2&amp; "');"</f>
        <v>INSERT INTO Planta(variedade, nomeComum, designacaoTipoPermanencia, especie) VALUES ('RAINHA CLAUDIA CARANGUEJEIRA', 'Ameixoeira','Permanente', 'Prunus domestica');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t="s">
        <v>11</v>
      </c>
      <c r="B3" t="s">
        <v>12</v>
      </c>
      <c r="C3" t="s">
        <v>18</v>
      </c>
      <c r="D3" t="s">
        <v>14</v>
      </c>
      <c r="F3" t="s">
        <v>15</v>
      </c>
      <c r="G3" t="s">
        <v>16</v>
      </c>
      <c r="H3" t="s">
        <v>17</v>
      </c>
      <c r="J3" s="10" t="str">
        <f t="shared" ref="J3:J66" si="0">"INSERT INTO " &amp;$L$1&amp; "(variedade, nomeComum, designacaoTipoPermanencia, especie) VALUES ('"&amp;UPPER(TRIM(SUBSTITUTE(C3, "'", "")))&amp; "', '" &amp;B3&amp; "','"&amp;D3&amp;"', '" &amp;A3&amp; "');"</f>
        <v>INSERT INTO Planta(variedade, nomeComum, designacaoTipoPermanencia, especie) VALUES ('PRESIDENT', 'Ameixoeira','Permanente', 'Prunus domestica');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t="s">
        <v>11</v>
      </c>
      <c r="B4" t="s">
        <v>12</v>
      </c>
      <c r="C4" t="s">
        <v>19</v>
      </c>
      <c r="D4" t="s">
        <v>14</v>
      </c>
      <c r="F4" t="s">
        <v>15</v>
      </c>
      <c r="G4" t="s">
        <v>16</v>
      </c>
      <c r="H4" t="s">
        <v>17</v>
      </c>
      <c r="J4" s="10" t="str">
        <f t="shared" si="0"/>
        <v>INSERT INTO Planta(variedade, nomeComum, designacaoTipoPermanencia, especie) VALUES ('STANLEY', 'Ameixoeira','Permanente', 'Prunus domestica');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t="s">
        <v>11</v>
      </c>
      <c r="B5" t="s">
        <v>12</v>
      </c>
      <c r="C5" t="s">
        <v>20</v>
      </c>
      <c r="D5" t="s">
        <v>14</v>
      </c>
      <c r="F5" t="s">
        <v>15</v>
      </c>
      <c r="G5" t="s">
        <v>16</v>
      </c>
      <c r="H5" t="s">
        <v>17</v>
      </c>
      <c r="J5" s="10" t="str">
        <f t="shared" si="0"/>
        <v>INSERT INTO Planta(variedade, nomeComum, designacaoTipoPermanencia, especie) VALUES ('ANGELENO', 'Ameixoeira','Permanente', 'Prunus domestica');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t="s">
        <v>11</v>
      </c>
      <c r="B6" t="s">
        <v>12</v>
      </c>
      <c r="C6" t="s">
        <v>21</v>
      </c>
      <c r="D6" t="s">
        <v>14</v>
      </c>
      <c r="F6" t="s">
        <v>15</v>
      </c>
      <c r="G6" t="s">
        <v>16</v>
      </c>
      <c r="H6" t="s">
        <v>17</v>
      </c>
      <c r="J6" s="10" t="str">
        <f t="shared" si="0"/>
        <v>INSERT INTO Planta(variedade, nomeComum, designacaoTipoPermanencia, especie) VALUES ('BLACK BEAUTY', 'Ameixoeira','Permanente', 'Prunus domestica');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t="s">
        <v>11</v>
      </c>
      <c r="B7" t="s">
        <v>12</v>
      </c>
      <c r="C7" t="s">
        <v>22</v>
      </c>
      <c r="D7" t="s">
        <v>14</v>
      </c>
      <c r="F7" t="s">
        <v>15</v>
      </c>
      <c r="G7" t="s">
        <v>16</v>
      </c>
      <c r="H7" t="s">
        <v>17</v>
      </c>
      <c r="J7" s="10" t="str">
        <f t="shared" si="0"/>
        <v>INSERT INTO Planta(variedade, nomeComum, designacaoTipoPermanencia, especie) VALUES ('BLACK STAR', 'Ameixoeira','Permanente', 'Prunus domestica');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t="s">
        <v>11</v>
      </c>
      <c r="B8" t="s">
        <v>12</v>
      </c>
      <c r="C8" t="s">
        <v>23</v>
      </c>
      <c r="D8" t="s">
        <v>14</v>
      </c>
      <c r="F8" t="s">
        <v>15</v>
      </c>
      <c r="G8" t="s">
        <v>16</v>
      </c>
      <c r="H8" t="s">
        <v>17</v>
      </c>
      <c r="J8" s="10" t="str">
        <f t="shared" si="0"/>
        <v>INSERT INTO Planta(variedade, nomeComum, designacaoTipoPermanencia, especie) VALUES ('BLACK GOLD', 'Ameixoeira','Permanente', 'Prunus domestica');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t="s">
        <v>11</v>
      </c>
      <c r="B9" t="s">
        <v>12</v>
      </c>
      <c r="C9" t="s">
        <v>24</v>
      </c>
      <c r="D9" t="s">
        <v>14</v>
      </c>
      <c r="F9" t="s">
        <v>15</v>
      </c>
      <c r="G9" t="s">
        <v>16</v>
      </c>
      <c r="H9" t="s">
        <v>17</v>
      </c>
      <c r="J9" s="10" t="str">
        <f t="shared" si="0"/>
        <v>INSERT INTO Planta(variedade, nomeComum, designacaoTipoPermanencia, especie) VALUES ('BLACK DIAMOND', 'Ameixoeira','Permanente', 'Prunus domestica');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t="s">
        <v>11</v>
      </c>
      <c r="B10" t="s">
        <v>12</v>
      </c>
      <c r="C10" t="s">
        <v>25</v>
      </c>
      <c r="D10" t="s">
        <v>14</v>
      </c>
      <c r="F10" t="s">
        <v>15</v>
      </c>
      <c r="G10" t="s">
        <v>16</v>
      </c>
      <c r="H10" t="s">
        <v>17</v>
      </c>
      <c r="J10" s="10" t="str">
        <f t="shared" si="0"/>
        <v>INSERT INTO Planta(variedade, nomeComum, designacaoTipoPermanencia, especie) VALUES ('BLACK AMBER', 'Ameixoeira','Permanente', 'Prunus domestica');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t="s">
        <v>11</v>
      </c>
      <c r="B11" t="s">
        <v>12</v>
      </c>
      <c r="C11" t="s">
        <v>26</v>
      </c>
      <c r="D11" t="s">
        <v>14</v>
      </c>
      <c r="F11" t="s">
        <v>15</v>
      </c>
      <c r="G11" t="s">
        <v>16</v>
      </c>
      <c r="H11" t="s">
        <v>17</v>
      </c>
      <c r="J11" s="10" t="str">
        <f t="shared" si="0"/>
        <v>INSERT INTO Planta(variedade, nomeComum, designacaoTipoPermanencia, especie) VALUES ('BLACK SPLENDOR', 'Ameixoeira','Permanente', 'Prunus domestica');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t="s">
        <v>11</v>
      </c>
      <c r="B12" t="s">
        <v>12</v>
      </c>
      <c r="C12" t="s">
        <v>27</v>
      </c>
      <c r="D12" t="s">
        <v>14</v>
      </c>
      <c r="F12" t="s">
        <v>15</v>
      </c>
      <c r="G12" t="s">
        <v>16</v>
      </c>
      <c r="H12" t="s">
        <v>17</v>
      </c>
      <c r="J12" s="10" t="str">
        <f t="shared" si="0"/>
        <v>INSERT INTO Planta(variedade, nomeComum, designacaoTipoPermanencia, especie) VALUES ('FORTUNA', 'Ameixoeira','Permanente', 'Prunus domestica');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t="s">
        <v>11</v>
      </c>
      <c r="B13" t="s">
        <v>12</v>
      </c>
      <c r="C13" t="s">
        <v>28</v>
      </c>
      <c r="D13" t="s">
        <v>14</v>
      </c>
      <c r="F13" t="s">
        <v>15</v>
      </c>
      <c r="G13" t="s">
        <v>16</v>
      </c>
      <c r="H13" t="s">
        <v>17</v>
      </c>
      <c r="J13" s="10" t="str">
        <f t="shared" si="0"/>
        <v>INSERT INTO Planta(variedade, nomeComum, designacaoTipoPermanencia, especie) VALUES ('FRIAR', 'Ameixoeira','Permanente', 'Prunus domestica');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t="s">
        <v>11</v>
      </c>
      <c r="B14" t="s">
        <v>12</v>
      </c>
      <c r="C14" t="s">
        <v>29</v>
      </c>
      <c r="D14" t="s">
        <v>14</v>
      </c>
      <c r="F14" t="s">
        <v>15</v>
      </c>
      <c r="G14" t="s">
        <v>16</v>
      </c>
      <c r="H14" t="s">
        <v>17</v>
      </c>
      <c r="J14" s="10" t="str">
        <f t="shared" si="0"/>
        <v>INSERT INTO Planta(variedade, nomeComum, designacaoTipoPermanencia, especie) VALUES ('EL DORADO', 'Ameixoeira','Permanente', 'Prunus domestica');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t="s">
        <v>11</v>
      </c>
      <c r="B15" t="s">
        <v>12</v>
      </c>
      <c r="C15" t="s">
        <v>30</v>
      </c>
      <c r="D15" t="s">
        <v>14</v>
      </c>
      <c r="F15" t="s">
        <v>15</v>
      </c>
      <c r="G15" t="s">
        <v>16</v>
      </c>
      <c r="H15" t="s">
        <v>17</v>
      </c>
      <c r="J15" s="10" t="str">
        <f t="shared" si="0"/>
        <v>INSERT INTO Planta(variedade, nomeComum, designacaoTipoPermanencia, especie) VALUES ('ELEPHANT HEART', 'Ameixoeira','Permanente', 'Prunus domestica');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t="s">
        <v>11</v>
      </c>
      <c r="B16" t="s">
        <v>12</v>
      </c>
      <c r="C16" t="s">
        <v>31</v>
      </c>
      <c r="D16" t="s">
        <v>14</v>
      </c>
      <c r="F16" t="s">
        <v>15</v>
      </c>
      <c r="G16" t="s">
        <v>16</v>
      </c>
      <c r="H16" t="s">
        <v>17</v>
      </c>
      <c r="J16" s="10" t="str">
        <f t="shared" si="0"/>
        <v>INSERT INTO Planta(variedade, nomeComum, designacaoTipoPermanencia, especie) VALUES ('GOLDEN JAPAN', 'Ameixoeira','Permanente', 'Prunus domestica');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t="s">
        <v>11</v>
      </c>
      <c r="B17" t="s">
        <v>12</v>
      </c>
      <c r="C17" t="s">
        <v>32</v>
      </c>
      <c r="D17" t="s">
        <v>14</v>
      </c>
      <c r="F17" t="s">
        <v>15</v>
      </c>
      <c r="G17" t="s">
        <v>16</v>
      </c>
      <c r="H17" t="s">
        <v>17</v>
      </c>
      <c r="J17" s="10" t="str">
        <f t="shared" si="0"/>
        <v>INSERT INTO Planta(variedade, nomeComum, designacaoTipoPermanencia, especie) VALUES ('HARRY PITCHON', 'Ameixoeira','Permanente', 'Prunus domestica');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t="s">
        <v>11</v>
      </c>
      <c r="B18" t="s">
        <v>12</v>
      </c>
      <c r="C18" t="s">
        <v>33</v>
      </c>
      <c r="D18" t="s">
        <v>14</v>
      </c>
      <c r="F18" t="s">
        <v>15</v>
      </c>
      <c r="G18" t="s">
        <v>16</v>
      </c>
      <c r="H18" t="s">
        <v>17</v>
      </c>
      <c r="J18" s="10" t="str">
        <f t="shared" si="0"/>
        <v>INSERT INTO Planta(variedade, nomeComum, designacaoTipoPermanencia, especie) VALUES ('LAETITIA', 'Ameixoeira','Permanente', 'Prunus domestica');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t="s">
        <v>11</v>
      </c>
      <c r="B19" t="s">
        <v>12</v>
      </c>
      <c r="C19" t="s">
        <v>34</v>
      </c>
      <c r="D19" t="s">
        <v>14</v>
      </c>
      <c r="F19" t="s">
        <v>15</v>
      </c>
      <c r="G19" t="s">
        <v>16</v>
      </c>
      <c r="H19" t="s">
        <v>17</v>
      </c>
      <c r="J19" s="10" t="str">
        <f t="shared" si="0"/>
        <v>INSERT INTO Planta(variedade, nomeComum, designacaoTipoPermanencia, especie) VALUES ('METLEY', 'Ameixoeira','Permanente', 'Prunus domestica');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t="s">
        <v>11</v>
      </c>
      <c r="B20" t="s">
        <v>12</v>
      </c>
      <c r="C20" t="s">
        <v>35</v>
      </c>
      <c r="D20" t="s">
        <v>14</v>
      </c>
      <c r="F20" t="s">
        <v>15</v>
      </c>
      <c r="G20" t="s">
        <v>16</v>
      </c>
      <c r="H20" t="s">
        <v>17</v>
      </c>
      <c r="J20" s="10" t="str">
        <f t="shared" si="0"/>
        <v>INSERT INTO Planta(variedade, nomeComum, designacaoTipoPermanencia, especie) VALUES ('MIRABELLE DE NANCY', 'Ameixoeira','Permanente', 'Prunus domestica');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t="s">
        <v>11</v>
      </c>
      <c r="B21" t="s">
        <v>12</v>
      </c>
      <c r="C21" t="s">
        <v>36</v>
      </c>
      <c r="D21" t="s">
        <v>14</v>
      </c>
      <c r="F21" t="s">
        <v>15</v>
      </c>
      <c r="G21" t="s">
        <v>16</v>
      </c>
      <c r="H21" t="s">
        <v>17</v>
      </c>
      <c r="J21" s="10" t="str">
        <f t="shared" si="0"/>
        <v>INSERT INTO Planta(variedade, nomeComum, designacaoTipoPermanencia, especie) VALUES ('QUEEN ROSE', 'Ameixoeira','Permanente', 'Prunus domestica');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t="s">
        <v>11</v>
      </c>
      <c r="B22" t="s">
        <v>12</v>
      </c>
      <c r="C22" t="s">
        <v>37</v>
      </c>
      <c r="D22" t="s">
        <v>14</v>
      </c>
      <c r="F22" t="s">
        <v>15</v>
      </c>
      <c r="G22" t="s">
        <v>16</v>
      </c>
      <c r="H22" t="s">
        <v>17</v>
      </c>
      <c r="J22" s="10" t="str">
        <f t="shared" si="0"/>
        <v>INSERT INTO Planta(variedade, nomeComum, designacaoTipoPermanencia, especie) VALUES ('RED BEAUT', 'Ameixoeira','Permanente', 'Prunus domestica');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t="s">
        <v>11</v>
      </c>
      <c r="B23" t="s">
        <v>12</v>
      </c>
      <c r="C23" t="s">
        <v>38</v>
      </c>
      <c r="D23" t="s">
        <v>14</v>
      </c>
      <c r="F23" t="s">
        <v>15</v>
      </c>
      <c r="G23" t="s">
        <v>16</v>
      </c>
      <c r="H23" t="s">
        <v>17</v>
      </c>
      <c r="J23" s="10" t="str">
        <f t="shared" si="0"/>
        <v>INSERT INTO Planta(variedade, nomeComum, designacaoTipoPermanencia, especie) VALUES ('SANTA ROSA', 'Ameixoeira','Permanente', 'Prunus domestica');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t="s">
        <v>11</v>
      </c>
      <c r="B24" t="s">
        <v>12</v>
      </c>
      <c r="C24" t="s">
        <v>39</v>
      </c>
      <c r="D24" t="s">
        <v>14</v>
      </c>
      <c r="F24" t="s">
        <v>15</v>
      </c>
      <c r="G24" t="s">
        <v>16</v>
      </c>
      <c r="H24" t="s">
        <v>17</v>
      </c>
      <c r="J24" s="10" t="str">
        <f t="shared" si="0"/>
        <v>INSERT INTO Planta(variedade, nomeComum, designacaoTipoPermanencia, especie) VALUES ('SHIRO', 'Ameixoeira','Permanente', 'Prunus domestica');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t="s">
        <v>11</v>
      </c>
      <c r="B25" t="s">
        <v>12</v>
      </c>
      <c r="C25" t="s">
        <v>40</v>
      </c>
      <c r="D25" t="s">
        <v>14</v>
      </c>
      <c r="F25" t="s">
        <v>15</v>
      </c>
      <c r="G25" t="s">
        <v>16</v>
      </c>
      <c r="H25" t="s">
        <v>17</v>
      </c>
      <c r="J25" s="10" t="str">
        <f t="shared" si="0"/>
        <v>INSERT INTO Planta(variedade, nomeComum, designacaoTipoPermanencia, especie) VALUES ('SUNGOLD', 'Ameixoeira','Permanente', 'Prunus domestica');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t="s">
        <v>11</v>
      </c>
      <c r="B26" t="s">
        <v>12</v>
      </c>
      <c r="C26" t="s">
        <v>41</v>
      </c>
      <c r="D26" t="s">
        <v>14</v>
      </c>
      <c r="F26" t="s">
        <v>15</v>
      </c>
      <c r="G26" t="s">
        <v>16</v>
      </c>
      <c r="H26" t="s">
        <v>17</v>
      </c>
      <c r="J26" s="10" t="str">
        <f t="shared" si="0"/>
        <v>INSERT INTO Planta(variedade, nomeComum, designacaoTipoPermanencia, especie) VALUES ('WILSON PERFECTION', 'Ameixoeira','Permanente', 'Prunus domestica');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t="s">
        <v>11</v>
      </c>
      <c r="B27" t="s">
        <v>12</v>
      </c>
      <c r="C27" t="s">
        <v>42</v>
      </c>
      <c r="D27" t="s">
        <v>14</v>
      </c>
      <c r="F27" t="s">
        <v>15</v>
      </c>
      <c r="G27" t="s">
        <v>16</v>
      </c>
      <c r="H27" t="s">
        <v>17</v>
      </c>
      <c r="J27" s="10" t="str">
        <f t="shared" si="0"/>
        <v>INSERT INTO Planta(variedade, nomeComum, designacaoTipoPermanencia, especie) VALUES ('AUTUMN GIANT', 'Ameixoeira','Permanente', 'Prunus domestica');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t="s">
        <v>43</v>
      </c>
      <c r="B28" t="s">
        <v>44</v>
      </c>
      <c r="C28" t="s">
        <v>45</v>
      </c>
      <c r="D28" t="s">
        <v>14</v>
      </c>
      <c r="F28" t="s">
        <v>15</v>
      </c>
      <c r="G28" t="s">
        <v>16</v>
      </c>
      <c r="H28" t="s">
        <v>17</v>
      </c>
      <c r="J28" s="10" t="str">
        <f t="shared" si="0"/>
        <v>INSERT INTO Planta(variedade, nomeComum, designacaoTipoPermanencia, especie) VALUES ('BULIDA', 'Damasqueiro','Permanente', 'Prunus armeniaca');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t="s">
        <v>43</v>
      </c>
      <c r="B29" t="s">
        <v>44</v>
      </c>
      <c r="C29" t="s">
        <v>46</v>
      </c>
      <c r="D29" t="s">
        <v>14</v>
      </c>
      <c r="F29" t="s">
        <v>15</v>
      </c>
      <c r="G29" t="s">
        <v>16</v>
      </c>
      <c r="H29" t="s">
        <v>17</v>
      </c>
      <c r="J29" s="10" t="str">
        <f t="shared" si="0"/>
        <v>INSERT INTO Planta(variedade, nomeComum, designacaoTipoPermanencia, especie) VALUES ('CANINO', 'Damasqueiro','Permanente', 'Prunus armeniaca');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t="s">
        <v>43</v>
      </c>
      <c r="B30" t="s">
        <v>44</v>
      </c>
      <c r="C30" t="s">
        <v>47</v>
      </c>
      <c r="D30" t="s">
        <v>14</v>
      </c>
      <c r="F30" t="s">
        <v>15</v>
      </c>
      <c r="G30" t="s">
        <v>16</v>
      </c>
      <c r="H30" t="s">
        <v>17</v>
      </c>
      <c r="J30" s="10" t="str">
        <f t="shared" si="0"/>
        <v>INSERT INTO Planta(variedade, nomeComum, designacaoTipoPermanencia, especie) VALUES ('LIABAUD', 'Damasqueiro','Permanente', 'Prunus armeniaca');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t="s">
        <v>43</v>
      </c>
      <c r="B31" t="s">
        <v>44</v>
      </c>
      <c r="C31" t="s">
        <v>48</v>
      </c>
      <c r="D31" t="s">
        <v>14</v>
      </c>
      <c r="F31" t="s">
        <v>15</v>
      </c>
      <c r="G31" t="s">
        <v>16</v>
      </c>
      <c r="H31" t="s">
        <v>17</v>
      </c>
      <c r="J31" s="10" t="str">
        <f t="shared" si="0"/>
        <v>INSERT INTO Planta(variedade, nomeComum, designacaoTipoPermanencia, especie) VALUES ('MAILLOT JAUNE', 'Damasqueiro','Permanente', 'Prunus armeniaca');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t="s">
        <v>43</v>
      </c>
      <c r="B32" t="s">
        <v>44</v>
      </c>
      <c r="C32" t="s">
        <v>49</v>
      </c>
      <c r="D32" t="s">
        <v>14</v>
      </c>
      <c r="F32" t="s">
        <v>15</v>
      </c>
      <c r="G32" t="s">
        <v>16</v>
      </c>
      <c r="H32" t="s">
        <v>17</v>
      </c>
      <c r="J32" s="10" t="str">
        <f t="shared" si="0"/>
        <v>INSERT INTO Planta(variedade, nomeComum, designacaoTipoPermanencia, especie) VALUES ('POLONAIS', 'Damasqueiro','Permanente', 'Prunus armeniaca');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t="s">
        <v>50</v>
      </c>
      <c r="B33" t="s">
        <v>51</v>
      </c>
      <c r="C33" t="s">
        <v>52</v>
      </c>
      <c r="D33" t="s">
        <v>14</v>
      </c>
      <c r="F33" t="s">
        <v>15</v>
      </c>
      <c r="G33" t="s">
        <v>53</v>
      </c>
      <c r="H33" t="s">
        <v>54</v>
      </c>
      <c r="J33" s="10" t="str">
        <f t="shared" si="0"/>
        <v>INSERT INTO Planta(variedade, nomeComum, designacaoTipoPermanencia, especie) VALUES ('AKANE', 'Macieira','Permanente', 'Malus domestica');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t="s">
        <v>50</v>
      </c>
      <c r="B34" t="s">
        <v>51</v>
      </c>
      <c r="C34" t="s">
        <v>55</v>
      </c>
      <c r="D34" t="s">
        <v>14</v>
      </c>
      <c r="F34" t="s">
        <v>15</v>
      </c>
      <c r="G34" t="s">
        <v>53</v>
      </c>
      <c r="H34" t="s">
        <v>54</v>
      </c>
      <c r="J34" s="10" t="str">
        <f t="shared" si="0"/>
        <v>INSERT INTO Planta(variedade, nomeComum, designacaoTipoPermanencia, especie) VALUES ('BELGOLDEN', 'Macieira','Permanente', 'Malus domestica');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t="s">
        <v>50</v>
      </c>
      <c r="B35" t="s">
        <v>51</v>
      </c>
      <c r="C35" t="s">
        <v>56</v>
      </c>
      <c r="D35" t="s">
        <v>14</v>
      </c>
      <c r="F35" t="s">
        <v>15</v>
      </c>
      <c r="G35" t="s">
        <v>53</v>
      </c>
      <c r="H35" t="s">
        <v>54</v>
      </c>
      <c r="J35" s="10" t="str">
        <f t="shared" si="0"/>
        <v>INSERT INTO Planta(variedade, nomeComum, designacaoTipoPermanencia, especie) VALUES ('BRAVO DE ESMOLFE', 'Macieira','Permanente', 'Malus domestica');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t="s">
        <v>50</v>
      </c>
      <c r="B36" t="s">
        <v>51</v>
      </c>
      <c r="C36" t="s">
        <v>57</v>
      </c>
      <c r="D36" t="s">
        <v>14</v>
      </c>
      <c r="F36" t="s">
        <v>15</v>
      </c>
      <c r="G36" t="s">
        <v>53</v>
      </c>
      <c r="H36" t="s">
        <v>54</v>
      </c>
      <c r="J36" s="10" t="str">
        <f t="shared" si="0"/>
        <v>INSERT INTO Planta(variedade, nomeComum, designacaoTipoPermanencia, especie) VALUES ('CASA NOVA DE ALCOBAÇA', 'Macieira','Permanente', 'Malus domestica');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t="s">
        <v>50</v>
      </c>
      <c r="B37" t="s">
        <v>51</v>
      </c>
      <c r="C37" t="s">
        <v>58</v>
      </c>
      <c r="D37" t="s">
        <v>14</v>
      </c>
      <c r="F37" t="s">
        <v>15</v>
      </c>
      <c r="G37" t="s">
        <v>53</v>
      </c>
      <c r="H37" t="s">
        <v>54</v>
      </c>
      <c r="J37" s="10" t="str">
        <f t="shared" si="0"/>
        <v>INSERT INTO Planta(variedade, nomeComum, designacaoTipoPermanencia, especie) VALUES ('EROVAN', 'Macieira','Permanente', 'Malus domestica');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t="s">
        <v>50</v>
      </c>
      <c r="B38" t="s">
        <v>51</v>
      </c>
      <c r="C38" t="s">
        <v>59</v>
      </c>
      <c r="D38" t="s">
        <v>14</v>
      </c>
      <c r="F38" t="s">
        <v>15</v>
      </c>
      <c r="G38" t="s">
        <v>53</v>
      </c>
      <c r="H38" t="s">
        <v>54</v>
      </c>
      <c r="J38" s="10" t="str">
        <f t="shared" si="0"/>
        <v>INSERT INTO Planta(variedade, nomeComum, designacaoTipoPermanencia, especie) VALUES ('FUJI', 'Macieira','Permanente', 'Malus domestica');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t="s">
        <v>50</v>
      </c>
      <c r="B39" t="s">
        <v>51</v>
      </c>
      <c r="C39" t="s">
        <v>60</v>
      </c>
      <c r="D39" t="s">
        <v>14</v>
      </c>
      <c r="F39" t="s">
        <v>15</v>
      </c>
      <c r="G39" t="s">
        <v>53</v>
      </c>
      <c r="H39" t="s">
        <v>54</v>
      </c>
      <c r="J39" s="10" t="str">
        <f t="shared" si="0"/>
        <v>INSERT INTO Planta(variedade, nomeComum, designacaoTipoPermanencia, especie) VALUES ('GRANNY SMITH', 'Macieira','Permanente', 'Malus domestica');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t="s">
        <v>50</v>
      </c>
      <c r="B40" t="s">
        <v>51</v>
      </c>
      <c r="C40" t="s">
        <v>61</v>
      </c>
      <c r="D40" t="s">
        <v>14</v>
      </c>
      <c r="F40" t="s">
        <v>15</v>
      </c>
      <c r="G40" t="s">
        <v>53</v>
      </c>
      <c r="H40" t="s">
        <v>54</v>
      </c>
      <c r="J40" s="10" t="str">
        <f t="shared" si="0"/>
        <v>INSERT INTO Planta(variedade, nomeComum, designacaoTipoPermanencia, especie) VALUES ('GOLDEN DELICIOUS', 'Macieira','Permanente', 'Malus domestica');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t="s">
        <v>50</v>
      </c>
      <c r="B41" t="s">
        <v>51</v>
      </c>
      <c r="C41" t="s">
        <v>62</v>
      </c>
      <c r="D41" t="s">
        <v>14</v>
      </c>
      <c r="F41" t="s">
        <v>15</v>
      </c>
      <c r="G41" t="s">
        <v>53</v>
      </c>
      <c r="H41" t="s">
        <v>54</v>
      </c>
      <c r="J41" s="10" t="str">
        <f t="shared" si="0"/>
        <v>INSERT INTO Planta(variedade, nomeComum, designacaoTipoPermanencia, especie) VALUES ('HI-EARLY', 'Macieira','Permanente', 'Malus domestica');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t="s">
        <v>50</v>
      </c>
      <c r="B42" t="s">
        <v>51</v>
      </c>
      <c r="C42" t="s">
        <v>63</v>
      </c>
      <c r="D42" t="s">
        <v>14</v>
      </c>
      <c r="F42" t="s">
        <v>15</v>
      </c>
      <c r="G42" t="s">
        <v>53</v>
      </c>
      <c r="H42" t="s">
        <v>54</v>
      </c>
      <c r="J42" s="10" t="str">
        <f t="shared" si="0"/>
        <v>INSERT INTO Planta(variedade, nomeComum, designacaoTipoPermanencia, especie) VALUES ('JONAGORED', 'Macieira','Permanente', 'Malus domestica');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t="s">
        <v>50</v>
      </c>
      <c r="B43" t="s">
        <v>51</v>
      </c>
      <c r="C43" t="s">
        <v>64</v>
      </c>
      <c r="D43" t="s">
        <v>14</v>
      </c>
      <c r="F43" t="s">
        <v>15</v>
      </c>
      <c r="G43" t="s">
        <v>53</v>
      </c>
      <c r="H43" t="s">
        <v>54</v>
      </c>
      <c r="J43" s="10" t="str">
        <f t="shared" si="0"/>
        <v>INSERT INTO Planta(variedade, nomeComum, designacaoTipoPermanencia, especie) VALUES ('LYSGOLDEN', 'Macieira','Permanente', 'Malus domestica');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t="s">
        <v>50</v>
      </c>
      <c r="B44" t="s">
        <v>51</v>
      </c>
      <c r="C44" t="s">
        <v>65</v>
      </c>
      <c r="D44" t="s">
        <v>14</v>
      </c>
      <c r="F44" t="s">
        <v>15</v>
      </c>
      <c r="G44" t="s">
        <v>53</v>
      </c>
      <c r="H44" t="s">
        <v>54</v>
      </c>
      <c r="J44" s="10" t="str">
        <f t="shared" si="0"/>
        <v>INSERT INTO Planta(variedade, nomeComum, designacaoTipoPermanencia, especie) VALUES ('MUTSU', 'Macieira','Permanente', 'Malus domestica');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t="s">
        <v>50</v>
      </c>
      <c r="B45" t="s">
        <v>51</v>
      </c>
      <c r="C45" t="s">
        <v>66</v>
      </c>
      <c r="D45" t="s">
        <v>14</v>
      </c>
      <c r="F45" t="s">
        <v>67</v>
      </c>
      <c r="G45" t="s">
        <v>68</v>
      </c>
      <c r="H45" t="s">
        <v>15</v>
      </c>
      <c r="J45" s="10" t="str">
        <f t="shared" si="0"/>
        <v>INSERT INTO Planta(variedade, nomeComum, designacaoTipoPermanencia, especie) VALUES ('PORTA DA LOJA', 'Macieira','Permanente', 'Malus domestica');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t="s">
        <v>50</v>
      </c>
      <c r="B46" t="s">
        <v>51</v>
      </c>
      <c r="C46" t="s">
        <v>69</v>
      </c>
      <c r="D46" t="s">
        <v>14</v>
      </c>
      <c r="F46" t="s">
        <v>15</v>
      </c>
      <c r="G46" t="s">
        <v>53</v>
      </c>
      <c r="H46" t="s">
        <v>54</v>
      </c>
      <c r="J46" s="10" t="str">
        <f>"INSERT INTO " &amp;$L$1&amp; "(variedade, nomeComum, designacaoTipoPermanencia, especie) VALUES ('"&amp;UPPER(TRIM(SUBSTITUTE(_xlfn.TEXTAFTER(C46,"OU "), "'", "")))&amp; "', '" &amp;B46&amp; "','"&amp;D46&amp;"', '" &amp;A46&amp; "');"</f>
        <v>INSERT INTO Planta(variedade, nomeComum, designacaoTipoPermanencia, especie) VALUES ('CANADA', 'Macieira','Permanente', 'Malus domestica');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t="s">
        <v>50</v>
      </c>
      <c r="B47" t="s">
        <v>51</v>
      </c>
      <c r="C47" t="s">
        <v>70</v>
      </c>
      <c r="D47" t="s">
        <v>14</v>
      </c>
      <c r="F47" t="s">
        <v>15</v>
      </c>
      <c r="G47" t="s">
        <v>53</v>
      </c>
      <c r="H47" t="s">
        <v>54</v>
      </c>
      <c r="J47" s="10" t="str">
        <f>"INSERT INTO " &amp;$L$1&amp; "(variedade, nomeComum, designacaoTipoPermanencia, especie) VALUES ('"&amp;UPPER(TRIM(SUBSTITUTE(_xlfn.TEXTAFTER(C47,"OU "), "'", "")))&amp; "', '" &amp;B47&amp; "','"&amp;D47&amp;"', '" &amp;A47&amp; "');"</f>
        <v>INSERT INTO Planta(variedade, nomeComum, designacaoTipoPermanencia, especie) VALUES ('GRAND FAY', 'Macieira','Permanente', 'Malus domestica');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t="s">
        <v>50</v>
      </c>
      <c r="B48" t="s">
        <v>51</v>
      </c>
      <c r="C48" t="s">
        <v>71</v>
      </c>
      <c r="D48" t="s">
        <v>14</v>
      </c>
      <c r="F48" t="s">
        <v>15</v>
      </c>
      <c r="G48" t="s">
        <v>53</v>
      </c>
      <c r="H48" t="s">
        <v>54</v>
      </c>
      <c r="J48" s="10" t="str">
        <f t="shared" si="0"/>
        <v>INSERT INTO Planta(variedade, nomeComum, designacaoTipoPermanencia, especie) VALUES ('RISCADINHA DE PALMELA', 'Macieira','Permanente', 'Malus domestica');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t="s">
        <v>50</v>
      </c>
      <c r="B49" t="s">
        <v>51</v>
      </c>
      <c r="C49" t="s">
        <v>72</v>
      </c>
      <c r="D49" t="s">
        <v>14</v>
      </c>
      <c r="F49" t="s">
        <v>15</v>
      </c>
      <c r="G49" t="s">
        <v>53</v>
      </c>
      <c r="H49" t="s">
        <v>54</v>
      </c>
      <c r="J49" s="10" t="str">
        <f t="shared" si="0"/>
        <v>INSERT INTO Planta(variedade, nomeComum, designacaoTipoPermanencia, especie) VALUES ('ROYAL GALA', 'Macieira','Permanente', 'Malus domestica');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t="s">
        <v>50</v>
      </c>
      <c r="B50" t="s">
        <v>51</v>
      </c>
      <c r="C50" t="s">
        <v>73</v>
      </c>
      <c r="D50" t="s">
        <v>14</v>
      </c>
      <c r="F50" t="s">
        <v>15</v>
      </c>
      <c r="G50" t="s">
        <v>53</v>
      </c>
      <c r="H50" t="s">
        <v>54</v>
      </c>
      <c r="J50" s="10" t="str">
        <f t="shared" si="0"/>
        <v>INSERT INTO Planta(variedade, nomeComum, designacaoTipoPermanencia, especie) VALUES ('REDCHIEF', 'Macieira','Permanente', 'Malus domestica');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t="s">
        <v>50</v>
      </c>
      <c r="B51" t="s">
        <v>51</v>
      </c>
      <c r="C51" t="s">
        <v>74</v>
      </c>
      <c r="D51" t="s">
        <v>14</v>
      </c>
      <c r="F51" t="s">
        <v>15</v>
      </c>
      <c r="G51" t="s">
        <v>53</v>
      </c>
      <c r="H51" t="s">
        <v>54</v>
      </c>
      <c r="J51" s="10" t="str">
        <f t="shared" si="0"/>
        <v>INSERT INTO Planta(variedade, nomeComum, designacaoTipoPermanencia, especie) VALUES ('STARKING', 'Macieira','Permanente', 'Malus domestica');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t="s">
        <v>50</v>
      </c>
      <c r="B52" t="s">
        <v>51</v>
      </c>
      <c r="C52" t="s">
        <v>75</v>
      </c>
      <c r="D52" t="s">
        <v>14</v>
      </c>
      <c r="F52" t="s">
        <v>15</v>
      </c>
      <c r="G52" t="s">
        <v>53</v>
      </c>
      <c r="H52" t="s">
        <v>54</v>
      </c>
      <c r="J52" s="10" t="str">
        <f t="shared" si="0"/>
        <v>INSERT INTO Planta(variedade, nomeComum, designacaoTipoPermanencia, especie) VALUES ('SUMMER RED', 'Macieira','Permanente', 'Malus domestica');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t="s">
        <v>50</v>
      </c>
      <c r="B53" t="s">
        <v>51</v>
      </c>
      <c r="C53" t="s">
        <v>76</v>
      </c>
      <c r="D53" t="s">
        <v>14</v>
      </c>
      <c r="F53" t="s">
        <v>15</v>
      </c>
      <c r="G53" t="s">
        <v>53</v>
      </c>
      <c r="H53" t="s">
        <v>54</v>
      </c>
      <c r="J53" s="10" t="str">
        <f t="shared" si="0"/>
        <v>INSERT INTO Planta(variedade, nomeComum, designacaoTipoPermanencia, especie) VALUES ('WELLSPUR DELICIOUS', 'Macieira','Permanente', 'Malus domestica');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t="s">
        <v>50</v>
      </c>
      <c r="B54" t="s">
        <v>51</v>
      </c>
      <c r="C54" t="s">
        <v>77</v>
      </c>
      <c r="D54" t="s">
        <v>14</v>
      </c>
      <c r="F54" t="s">
        <v>15</v>
      </c>
      <c r="G54" t="s">
        <v>53</v>
      </c>
      <c r="H54" t="s">
        <v>54</v>
      </c>
      <c r="J54" s="10" t="str">
        <f t="shared" si="0"/>
        <v>INSERT INTO Planta(variedade, nomeComum, designacaoTipoPermanencia, especie) VALUES ('NOIVA', 'Macieira','Permanente', 'Malus domestica');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t="s">
        <v>50</v>
      </c>
      <c r="B55" t="s">
        <v>51</v>
      </c>
      <c r="C55" t="s">
        <v>78</v>
      </c>
      <c r="D55" t="s">
        <v>14</v>
      </c>
      <c r="F55" t="s">
        <v>15</v>
      </c>
      <c r="G55" t="s">
        <v>53</v>
      </c>
      <c r="H55" t="s">
        <v>54</v>
      </c>
      <c r="J55" s="10" t="str">
        <f t="shared" si="0"/>
        <v>INSERT INTO Planta(variedade, nomeComum, designacaoTipoPermanencia, especie) VALUES ('OLHO ABERTO', 'Macieira','Permanente', 'Malus domestica');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t="s">
        <v>50</v>
      </c>
      <c r="B56" t="s">
        <v>51</v>
      </c>
      <c r="C56" t="s">
        <v>79</v>
      </c>
      <c r="D56" t="s">
        <v>14</v>
      </c>
      <c r="F56" t="s">
        <v>15</v>
      </c>
      <c r="G56" t="s">
        <v>53</v>
      </c>
      <c r="H56" t="s">
        <v>54</v>
      </c>
      <c r="J56" s="10" t="str">
        <f t="shared" si="0"/>
        <v>INSERT INTO Planta(variedade, nomeComum, designacaoTipoPermanencia, especie) VALUES ('CAMOESA ROSA', 'Macieira','Permanente', 'Malus domestica');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t="s">
        <v>50</v>
      </c>
      <c r="B57" t="s">
        <v>51</v>
      </c>
      <c r="C57" t="s">
        <v>80</v>
      </c>
      <c r="D57" t="s">
        <v>14</v>
      </c>
      <c r="F57" t="s">
        <v>15</v>
      </c>
      <c r="G57" t="s">
        <v>53</v>
      </c>
      <c r="H57" t="s">
        <v>54</v>
      </c>
      <c r="J57" s="10" t="str">
        <f t="shared" si="0"/>
        <v>INSERT INTO Planta(variedade, nomeComum, designacaoTipoPermanencia, especie) VALUES ('MALÁPIO', 'Macieira','Permanente', 'Malus domestica');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t="s">
        <v>50</v>
      </c>
      <c r="B58" t="s">
        <v>51</v>
      </c>
      <c r="C58" t="s">
        <v>81</v>
      </c>
      <c r="D58" t="s">
        <v>14</v>
      </c>
      <c r="F58" t="s">
        <v>15</v>
      </c>
      <c r="G58" t="s">
        <v>53</v>
      </c>
      <c r="H58" t="s">
        <v>54</v>
      </c>
      <c r="J58" s="10" t="str">
        <f t="shared" si="0"/>
        <v>INSERT INTO Planta(variedade, nomeComum, designacaoTipoPermanencia, especie) VALUES ('GRONHO DOCE', 'Macieira','Permanente', 'Malus domestica');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t="s">
        <v>50</v>
      </c>
      <c r="B59" t="s">
        <v>51</v>
      </c>
      <c r="C59" t="s">
        <v>82</v>
      </c>
      <c r="D59" t="s">
        <v>14</v>
      </c>
      <c r="F59" t="s">
        <v>15</v>
      </c>
      <c r="G59" t="s">
        <v>53</v>
      </c>
      <c r="H59" t="s">
        <v>54</v>
      </c>
      <c r="J59" s="10" t="str">
        <f t="shared" si="0"/>
        <v>INSERT INTO Planta(variedade, nomeComum, designacaoTipoPermanencia, especie) VALUES ('PÉ DE BOI ', 'Macieira','Permanente', 'Malus domestica');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t="s">
        <v>50</v>
      </c>
      <c r="B60" t="s">
        <v>51</v>
      </c>
      <c r="C60" t="s">
        <v>83</v>
      </c>
      <c r="D60" t="s">
        <v>14</v>
      </c>
      <c r="F60" t="s">
        <v>15</v>
      </c>
      <c r="G60" t="s">
        <v>53</v>
      </c>
      <c r="H60" t="s">
        <v>54</v>
      </c>
      <c r="J60" s="10" t="str">
        <f t="shared" si="0"/>
        <v>INSERT INTO Planta(variedade, nomeComum, designacaoTipoPermanencia, especie) VALUES ('PINOVA', 'Macieira','Permanente', 'Malus domestica');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t="s">
        <v>50</v>
      </c>
      <c r="B61" t="s">
        <v>51</v>
      </c>
      <c r="C61" t="s">
        <v>84</v>
      </c>
      <c r="D61" t="s">
        <v>14</v>
      </c>
      <c r="F61" t="s">
        <v>15</v>
      </c>
      <c r="G61" t="s">
        <v>53</v>
      </c>
      <c r="H61" t="s">
        <v>54</v>
      </c>
      <c r="J61" s="10" t="str">
        <f t="shared" si="0"/>
        <v>INSERT INTO Planta(variedade, nomeComum, designacaoTipoPermanencia, especie) VALUES ('PARDO LINDO', 'Macieira','Permanente', 'Malus domestica');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t="s">
        <v>50</v>
      </c>
      <c r="B62" t="s">
        <v>51</v>
      </c>
      <c r="C62" t="s">
        <v>85</v>
      </c>
      <c r="D62" t="s">
        <v>14</v>
      </c>
      <c r="F62" t="s">
        <v>15</v>
      </c>
      <c r="G62" t="s">
        <v>53</v>
      </c>
      <c r="H62" t="s">
        <v>54</v>
      </c>
      <c r="J62" s="10" t="str">
        <f t="shared" si="0"/>
        <v>INSERT INTO Planta(variedade, nomeComum, designacaoTipoPermanencia, especie) VALUES ('PIPO DE BASTO', 'Macieira','Permanente', 'Malus domestica');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t="s">
        <v>50</v>
      </c>
      <c r="B63" t="s">
        <v>51</v>
      </c>
      <c r="C63" t="s">
        <v>86</v>
      </c>
      <c r="D63" t="s">
        <v>14</v>
      </c>
      <c r="F63" t="s">
        <v>15</v>
      </c>
      <c r="G63" t="s">
        <v>53</v>
      </c>
      <c r="H63" t="s">
        <v>54</v>
      </c>
      <c r="J63" s="10" t="str">
        <f t="shared" si="0"/>
        <v>INSERT INTO Planta(variedade, nomeComum, designacaoTipoPermanencia, especie) VALUES ('PRIMA', 'Macieira','Permanente', 'Malus domestica');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t="s">
        <v>50</v>
      </c>
      <c r="B64" t="s">
        <v>51</v>
      </c>
      <c r="C64" t="s">
        <v>87</v>
      </c>
      <c r="D64" t="s">
        <v>14</v>
      </c>
      <c r="F64" t="s">
        <v>15</v>
      </c>
      <c r="G64" t="s">
        <v>53</v>
      </c>
      <c r="H64" t="s">
        <v>54</v>
      </c>
      <c r="J64" s="10" t="str">
        <f t="shared" si="0"/>
        <v>INSERT INTO Planta(variedade, nomeComum, designacaoTipoPermanencia, especie) VALUES ('QUERINA', 'Macieira','Permanente', 'Malus domestica');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t="s">
        <v>50</v>
      </c>
      <c r="B65" t="s">
        <v>51</v>
      </c>
      <c r="C65" t="s">
        <v>88</v>
      </c>
      <c r="D65" t="s">
        <v>14</v>
      </c>
      <c r="F65" t="s">
        <v>15</v>
      </c>
      <c r="G65" t="s">
        <v>53</v>
      </c>
      <c r="H65" t="s">
        <v>54</v>
      </c>
      <c r="J65" s="10" t="str">
        <f t="shared" si="0"/>
        <v>INSERT INTO Planta(variedade, nomeComum, designacaoTipoPermanencia, especie) VALUES ('VISTA BELLA', 'Macieira','Permanente', 'Malus domestica');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t="s">
        <v>50</v>
      </c>
      <c r="B66" t="s">
        <v>51</v>
      </c>
      <c r="C66" t="s">
        <v>89</v>
      </c>
      <c r="D66" t="s">
        <v>14</v>
      </c>
      <c r="F66" t="s">
        <v>15</v>
      </c>
      <c r="G66" t="s">
        <v>53</v>
      </c>
      <c r="H66" t="s">
        <v>54</v>
      </c>
      <c r="J66" s="10" t="str">
        <f t="shared" si="0"/>
        <v>INSERT INTO Planta(variedade, nomeComum, designacaoTipoPermanencia, especie) VALUES ('GOLDEN SMOOTHEE', 'Macieira','Permanente', 'Malus domestica');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t="s">
        <v>50</v>
      </c>
      <c r="B67" t="s">
        <v>51</v>
      </c>
      <c r="C67" t="s">
        <v>90</v>
      </c>
      <c r="D67" t="s">
        <v>14</v>
      </c>
      <c r="F67" t="s">
        <v>15</v>
      </c>
      <c r="G67" t="s">
        <v>53</v>
      </c>
      <c r="H67" t="s">
        <v>54</v>
      </c>
      <c r="J67" s="10" t="str">
        <f t="shared" ref="J67:J96" si="1">"INSERT INTO " &amp;$L$1&amp; "(variedade, nomeComum, designacaoTipoPermanencia, especie) VALUES ('"&amp;UPPER(TRIM(SUBSTITUTE(C67, "'", "")))&amp; "', '" &amp;B67&amp; "','"&amp;D67&amp;"', '" &amp;A67&amp; "');"</f>
        <v>INSERT INTO Planta(variedade, nomeComum, designacaoTipoPermanencia, especie) VALUES ('GOLDEN SUPREMA', 'Macieira','Permanente', 'Malus domestica');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t="s">
        <v>50</v>
      </c>
      <c r="B68" t="s">
        <v>51</v>
      </c>
      <c r="C68" t="s">
        <v>91</v>
      </c>
      <c r="D68" t="s">
        <v>14</v>
      </c>
      <c r="F68" t="s">
        <v>15</v>
      </c>
      <c r="G68" t="s">
        <v>53</v>
      </c>
      <c r="H68" t="s">
        <v>54</v>
      </c>
      <c r="J68" s="10" t="str">
        <f t="shared" si="1"/>
        <v>INSERT INTO Planta(variedade, nomeComum, designacaoTipoPermanencia, especie) VALUES ('GLOSTER 69', 'Macieira','Permanente', 'Malus domestica');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t="s">
        <v>50</v>
      </c>
      <c r="B69" t="s">
        <v>51</v>
      </c>
      <c r="C69" t="s">
        <v>92</v>
      </c>
      <c r="D69" t="s">
        <v>14</v>
      </c>
      <c r="F69" t="s">
        <v>15</v>
      </c>
      <c r="G69" t="s">
        <v>53</v>
      </c>
      <c r="H69" t="s">
        <v>54</v>
      </c>
      <c r="J69" s="10" t="str">
        <f t="shared" si="1"/>
        <v>INSERT INTO Planta(variedade, nomeComum, designacaoTipoPermanencia, especie) VALUES ('FREEDOM', 'Macieira','Permanente', 'Malus domestica');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t="s">
        <v>93</v>
      </c>
      <c r="B70" t="s">
        <v>94</v>
      </c>
      <c r="C70" t="s">
        <v>95</v>
      </c>
      <c r="D70" t="s">
        <v>14</v>
      </c>
      <c r="J70" s="10" t="str">
        <f t="shared" si="1"/>
        <v>INSERT INTO Planta(variedade, nomeComum, designacaoTipoPermanencia, especie) VALUES ('SNINSEIKI', 'Pera Nashi','Permanente', 'Pyrus pyrifolia');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t="s">
        <v>93</v>
      </c>
      <c r="B71" t="s">
        <v>94</v>
      </c>
      <c r="C71" t="s">
        <v>96</v>
      </c>
      <c r="D71" t="s">
        <v>14</v>
      </c>
      <c r="J71" s="10" t="str">
        <f t="shared" si="1"/>
        <v>INSERT INTO Planta(variedade, nomeComum, designacaoTipoPermanencia, especie) VALUES ('KUMOI', 'Pera Nashi','Permanente', 'Pyrus pyrifolia');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t="s">
        <v>93</v>
      </c>
      <c r="B72" t="s">
        <v>94</v>
      </c>
      <c r="C72" t="s">
        <v>97</v>
      </c>
      <c r="D72" t="s">
        <v>14</v>
      </c>
      <c r="J72" s="10" t="str">
        <f t="shared" si="1"/>
        <v>INSERT INTO Planta(variedade, nomeComum, designacaoTipoPermanencia, especie) VALUES ('HOSUI', 'Pera Nashi','Permanente', 'Pyrus pyrifolia');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t="s">
        <v>93</v>
      </c>
      <c r="B73" t="s">
        <v>94</v>
      </c>
      <c r="C73" t="s">
        <v>98</v>
      </c>
      <c r="D73" t="s">
        <v>14</v>
      </c>
      <c r="J73" s="10" t="str">
        <f t="shared" si="1"/>
        <v>INSERT INTO Planta(variedade, nomeComum, designacaoTipoPermanencia, especie) VALUES ('NIJISSEIKI', 'Pera Nashi','Permanente', 'Pyrus pyrifolia');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t="s">
        <v>99</v>
      </c>
      <c r="B74" t="s">
        <v>100</v>
      </c>
      <c r="C74" t="s">
        <v>101</v>
      </c>
      <c r="D74" t="s">
        <v>102</v>
      </c>
      <c r="H74" t="s">
        <v>103</v>
      </c>
      <c r="J74" s="10" t="str">
        <f t="shared" si="1"/>
        <v>INSERT INTO Planta(variedade, nomeComum, designacaoTipoPermanencia, especie) VALUES ('CARSON HYBRID', 'Cenoura','Temporária', 'Daucus carota subsp. Sativus');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t="s">
        <v>99</v>
      </c>
      <c r="B75" t="s">
        <v>100</v>
      </c>
      <c r="C75" t="s">
        <v>104</v>
      </c>
      <c r="D75" t="s">
        <v>102</v>
      </c>
      <c r="H75" t="s">
        <v>103</v>
      </c>
      <c r="J75" s="10" t="str">
        <f t="shared" si="1"/>
        <v>INSERT INTO Planta(variedade, nomeComum, designacaoTipoPermanencia, especie) VALUES ('RED CORED CHANTENAY', 'Cenoura','Temporária', 'Daucus carota subsp. Sativus');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t="s">
        <v>99</v>
      </c>
      <c r="B76" t="s">
        <v>100</v>
      </c>
      <c r="C76" t="s">
        <v>105</v>
      </c>
      <c r="D76" t="s">
        <v>102</v>
      </c>
      <c r="H76" t="s">
        <v>103</v>
      </c>
      <c r="J76" s="10" t="str">
        <f t="shared" si="1"/>
        <v>INSERT INTO Planta(variedade, nomeComum, designacaoTipoPermanencia, especie) VALUES ('DANVERS HALF LONG', 'Cenoura','Temporária', 'Daucus carota subsp. Sativus');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t="s">
        <v>99</v>
      </c>
      <c r="B77" t="s">
        <v>100</v>
      </c>
      <c r="C77" t="s">
        <v>106</v>
      </c>
      <c r="D77" t="s">
        <v>102</v>
      </c>
      <c r="H77" t="s">
        <v>103</v>
      </c>
      <c r="J77" s="10" t="str">
        <f t="shared" si="1"/>
        <v>INSERT INTO Planta(variedade, nomeComum, designacaoTipoPermanencia, especie) VALUES ('IMPERATOR 58', 'Cenoura','Temporária', 'Daucus carota subsp. Sativus');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t="s">
        <v>99</v>
      </c>
      <c r="B78" t="s">
        <v>100</v>
      </c>
      <c r="C78" t="s">
        <v>107</v>
      </c>
      <c r="D78" t="s">
        <v>102</v>
      </c>
      <c r="H78" t="s">
        <v>103</v>
      </c>
      <c r="J78" s="10" t="str">
        <f t="shared" si="1"/>
        <v>INSERT INTO Planta(variedade, nomeComum, designacaoTipoPermanencia, especie) VALUES ('SUGARSNAX HYBRID', 'Cenoura','Temporária', 'Daucus carota subsp. Sativus');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t="s">
        <v>99</v>
      </c>
      <c r="B79" t="s">
        <v>100</v>
      </c>
      <c r="C79" t="s">
        <v>108</v>
      </c>
      <c r="D79" t="s">
        <v>102</v>
      </c>
      <c r="H79" t="s">
        <v>103</v>
      </c>
      <c r="J79" s="10" t="str">
        <f t="shared" si="1"/>
        <v>INSERT INTO Planta(variedade, nomeComum, designacaoTipoPermanencia, especie) VALUES ('NELSON HYBRID', 'Cenoura','Temporária', 'Daucus carota subsp. Sativus');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t="s">
        <v>99</v>
      </c>
      <c r="B80" t="s">
        <v>100</v>
      </c>
      <c r="C80" t="s">
        <v>109</v>
      </c>
      <c r="D80" t="s">
        <v>102</v>
      </c>
      <c r="H80" t="s">
        <v>103</v>
      </c>
      <c r="J80" s="10" t="str">
        <f t="shared" si="1"/>
        <v>INSERT INTO Planta(variedade, nomeComum, designacaoTipoPermanencia, especie) VALUES ('SCARLET NANTES', 'Cenoura','Temporária', 'Daucus carota subsp. Sativus');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t="s">
        <v>110</v>
      </c>
      <c r="B81" t="s">
        <v>111</v>
      </c>
      <c r="C81" t="s">
        <v>112</v>
      </c>
      <c r="D81" t="s">
        <v>102</v>
      </c>
      <c r="J81" s="10" t="str">
        <f t="shared" si="1"/>
        <v>INSERT INTO Planta(variedade, nomeComum, designacaoTipoPermanencia, especie) VALUES ('AMARELO', 'Tremoço','Temporária', 'Lupinus luteus');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t="s">
        <v>113</v>
      </c>
      <c r="B82" t="s">
        <v>111</v>
      </c>
      <c r="C82" t="s">
        <v>114</v>
      </c>
      <c r="D82" t="s">
        <v>102</v>
      </c>
      <c r="J82" s="10" t="str">
        <f t="shared" si="1"/>
        <v>INSERT INTO Planta(variedade, nomeComum, designacaoTipoPermanencia, especie) VALUES ('BRANCO', 'Tremoço','Temporária', 'Lupinus albus');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t="s">
        <v>115</v>
      </c>
      <c r="B83" t="s">
        <v>116</v>
      </c>
      <c r="C83" t="s">
        <v>117</v>
      </c>
      <c r="D83" t="s">
        <v>102</v>
      </c>
      <c r="E83" t="s">
        <v>118</v>
      </c>
      <c r="H83" t="s">
        <v>119</v>
      </c>
      <c r="J83" s="10" t="str">
        <f t="shared" si="1"/>
        <v>INSERT INTO Planta(variedade, nomeComum, designacaoTipoPermanencia, especie) VALUES ('MAS 24.C', 'Milho','Temporária', 'Zea mays');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t="s">
        <v>115</v>
      </c>
      <c r="B84" t="s">
        <v>116</v>
      </c>
      <c r="C84" t="s">
        <v>120</v>
      </c>
      <c r="D84" t="s">
        <v>102</v>
      </c>
      <c r="E84" t="s">
        <v>118</v>
      </c>
      <c r="H84" t="s">
        <v>119</v>
      </c>
      <c r="J84" s="10" t="str">
        <f t="shared" si="1"/>
        <v>INSERT INTO Planta(variedade, nomeComum, designacaoTipoPermanencia, especie) VALUES ('DOCE GOLDEN BANTAM', 'Milho','Temporária', 'Zea mays');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t="s">
        <v>121</v>
      </c>
      <c r="B85" t="s">
        <v>122</v>
      </c>
      <c r="C85" t="s">
        <v>123</v>
      </c>
      <c r="D85" t="s">
        <v>102</v>
      </c>
      <c r="E85" t="s">
        <v>124</v>
      </c>
      <c r="H85" t="s">
        <v>125</v>
      </c>
      <c r="J85" s="10" t="str">
        <f t="shared" si="1"/>
        <v>INSERT INTO Planta(variedade, nomeComum, designacaoTipoPermanencia, especie) VALUES ('SENHORA CONCEIÇÃO', 'Nabo greleiro','Temporária', 'Brassica rapa');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t="s">
        <v>126</v>
      </c>
      <c r="B86" t="s">
        <v>127</v>
      </c>
      <c r="C86" t="s">
        <v>128</v>
      </c>
      <c r="D86" t="s">
        <v>14</v>
      </c>
      <c r="H86" t="s">
        <v>129</v>
      </c>
      <c r="J86" s="10" t="str">
        <f t="shared" si="1"/>
        <v>INSERT INTO Planta(variedade, nomeComum, designacaoTipoPermanencia, especie) VALUES ('COBRANÇOSA', 'Oliveira','Permanente', 'Olea europaea');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t="s">
        <v>126</v>
      </c>
      <c r="B87" t="s">
        <v>127</v>
      </c>
      <c r="C87" t="s">
        <v>130</v>
      </c>
      <c r="D87" t="s">
        <v>14</v>
      </c>
      <c r="H87" t="s">
        <v>129</v>
      </c>
      <c r="J87" s="10" t="str">
        <f t="shared" si="1"/>
        <v>INSERT INTO Planta(variedade, nomeComum, designacaoTipoPermanencia, especie) VALUES ('ARBEQUINA', 'Oliveira','Permanente', 'Olea europaea');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t="s">
        <v>126</v>
      </c>
      <c r="B88" t="s">
        <v>127</v>
      </c>
      <c r="C88" t="s">
        <v>131</v>
      </c>
      <c r="D88" t="s">
        <v>14</v>
      </c>
      <c r="H88" t="s">
        <v>129</v>
      </c>
      <c r="J88" s="10" t="str">
        <f t="shared" si="1"/>
        <v>INSERT INTO Planta(variedade, nomeComum, designacaoTipoPermanencia, especie) VALUES ('HOJIBLANCA', 'Oliveira','Permanente', 'Olea europaea');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t="s">
        <v>126</v>
      </c>
      <c r="B89" t="s">
        <v>127</v>
      </c>
      <c r="C89" t="s">
        <v>132</v>
      </c>
      <c r="D89" t="s">
        <v>14</v>
      </c>
      <c r="H89" t="s">
        <v>129</v>
      </c>
      <c r="J89" s="10" t="str">
        <f t="shared" si="1"/>
        <v>INSERT INTO Planta(variedade, nomeComum, designacaoTipoPermanencia, especie) VALUES ('NEGRINHA DO FREIXO', 'Oliveira','Permanente', 'Olea europaea');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t="s">
        <v>126</v>
      </c>
      <c r="B90" t="s">
        <v>127</v>
      </c>
      <c r="C90" t="s">
        <v>133</v>
      </c>
      <c r="D90" t="s">
        <v>14</v>
      </c>
      <c r="H90" t="s">
        <v>129</v>
      </c>
      <c r="J90" s="10" t="str">
        <f t="shared" si="1"/>
        <v>INSERT INTO Planta(variedade, nomeComum, designacaoTipoPermanencia, especie) VALUES ('PICUAL', 'Oliveira','Permanente', 'Olea europaea');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t="s">
        <v>126</v>
      </c>
      <c r="B91" t="s">
        <v>127</v>
      </c>
      <c r="C91" t="s">
        <v>134</v>
      </c>
      <c r="D91" t="s">
        <v>14</v>
      </c>
      <c r="H91" t="s">
        <v>129</v>
      </c>
      <c r="J91" s="10" t="str">
        <f t="shared" si="1"/>
        <v>INSERT INTO Planta(variedade, nomeComum, designacaoTipoPermanencia, especie) VALUES ('MAÇANILHA', 'Oliveira','Permanente', 'Olea europaea');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t="s">
        <v>126</v>
      </c>
      <c r="B92" t="s">
        <v>127</v>
      </c>
      <c r="C92" t="s">
        <v>135</v>
      </c>
      <c r="D92" t="s">
        <v>14</v>
      </c>
      <c r="H92" t="s">
        <v>129</v>
      </c>
      <c r="J92" s="10" t="str">
        <f t="shared" si="1"/>
        <v>INSERT INTO Planta(variedade, nomeComum, designacaoTipoPermanencia, especie) VALUES ('CONSERVA DE ELVAS', 'Oliveira','Permanente', 'Olea europaea');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t="s">
        <v>126</v>
      </c>
      <c r="B93" t="s">
        <v>127</v>
      </c>
      <c r="C93" t="s">
        <v>136</v>
      </c>
      <c r="D93" t="s">
        <v>14</v>
      </c>
      <c r="H93" t="s">
        <v>129</v>
      </c>
      <c r="J93" s="10" t="str">
        <f t="shared" si="1"/>
        <v>INSERT INTO Planta(variedade, nomeComum, designacaoTipoPermanencia, especie) VALUES ('GALEGA', 'Oliveira','Permanente', 'Olea europaea');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t="s">
        <v>121</v>
      </c>
      <c r="B94" t="s">
        <v>137</v>
      </c>
      <c r="C94" t="s">
        <v>138</v>
      </c>
      <c r="D94" t="s">
        <v>102</v>
      </c>
      <c r="E94" t="s">
        <v>139</v>
      </c>
      <c r="H94" t="s">
        <v>140</v>
      </c>
      <c r="J94" s="10" t="str">
        <f t="shared" si="1"/>
        <v>INSERT INTO Planta(variedade, nomeComum, designacaoTipoPermanencia, especie) VALUES ('S. COSME', 'Nabo','Temporária', 'Brassica rapa');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t="s">
        <v>141</v>
      </c>
      <c r="B95" t="s">
        <v>142</v>
      </c>
      <c r="C95" t="s">
        <v>143</v>
      </c>
      <c r="D95" t="s">
        <v>14</v>
      </c>
      <c r="F95" t="s">
        <v>144</v>
      </c>
      <c r="G95" t="s">
        <v>145</v>
      </c>
      <c r="H95" t="s">
        <v>146</v>
      </c>
      <c r="J95" s="10" t="str">
        <f t="shared" si="1"/>
        <v>INSERT INTO Planta(variedade, nomeComum, designacaoTipoPermanencia, especie) VALUES ('DONA MARIA', 'Videira','Permanente', 'Vitis vinifera');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t="s">
        <v>141</v>
      </c>
      <c r="B96" t="s">
        <v>142</v>
      </c>
      <c r="C96" t="s">
        <v>147</v>
      </c>
      <c r="D96" t="s">
        <v>14</v>
      </c>
      <c r="F96" t="s">
        <v>144</v>
      </c>
      <c r="G96" t="s">
        <v>145</v>
      </c>
      <c r="H96" t="s">
        <v>146</v>
      </c>
      <c r="J96" s="10" t="str">
        <f t="shared" si="1"/>
        <v>INSERT INTO Planta(variedade, nomeComum, designacaoTipoPermanencia, especie) VALUES ('CARDINAL', 'Videira','Permanente', 'Vitis vinifera');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100" spans="1:20">
      <c r="A100" s="26" t="s">
        <v>8</v>
      </c>
      <c r="B100" s="26" t="s">
        <v>9</v>
      </c>
      <c r="C100" s="26" t="s">
        <v>148</v>
      </c>
      <c r="D100" s="26"/>
      <c r="E100" s="26"/>
      <c r="F100" s="26"/>
      <c r="G100" s="26"/>
      <c r="H100" s="26"/>
      <c r="I100" s="106"/>
      <c r="K100" s="106"/>
      <c r="L100" s="9" t="s">
        <v>8</v>
      </c>
      <c r="M100" s="9" t="s">
        <v>9</v>
      </c>
      <c r="N100" s="9" t="s">
        <v>149</v>
      </c>
      <c r="O100" s="9"/>
      <c r="P100" s="9"/>
      <c r="Q100" s="9"/>
      <c r="R100" s="9"/>
      <c r="S100" s="9"/>
    </row>
    <row r="101" spans="1:20">
      <c r="A101" s="21" t="str">
        <f xml:space="preserve"> "INSERT INTO " &amp;$C$100&amp; "(variedade, nomeComum, DESIGNACAOTIPOACAOAGRICOLA, INTERVALOTEMPO) VALUES ('" &amp;UPPER(C83)&amp; "', '" &amp;B83&amp; "', '" &amp;$E$1&amp; "', " &amp;IF(ISBLANK(E83), "NULL", "'" &amp;E83&amp; "'")&amp; "); "</f>
        <v xml:space="preserve">INSERT INTO CalendarioAcaoAgricola(variedade, nomeComum, DESIGNACAOTIPOACAOAGRICOLA, INTERVALOTEMPO) VALUES ('MAS 24.C', 'Milho', 'Sementeira/Plantação', 'Abril a junho'); </v>
      </c>
      <c r="B101" s="21"/>
      <c r="C101" s="21"/>
      <c r="D101" s="21"/>
      <c r="E101" s="21"/>
      <c r="F101" s="21"/>
      <c r="G101" s="21"/>
      <c r="H101" s="21"/>
      <c r="L101" s="10" t="str">
        <f xml:space="preserve"> "INSERT INTO " &amp;$N$100&amp; "(designacaoTipoFenologia) VALUES ('"&amp;D2&amp;"'); "</f>
        <v xml:space="preserve">INSERT INTO TipoPermanencia(designacaoTipoFenologia) VALUES ('Permanente'); </v>
      </c>
      <c r="M101" s="10"/>
      <c r="N101" s="10"/>
      <c r="O101" s="10"/>
      <c r="P101" s="10"/>
      <c r="Q101" s="10"/>
      <c r="R101" s="10"/>
      <c r="S101" s="10"/>
    </row>
    <row r="102" spans="1:20">
      <c r="A102" s="21" t="str">
        <f xml:space="preserve"> "INSERT INTO " &amp;$C$100&amp; "(variedade, nomeComum, DESIGNACAOTIPOACAOAGRICOLA, INTERVALOTEMPO) VALUES ('" &amp;UPPER(C84)&amp; "', '" &amp;B84&amp; "', '" &amp;$E$1&amp; "', " &amp;IF(ISBLANK(E84), "NULL", "'" &amp;E84&amp; "'")&amp; "); "</f>
        <v xml:space="preserve">INSERT INTO CalendarioAcaoAgricola(variedade, nomeComum, DESIGNACAOTIPOACAOAGRICOLA, INTERVALOTEMPO) VALUES ('DOCE GOLDEN BANTAM', 'Milho', 'Sementeira/Plantação', 'Abril a junho'); </v>
      </c>
      <c r="B102" s="21"/>
      <c r="C102" s="21"/>
      <c r="D102" s="21"/>
      <c r="E102" s="21"/>
      <c r="F102" s="21"/>
      <c r="G102" s="21"/>
      <c r="H102" s="21"/>
      <c r="L102" s="10" t="str">
        <f xml:space="preserve"> "INSERT INTO " &amp;$N$100&amp; "(designacaoTipoFenologia) VALUES ('"&amp;D81&amp;"'); "</f>
        <v xml:space="preserve">INSERT INTO TipoPermanencia(designacaoTipoFenologia) VALUES ('Temporária'); </v>
      </c>
      <c r="M102" s="10"/>
      <c r="N102" s="10"/>
      <c r="O102" s="10"/>
      <c r="P102" s="10"/>
      <c r="Q102" s="10"/>
      <c r="R102" s="10"/>
      <c r="S102" s="10"/>
    </row>
    <row r="103" spans="1:20">
      <c r="A103" s="21" t="str">
        <f xml:space="preserve"> "INSERT INTO " &amp;$C$100&amp; "(variedade, nomeComum, DESIGNACAOTIPOACAOAGRICOLA, INTERVALOTEMPO) VALUES ('" &amp;UPPER(C85)&amp; "', '" &amp;B85&amp; "', '" &amp;$E$1&amp; "', " &amp;IF(ISBLANK(E85), "NULL", "'" &amp;E85&amp; "'")&amp; "); "</f>
        <v xml:space="preserve">INSERT INTO CalendarioAcaoAgricola(variedade, nomeComum, DESIGNACAOTIPOACAOAGRICOLA, INTERVALOTEMPO) VALUES ('SENHORA CONCEIÇÃO', 'Nabo greleiro', 'Sementeira/Plantação', 'Março a setembro'); </v>
      </c>
      <c r="B103" s="21"/>
      <c r="C103" s="21"/>
      <c r="D103" s="21"/>
      <c r="E103" s="21"/>
      <c r="F103" s="21"/>
      <c r="G103" s="21"/>
      <c r="H103" s="21"/>
    </row>
    <row r="104" spans="1:20">
      <c r="A104" s="21" t="str">
        <f xml:space="preserve"> "INSERT INTO " &amp;$C$100&amp; "(variedade, nomeComum, DESIGNACAOTIPOACAOAGRICOLA, INTERVALOTEMPO) VALUES ('" &amp;UPPER(C94)&amp; "', '" &amp;B94&amp; "', '" &amp;$E$1&amp; "', " &amp;IF(ISBLANK(E94), "NULL", "'" &amp;E94&amp; "'")&amp; "); "</f>
        <v xml:space="preserve">INSERT INTO CalendarioAcaoAgricola(variedade, nomeComum, DESIGNACAOTIPOACAOAGRICOLA, INTERVALOTEMPO) VALUES ('S. COSME', 'Nabo', 'Sementeira/Plantação', 'Fevereiro a abril, agosto a outubro'); </v>
      </c>
      <c r="B104" s="21"/>
      <c r="C104" s="21"/>
      <c r="D104" s="21"/>
      <c r="E104" s="21"/>
      <c r="F104" s="21"/>
      <c r="G104" s="21"/>
      <c r="H104" s="21"/>
    </row>
    <row r="105" spans="1:20">
      <c r="A105" s="110"/>
      <c r="B105" s="110"/>
      <c r="C105" s="110"/>
      <c r="D105" s="110"/>
      <c r="E105" s="110"/>
      <c r="F105" s="110"/>
      <c r="G105" s="110"/>
      <c r="H105" s="110"/>
      <c r="K105" s="106"/>
      <c r="L105" s="9" t="s">
        <v>8</v>
      </c>
      <c r="M105" s="9" t="s">
        <v>9</v>
      </c>
      <c r="N105" s="9" t="s">
        <v>150</v>
      </c>
      <c r="O105" s="9"/>
      <c r="P105" s="9"/>
      <c r="Q105" s="9"/>
      <c r="R105" s="9"/>
      <c r="S105" s="9"/>
      <c r="T105" s="9"/>
    </row>
    <row r="106" spans="1:20">
      <c r="A106" s="21" t="str">
        <f t="shared" ref="A106:A149" si="2" xml:space="preserve"> "INSERT INTO " &amp;$C$100&amp; "(variedade, nomeComum, DESIGNACAOTIPOACAOAGRICOLA, INTERVALOTEMPO) VALUES ('" &amp;UPPER(C2)&amp; "', '" &amp;B2&amp; "', '" &amp;$F$1&amp; "', " &amp;IF(ISBLANK(F2), "NULL", "'" &amp;F2&amp; "'")&amp; "); "</f>
        <v xml:space="preserve">INSERT INTO CalendarioAcaoAgricola(variedade, nomeComum, DESIGNACAOTIPOACAOAGRICOLA, INTERVALOTEMPO) VALUES ('RAINHA CLAUDIA CARANGUEJEIRA', 'Ameixoeira', 'Poda', 'Novembro a dezembro'); </v>
      </c>
      <c r="B106" s="21"/>
      <c r="C106" s="21"/>
      <c r="D106" s="21"/>
      <c r="E106" s="21"/>
      <c r="F106" s="21"/>
      <c r="G106" s="21"/>
      <c r="H106" s="21"/>
      <c r="L106" s="10" t="str">
        <f xml:space="preserve"> "INSERT INTO " &amp;$N$105&amp; "(designacaoTipoFenologia) VALUES ('"&amp;E1&amp;"'); "</f>
        <v xml:space="preserve">INSERT INTO TipoAcaoAgricola(designacaoTipoFenologia) VALUES ('Sementeira/Plantação'); </v>
      </c>
      <c r="M106" s="10"/>
      <c r="N106" s="10"/>
      <c r="O106" s="10"/>
      <c r="P106" s="10"/>
      <c r="Q106" s="10"/>
      <c r="R106" s="10"/>
      <c r="S106" s="10"/>
      <c r="T106" s="10"/>
    </row>
    <row r="107" spans="1:20">
      <c r="A107" s="21" t="str">
        <f t="shared" si="2"/>
        <v xml:space="preserve">INSERT INTO CalendarioAcaoAgricola(variedade, nomeComum, DESIGNACAOTIPOACAOAGRICOLA, INTERVALOTEMPO) VALUES ('PRESIDENT', 'Ameixoeira', 'Poda', 'Novembro a dezembro'); </v>
      </c>
      <c r="B107" s="21"/>
      <c r="C107" s="21"/>
      <c r="D107" s="21"/>
      <c r="E107" s="21"/>
      <c r="F107" s="21"/>
      <c r="G107" s="21"/>
      <c r="H107" s="21"/>
      <c r="L107" s="10" t="str">
        <f xml:space="preserve"> "INSERT INTO " &amp;$N$105&amp; "(designacaoTipoFenologia) VALUES ('"&amp;F1&amp;"'); "</f>
        <v xml:space="preserve">INSERT INTO TipoAcaoAgricola(designacaoTipoFenologia) VALUES ('Poda'); </v>
      </c>
      <c r="M107" s="10"/>
      <c r="N107" s="10"/>
      <c r="O107" s="10"/>
      <c r="P107" s="10"/>
      <c r="Q107" s="10"/>
      <c r="R107" s="10"/>
      <c r="S107" s="10"/>
      <c r="T107" s="10"/>
    </row>
    <row r="108" spans="1:20">
      <c r="A108" s="21" t="str">
        <f t="shared" si="2"/>
        <v xml:space="preserve">INSERT INTO CalendarioAcaoAgricola(variedade, nomeComum, DESIGNACAOTIPOACAOAGRICOLA, INTERVALOTEMPO) VALUES ('STANLEY', 'Ameixoeira', 'Poda', 'Novembro a dezembro'); </v>
      </c>
      <c r="B108" s="21"/>
      <c r="C108" s="21"/>
      <c r="D108" s="21"/>
      <c r="E108" s="21"/>
      <c r="F108" s="21"/>
      <c r="G108" s="21"/>
      <c r="H108" s="21"/>
      <c r="L108" s="10" t="str">
        <f xml:space="preserve"> "INSERT INTO " &amp;$N$105&amp; "(designacaoTipoFenologia) VALUES ('"&amp;G1&amp;"'); "</f>
        <v xml:space="preserve">INSERT INTO TipoAcaoAgricola(designacaoTipoFenologia) VALUES ('Floração'); </v>
      </c>
      <c r="M108" s="10"/>
      <c r="N108" s="10"/>
      <c r="O108" s="10"/>
      <c r="P108" s="10"/>
      <c r="Q108" s="10"/>
      <c r="R108" s="10"/>
      <c r="S108" s="10"/>
      <c r="T108" s="10"/>
    </row>
    <row r="109" spans="1:20">
      <c r="A109" s="21" t="str">
        <f t="shared" si="2"/>
        <v xml:space="preserve">INSERT INTO CalendarioAcaoAgricola(variedade, nomeComum, DESIGNACAOTIPOACAOAGRICOLA, INTERVALOTEMPO) VALUES ('ANGELENO', 'Ameixoeira', 'Poda', 'Novembro a dezembro'); </v>
      </c>
      <c r="B109" s="21"/>
      <c r="C109" s="21"/>
      <c r="D109" s="21"/>
      <c r="E109" s="21"/>
      <c r="F109" s="21"/>
      <c r="G109" s="21"/>
      <c r="H109" s="21"/>
      <c r="L109" s="10" t="str">
        <f xml:space="preserve"> "INSERT INTO " &amp;$N$105&amp; "(designacaoTipoFenologia) VALUES ('"&amp;H1&amp;"'); "</f>
        <v xml:space="preserve">INSERT INTO TipoAcaoAgricola(designacaoTipoFenologia) VALUES ('Colheita'); </v>
      </c>
      <c r="M109" s="10"/>
      <c r="N109" s="10"/>
      <c r="O109" s="10"/>
      <c r="P109" s="10"/>
      <c r="Q109" s="10"/>
      <c r="R109" s="10"/>
      <c r="S109" s="10"/>
      <c r="T109" s="10"/>
    </row>
    <row r="110" spans="1:20">
      <c r="A110" s="21" t="str">
        <f t="shared" si="2"/>
        <v xml:space="preserve">INSERT INTO CalendarioAcaoAgricola(variedade, nomeComum, DESIGNACAOTIPOACAOAGRICOLA, INTERVALOTEMPO) VALUES ('BLACK BEAUTY', 'Ameixoeira', 'Poda', 'Novembro a dezembro'); </v>
      </c>
      <c r="B110" s="21"/>
      <c r="C110" s="21"/>
      <c r="D110" s="21"/>
      <c r="E110" s="21"/>
      <c r="F110" s="21"/>
      <c r="G110" s="21"/>
      <c r="H110" s="21"/>
    </row>
    <row r="111" spans="1:20">
      <c r="A111" s="21" t="str">
        <f t="shared" si="2"/>
        <v xml:space="preserve">INSERT INTO CalendarioAcaoAgricola(variedade, nomeComum, DESIGNACAOTIPOACAOAGRICOLA, INTERVALOTEMPO) VALUES ('BLACK STAR', 'Ameixoeira', 'Poda', 'Novembro a dezembro'); </v>
      </c>
      <c r="B111" s="21"/>
      <c r="C111" s="21"/>
      <c r="D111" s="21"/>
      <c r="E111" s="21"/>
      <c r="F111" s="21"/>
      <c r="G111" s="21"/>
      <c r="H111" s="21"/>
    </row>
    <row r="112" spans="1:20">
      <c r="A112" s="21" t="str">
        <f t="shared" si="2"/>
        <v xml:space="preserve">INSERT INTO CalendarioAcaoAgricola(variedade, nomeComum, DESIGNACAOTIPOACAOAGRICOLA, INTERVALOTEMPO) VALUES ('BLACK GOLD', 'Ameixoeira', 'Poda', 'Novembro a dezembro'); </v>
      </c>
      <c r="B112" s="21"/>
      <c r="C112" s="21"/>
      <c r="D112" s="21"/>
      <c r="E112" s="21"/>
      <c r="F112" s="21"/>
      <c r="G112" s="21"/>
      <c r="H112" s="21"/>
    </row>
    <row r="113" spans="1:27">
      <c r="A113" s="21" t="str">
        <f t="shared" si="2"/>
        <v xml:space="preserve">INSERT INTO CalendarioAcaoAgricola(variedade, nomeComum, DESIGNACAOTIPOACAOAGRICOLA, INTERVALOTEMPO) VALUES ('BLACK DIAMOND', 'Ameixoeira', 'Poda', 'Novembro a dezembro'); </v>
      </c>
      <c r="B113" s="21"/>
      <c r="C113" s="21"/>
      <c r="D113" s="21"/>
      <c r="E113" s="21"/>
      <c r="F113" s="21"/>
      <c r="G113" s="21"/>
      <c r="H113" s="21"/>
    </row>
    <row r="114" spans="1:27">
      <c r="A114" s="21" t="str">
        <f t="shared" si="2"/>
        <v xml:space="preserve">INSERT INTO CalendarioAcaoAgricola(variedade, nomeComum, DESIGNACAOTIPOACAOAGRICOLA, INTERVALOTEMPO) VALUES ('BLACK AMBER', 'Ameixoeira', 'Poda', 'Novembro a dezembro'); </v>
      </c>
      <c r="B114" s="21"/>
      <c r="C114" s="21"/>
      <c r="D114" s="21"/>
      <c r="E114" s="21"/>
      <c r="F114" s="21"/>
      <c r="G114" s="21"/>
      <c r="H114" s="21"/>
      <c r="J114" s="106"/>
      <c r="K114" s="26" t="s">
        <v>8</v>
      </c>
      <c r="L114" s="26" t="s">
        <v>9</v>
      </c>
      <c r="M114" s="26" t="s">
        <v>151</v>
      </c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1" t="str">
        <f t="shared" si="2"/>
        <v xml:space="preserve">INSERT INTO CalendarioAcaoAgricola(variedade, nomeComum, DESIGNACAOTIPOACAOAGRICOLA, INTERVALOTEMPO) VALUES ('BLACK SPLENDOR', 'Ameixoeira', 'Poda', 'Novembro a dezembro'); </v>
      </c>
      <c r="B115" s="21"/>
      <c r="C115" s="21"/>
      <c r="D115" s="21"/>
      <c r="E115" s="21"/>
      <c r="F115" s="21"/>
      <c r="G115" s="21"/>
      <c r="H115" s="21"/>
      <c r="K115" s="21" t="str">
        <f xml:space="preserve"> "INSERT INTO " &amp;$M$114&amp; "(DESIGNACAOTIPOACAOAGRICOLA, intervaloTempo) VALUES ('" &amp;$E$1&amp;  "'" &amp;IF(ISBLANK(E84), "NULL", ", '" &amp;E84&amp; "'")&amp;  "); "</f>
        <v xml:space="preserve">INSERT INTO DataAcaoAgricola(DESIGNACAOTIPOACAOAGRICOLA, intervaloTempo) VALUES ('Sementeira/Plantação', 'Abril a junho'); 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>
      <c r="A116" s="21" t="str">
        <f t="shared" si="2"/>
        <v xml:space="preserve">INSERT INTO CalendarioAcaoAgricola(variedade, nomeComum, DESIGNACAOTIPOACAOAGRICOLA, INTERVALOTEMPO) VALUES ('FORTUNA', 'Ameixoeira', 'Poda', 'Novembro a dezembro'); </v>
      </c>
      <c r="B116" s="21"/>
      <c r="C116" s="21"/>
      <c r="D116" s="21"/>
      <c r="E116" s="21"/>
      <c r="F116" s="21"/>
      <c r="G116" s="21"/>
      <c r="H116" s="21"/>
      <c r="K116" s="21" t="str">
        <f xml:space="preserve"> "INSERT INTO " &amp;$M$114&amp; "(DESIGNACAOTIPOACAOAGRICOLA, intervaloTempo) VALUES ('" &amp;$E$1&amp;  "'" &amp;IF(ISBLANK(E85), "NULL", ", '" &amp;E85&amp; "'")&amp;  "); "</f>
        <v xml:space="preserve">INSERT INTO DataAcaoAgricola(DESIGNACAOTIPOACAOAGRICOLA, intervaloTempo) VALUES ('Sementeira/Plantação', 'Março a setembro'); 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>
      <c r="A117" s="21" t="str">
        <f t="shared" si="2"/>
        <v xml:space="preserve">INSERT INTO CalendarioAcaoAgricola(variedade, nomeComum, DESIGNACAOTIPOACAOAGRICOLA, INTERVALOTEMPO) VALUES ('FRIAR', 'Ameixoeira', 'Poda', 'Novembro a dezembro'); </v>
      </c>
      <c r="B117" s="21"/>
      <c r="C117" s="21"/>
      <c r="D117" s="21"/>
      <c r="E117" s="21"/>
      <c r="F117" s="21"/>
      <c r="G117" s="21"/>
      <c r="H117" s="21"/>
      <c r="K117" s="21" t="str">
        <f xml:space="preserve"> "INSERT INTO " &amp;$M$114&amp; "(DESIGNACAOTIPOACAOAGRICOLA, intervaloTempo) VALUES ('" &amp;$E$1&amp;  "'" &amp;IF(ISBLANK(E94), "NULL", ", '" &amp;E94&amp; "'")&amp;  "); "</f>
        <v xml:space="preserve">INSERT INTO DataAcaoAgricola(DESIGNACAOTIPOACAOAGRICOLA, intervaloTempo) VALUES ('Sementeira/Plantação', 'Fevereiro a abril, agosto a outubro'); 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>
      <c r="A118" s="21" t="str">
        <f t="shared" si="2"/>
        <v xml:space="preserve">INSERT INTO CalendarioAcaoAgricola(variedade, nomeComum, DESIGNACAOTIPOACAOAGRICOLA, INTERVALOTEMPO) VALUES ('EL DORADO', 'Ameixoeira', 'Poda', 'Novembro a dezembro'); </v>
      </c>
      <c r="B118" s="21"/>
      <c r="C118" s="21"/>
      <c r="D118" s="21"/>
      <c r="E118" s="21"/>
      <c r="F118" s="21"/>
      <c r="G118" s="21"/>
      <c r="H118" s="21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</row>
    <row r="119" spans="1:27">
      <c r="A119" s="21" t="str">
        <f t="shared" si="2"/>
        <v xml:space="preserve">INSERT INTO CalendarioAcaoAgricola(variedade, nomeComum, DESIGNACAOTIPOACAOAGRICOLA, INTERVALOTEMPO) VALUES ('ELEPHANT HEART', 'Ameixoeira', 'Poda', 'Novembro a dezembro'); </v>
      </c>
      <c r="B119" s="21"/>
      <c r="C119" s="21"/>
      <c r="D119" s="21"/>
      <c r="E119" s="21"/>
      <c r="F119" s="21"/>
      <c r="G119" s="21"/>
      <c r="H119" s="21"/>
      <c r="K119" s="21" t="str">
        <f xml:space="preserve"> "INSERT INTO " &amp;$M$114&amp; "(DESIGNACAOTIPOACAOAGRICOLA, intervaloTempo) VALUES ('"  &amp;$F$1&amp; "', "  &amp;IF(ISBLANK(F2), "NULL", "'" &amp;F2&amp; "'")&amp; "); "</f>
        <v xml:space="preserve">INSERT INTO DataAcaoAgricola(DESIGNACAOTIPOACAOAGRICOLA, intervaloTempo) VALUES ('Poda', 'Novembro a dezembro'); 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>
      <c r="A120" s="21" t="str">
        <f t="shared" si="2"/>
        <v xml:space="preserve">INSERT INTO CalendarioAcaoAgricola(variedade, nomeComum, DESIGNACAOTIPOACAOAGRICOLA, INTERVALOTEMPO) VALUES ('GOLDEN JAPAN', 'Ameixoeira', 'Poda', 'Novembro a dezembro'); </v>
      </c>
      <c r="B120" s="21"/>
      <c r="C120" s="21"/>
      <c r="D120" s="21"/>
      <c r="E120" s="21"/>
      <c r="F120" s="21"/>
      <c r="G120" s="21"/>
      <c r="H120" s="21"/>
      <c r="K120" s="21" t="str">
        <f xml:space="preserve"> "INSERT INTO " &amp;$M$114&amp; "(DESIGNACAOTIPOACAOAGRICOLA, intervaloTempo) VALUES ('"  &amp;$F$1&amp; "', "  &amp;IF(ISBLANK(F45), "NULL", "'" &amp;F45&amp; "'")&amp; "); "</f>
        <v xml:space="preserve">INSERT INTO DataAcaoAgricola(DESIGNACAOTIPOACAOAGRICOLA, intervaloTempo) VALUES ('Poda', 'Janeiro'); 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>
      <c r="A121" s="21" t="str">
        <f t="shared" si="2"/>
        <v xml:space="preserve">INSERT INTO CalendarioAcaoAgricola(variedade, nomeComum, DESIGNACAOTIPOACAOAGRICOLA, INTERVALOTEMPO) VALUES ('HARRY PITCHON', 'Ameixoeira', 'Poda', 'Novembro a dezembro'); </v>
      </c>
      <c r="B121" s="21"/>
      <c r="C121" s="21"/>
      <c r="D121" s="21"/>
      <c r="E121" s="21"/>
      <c r="F121" s="21"/>
      <c r="G121" s="21"/>
      <c r="H121" s="21"/>
      <c r="K121" s="21" t="str">
        <f xml:space="preserve"> "INSERT INTO " &amp;$M$114&amp; "(DESIGNACAOTIPOACAOAGRICOLA, intervaloTempo) VALUES ('"  &amp;$F$1&amp; "', "  &amp;IF(ISBLANK(F96), "NULL", "'" &amp;F96&amp; "'")&amp; "); "</f>
        <v xml:space="preserve">INSERT INTO DataAcaoAgricola(DESIGNACAOTIPOACAOAGRICOLA, intervaloTempo) VALUES ('Poda', 'Dezembro a janeiro'); 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>
      <c r="A122" s="21" t="str">
        <f t="shared" si="2"/>
        <v xml:space="preserve">INSERT INTO CalendarioAcaoAgricola(variedade, nomeComum, DESIGNACAOTIPOACAOAGRICOLA, INTERVALOTEMPO) VALUES ('LAETITIA', 'Ameixoeira', 'Poda', 'Novembro a dezembro'); </v>
      </c>
      <c r="B122" s="21"/>
      <c r="C122" s="21"/>
      <c r="D122" s="21"/>
      <c r="E122" s="21"/>
      <c r="F122" s="21"/>
      <c r="G122" s="21"/>
      <c r="H122" s="21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</row>
    <row r="123" spans="1:27">
      <c r="A123" s="21" t="str">
        <f t="shared" si="2"/>
        <v xml:space="preserve">INSERT INTO CalendarioAcaoAgricola(variedade, nomeComum, DESIGNACAOTIPOACAOAGRICOLA, INTERVALOTEMPO) VALUES ('METLEY', 'Ameixoeira', 'Poda', 'Novembro a dezembro'); </v>
      </c>
      <c r="B123" s="21"/>
      <c r="C123" s="21"/>
      <c r="D123" s="21"/>
      <c r="E123" s="21"/>
      <c r="F123" s="21"/>
      <c r="G123" s="21"/>
      <c r="H123" s="21"/>
      <c r="K123" s="21" t="str">
        <f xml:space="preserve"> "INSERT INTO " &amp;$M$114&amp; "(DESIGNACAOTIPOACAOAGRICOLA, intervaloTempo) VALUES ('" &amp;$G$1&amp; "', " &amp;IF(ISBLANK(G2), "NULL", "'" &amp;G2&amp; "'")&amp; "); "</f>
        <v xml:space="preserve">INSERT INTO DataAcaoAgricola(DESIGNACAOTIPOACAOAGRICOLA, intervaloTempo) VALUES ('Floração', 'Fevereiro a março'); 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>
      <c r="A124" s="21" t="str">
        <f t="shared" si="2"/>
        <v xml:space="preserve">INSERT INTO CalendarioAcaoAgricola(variedade, nomeComum, DESIGNACAOTIPOACAOAGRICOLA, INTERVALOTEMPO) VALUES ('MIRABELLE DE NANCY', 'Ameixoeira', 'Poda', 'Novembro a dezembro'); </v>
      </c>
      <c r="B124" s="21"/>
      <c r="C124" s="21"/>
      <c r="D124" s="21"/>
      <c r="E124" s="21"/>
      <c r="F124" s="21"/>
      <c r="G124" s="21"/>
      <c r="H124" s="21"/>
      <c r="K124" s="21" t="str">
        <f xml:space="preserve"> "INSERT INTO " &amp;$M$114&amp; "(DESIGNACAOTIPOACAOAGRICOLA, intervaloTempo) VALUES ('" &amp;$G$1&amp; "', " &amp;IF(ISBLANK(G45), "NULL", "'" &amp;G45&amp; "'")&amp; "); "</f>
        <v xml:space="preserve">INSERT INTO DataAcaoAgricola(DESIGNACAOTIPOACAOAGRICOLA, intervaloTempo) VALUES ('Floração', 'Abril a maio'); 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>
      <c r="A125" s="21" t="str">
        <f t="shared" si="2"/>
        <v xml:space="preserve">INSERT INTO CalendarioAcaoAgricola(variedade, nomeComum, DESIGNACAOTIPOACAOAGRICOLA, INTERVALOTEMPO) VALUES ('QUEEN ROSE', 'Ameixoeira', 'Poda', 'Novembro a dezembro'); </v>
      </c>
      <c r="B125" s="21"/>
      <c r="C125" s="21"/>
      <c r="D125" s="21"/>
      <c r="E125" s="21"/>
      <c r="F125" s="21"/>
      <c r="G125" s="21"/>
      <c r="H125" s="21"/>
      <c r="K125" s="21" t="str">
        <f xml:space="preserve"> "INSERT INTO " &amp;$M$114&amp; "(DESIGNACAOTIPOACAOAGRICOLA, intervaloTempo) VALUES ('" &amp;$G$1&amp; "', " &amp;IF(ISBLANK(G46), "NULL", "'" &amp;G46&amp; "'")&amp; "); "</f>
        <v xml:space="preserve">INSERT INTO DataAcaoAgricola(DESIGNACAOTIPOACAOAGRICOLA, intervaloTempo) VALUES ('Floração', 'Março a abril'); 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 t="str">
        <f t="shared" si="2"/>
        <v xml:space="preserve">INSERT INTO CalendarioAcaoAgricola(variedade, nomeComum, DESIGNACAOTIPOACAOAGRICOLA, INTERVALOTEMPO) VALUES ('RED BEAUT', 'Ameixoeira', 'Poda', 'Novembro a dezembro'); </v>
      </c>
      <c r="B126" s="21"/>
      <c r="C126" s="21"/>
      <c r="D126" s="21"/>
      <c r="E126" s="21"/>
      <c r="F126" s="21"/>
      <c r="G126" s="21"/>
      <c r="H126" s="21"/>
      <c r="K126" s="21" t="str">
        <f xml:space="preserve"> "INSERT INTO " &amp;$M$114&amp; "(DESIGNACAOTIPOACAOAGRICOLA, intervaloTempo) VALUES ('" &amp;$G$1&amp; "', " &amp;IF(ISBLANK(G96), "NULL", "'" &amp;G96&amp; "'")&amp; "); "</f>
        <v xml:space="preserve">INSERT INTO DataAcaoAgricola(DESIGNACAOTIPOACAOAGRICOLA, intervaloTempo) VALUES ('Floração', 'Maio'); 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 t="str">
        <f t="shared" si="2"/>
        <v xml:space="preserve">INSERT INTO CalendarioAcaoAgricola(variedade, nomeComum, DESIGNACAOTIPOACAOAGRICOLA, INTERVALOTEMPO) VALUES ('SANTA ROSA', 'Ameixoeira', 'Poda', 'Novembro a dezembro'); </v>
      </c>
      <c r="B127" s="21"/>
      <c r="C127" s="21"/>
      <c r="D127" s="21"/>
      <c r="E127" s="21"/>
      <c r="F127" s="21"/>
      <c r="G127" s="21"/>
      <c r="H127" s="21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</row>
    <row r="128" spans="1:27">
      <c r="A128" s="21" t="str">
        <f t="shared" si="2"/>
        <v xml:space="preserve">INSERT INTO CalendarioAcaoAgricola(variedade, nomeComum, DESIGNACAOTIPOACAOAGRICOLA, INTERVALOTEMPO) VALUES ('SHIRO', 'Ameixoeira', 'Poda', 'Novembro a dezembro'); </v>
      </c>
      <c r="B128" s="21"/>
      <c r="C128" s="21"/>
      <c r="D128" s="21"/>
      <c r="E128" s="21"/>
      <c r="F128" s="21"/>
      <c r="G128" s="21"/>
      <c r="H128" s="21"/>
      <c r="K128" s="21" t="str">
        <f xml:space="preserve"> "INSERT INTO " &amp;$M$114&amp; "(DESIGNACAOTIPOACAOAGRICOLA, intervaloTempo) VALUES ('" &amp;$H$1&amp; "', "  &amp;IF(ISBLANK(H2), "NULL", "'" &amp;H2&amp; "'")&amp; "); "</f>
        <v xml:space="preserve">INSERT INTO DataAcaoAgricola(DESIGNACAOTIPOACAOAGRICOLA, intervaloTempo) VALUES ('Colheita', 'Julho a agosto'); 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 t="str">
        <f t="shared" si="2"/>
        <v xml:space="preserve">INSERT INTO CalendarioAcaoAgricola(variedade, nomeComum, DESIGNACAOTIPOACAOAGRICOLA, INTERVALOTEMPO) VALUES ('SUNGOLD', 'Ameixoeira', 'Poda', 'Novembro a dezembro'); </v>
      </c>
      <c r="B129" s="21"/>
      <c r="C129" s="21"/>
      <c r="D129" s="21"/>
      <c r="E129" s="21"/>
      <c r="F129" s="21"/>
      <c r="G129" s="21"/>
      <c r="H129" s="21"/>
      <c r="K129" s="21" t="str">
        <f xml:space="preserve"> "INSERT INTO " &amp;$M$114&amp; "(DESIGNACAOTIPOACAOAGRICOLA, intervaloTempo) VALUES ('" &amp;$H$1&amp; "', "  &amp;IF(ISBLANK(H44), "NULL", "'" &amp;H44&amp; "'")&amp; "); "</f>
        <v xml:space="preserve">INSERT INTO DataAcaoAgricola(DESIGNACAOTIPOACAOAGRICOLA, intervaloTempo) VALUES ('Colheita', 'Agosto a setembro'); 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>
      <c r="A130" s="21" t="str">
        <f t="shared" si="2"/>
        <v xml:space="preserve">INSERT INTO CalendarioAcaoAgricola(variedade, nomeComum, DESIGNACAOTIPOACAOAGRICOLA, INTERVALOTEMPO) VALUES ('WILSON PERFECTION', 'Ameixoeira', 'Poda', 'Novembro a dezembro'); </v>
      </c>
      <c r="B130" s="21"/>
      <c r="C130" s="21"/>
      <c r="D130" s="21"/>
      <c r="E130" s="21"/>
      <c r="F130" s="21"/>
      <c r="G130" s="21"/>
      <c r="H130" s="21"/>
      <c r="K130" s="21" t="str">
        <f xml:space="preserve"> "INSERT INTO " &amp;$M$114&amp; "(DESIGNACAOTIPOACAOAGRICOLA, intervaloTempo) VALUES ('" &amp;$H$1&amp; "', "  &amp;IF(ISBLANK(H45), "NULL", "'" &amp;H45&amp; "'")&amp; "); "</f>
        <v xml:space="preserve">INSERT INTO DataAcaoAgricola(DESIGNACAOTIPOACAOAGRICOLA, intervaloTempo) VALUES ('Colheita', 'Novembro a dezembro'); 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>
      <c r="A131" s="21" t="str">
        <f t="shared" si="2"/>
        <v xml:space="preserve">INSERT INTO CalendarioAcaoAgricola(variedade, nomeComum, DESIGNACAOTIPOACAOAGRICOLA, INTERVALOTEMPO) VALUES ('AUTUMN GIANT', 'Ameixoeira', 'Poda', 'Novembro a dezembro'); </v>
      </c>
      <c r="B131" s="21"/>
      <c r="C131" s="21"/>
      <c r="D131" s="21"/>
      <c r="E131" s="21"/>
      <c r="F131" s="21"/>
      <c r="G131" s="21"/>
      <c r="H131" s="21"/>
      <c r="K131" s="21" t="str">
        <f xml:space="preserve"> "INSERT INTO " &amp;$M$114&amp; "(DESIGNACAOTIPOACAOAGRICOLA, intervaloTempo) VALUES ('" &amp;$H$1&amp; "', "  &amp;IF(ISBLANK(H80), "NULL", "'" &amp;H80&amp; "'")&amp; "); "</f>
        <v xml:space="preserve">INSERT INTO DataAcaoAgricola(DESIGNACAOTIPOACAOAGRICOLA, intervaloTempo) VALUES ('Colheita', '80 dias'); 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>
      <c r="A132" s="21" t="str">
        <f t="shared" si="2"/>
        <v xml:space="preserve">INSERT INTO CalendarioAcaoAgricola(variedade, nomeComum, DESIGNACAOTIPOACAOAGRICOLA, INTERVALOTEMPO) VALUES ('BULIDA', 'Damasqueiro', 'Poda', 'Novembro a dezembro'); </v>
      </c>
      <c r="B132" s="21"/>
      <c r="C132" s="21"/>
      <c r="D132" s="21"/>
      <c r="E132" s="21"/>
      <c r="F132" s="21"/>
      <c r="G132" s="21"/>
      <c r="H132" s="21"/>
      <c r="K132" s="21" t="str">
        <f xml:space="preserve"> "INSERT INTO " &amp;$M$114&amp; "(DESIGNACAOTIPOACAOAGRICOLA, intervaloTempo) VALUES ('" &amp;$H$1&amp; "', "  &amp;IF(ISBLANK(H83), "NULL", "'" &amp;H83&amp; "'")&amp; "); "</f>
        <v xml:space="preserve">INSERT INTO DataAcaoAgricola(DESIGNACAOTIPOACAOAGRICOLA, intervaloTempo) VALUES ('Colheita', 'Julho a setembro'); 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>
      <c r="A133" s="21" t="str">
        <f t="shared" si="2"/>
        <v xml:space="preserve">INSERT INTO CalendarioAcaoAgricola(variedade, nomeComum, DESIGNACAOTIPOACAOAGRICOLA, INTERVALOTEMPO) VALUES ('CANINO', 'Damasqueiro', 'Poda', 'Novembro a dezembro'); </v>
      </c>
      <c r="B133" s="21"/>
      <c r="C133" s="21"/>
      <c r="D133" s="21"/>
      <c r="E133" s="21"/>
      <c r="F133" s="21"/>
      <c r="G133" s="21"/>
      <c r="H133" s="21"/>
      <c r="K133" s="21" t="str">
        <f xml:space="preserve"> "INSERT INTO " &amp;$M$114&amp; "(DESIGNACAOTIPOACAOAGRICOLA, intervaloTempo) VALUES ('" &amp;$H$1&amp; "', "  &amp;IF(ISBLANK(H85), "NULL", "'" &amp;H85&amp; "'")&amp; "); "</f>
        <v xml:space="preserve">INSERT INTO DataAcaoAgricola(DESIGNACAOTIPOACAOAGRICOLA, intervaloTempo) VALUES ('Colheita', 'Junho a fevereiro'); 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>
      <c r="A134" s="21" t="str">
        <f t="shared" si="2"/>
        <v xml:space="preserve">INSERT INTO CalendarioAcaoAgricola(variedade, nomeComum, DESIGNACAOTIPOACAOAGRICOLA, INTERVALOTEMPO) VALUES ('LIABAUD', 'Damasqueiro', 'Poda', 'Novembro a dezembro'); </v>
      </c>
      <c r="B134" s="21"/>
      <c r="C134" s="21"/>
      <c r="D134" s="21"/>
      <c r="E134" s="21"/>
      <c r="F134" s="21"/>
      <c r="G134" s="21"/>
      <c r="H134" s="21"/>
      <c r="K134" s="21" t="str">
        <f xml:space="preserve"> "INSERT INTO " &amp;$M$114&amp; "(DESIGNACAOTIPOACAOAGRICOLA, intervaloTempo) VALUES ('" &amp;$H$1&amp; "', "  &amp;IF(ISBLANK(H86), "NULL", "'" &amp;H86&amp; "'")&amp; "); "</f>
        <v xml:space="preserve">INSERT INTO DataAcaoAgricola(DESIGNACAOTIPOACAOAGRICOLA, intervaloTempo) VALUES ('Colheita', 'Outubro a novembro'); 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>
      <c r="A135" s="21" t="str">
        <f t="shared" si="2"/>
        <v xml:space="preserve">INSERT INTO CalendarioAcaoAgricola(variedade, nomeComum, DESIGNACAOTIPOACAOAGRICOLA, INTERVALOTEMPO) VALUES ('MAILLOT JAUNE', 'Damasqueiro', 'Poda', 'Novembro a dezembro'); </v>
      </c>
      <c r="B135" s="21"/>
      <c r="C135" s="21"/>
      <c r="D135" s="21"/>
      <c r="E135" s="21"/>
      <c r="F135" s="21"/>
      <c r="G135" s="21"/>
      <c r="H135" s="21"/>
      <c r="K135" s="21" t="str">
        <f xml:space="preserve"> "INSERT INTO " &amp;$M$114&amp; "(DESIGNACAOTIPOACAOAGRICOLA, intervaloTempo) VALUES ('" &amp;$H$1&amp; "', "  &amp;IF(ISBLANK(H94), "NULL", "'" &amp;H94&amp; "'")&amp; "); "</f>
        <v xml:space="preserve">INSERT INTO DataAcaoAgricola(DESIGNACAOTIPOACAOAGRICOLA, intervaloTempo) VALUES ('Colheita', '90 dias'); 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>
      <c r="A136" s="21" t="str">
        <f t="shared" si="2"/>
        <v xml:space="preserve">INSERT INTO CalendarioAcaoAgricola(variedade, nomeComum, DESIGNACAOTIPOACAOAGRICOLA, INTERVALOTEMPO) VALUES ('POLONAIS', 'Damasqueiro', 'Poda', 'Novembro a dezembro'); </v>
      </c>
      <c r="B136" s="21"/>
      <c r="C136" s="21"/>
      <c r="D136" s="21"/>
      <c r="E136" s="21"/>
      <c r="F136" s="21"/>
      <c r="G136" s="21"/>
      <c r="H136" s="21"/>
    </row>
    <row r="137" spans="1:27">
      <c r="A137" s="21" t="str">
        <f t="shared" si="2"/>
        <v xml:space="preserve">INSERT INTO CalendarioAcaoAgricola(variedade, nomeComum, DESIGNACAOTIPOACAOAGRICOLA, INTERVALOTEMPO) VALUES ('AKANE', 'Macieira', 'Poda', 'Novembro a dezembro'); </v>
      </c>
      <c r="B137" s="21"/>
      <c r="C137" s="21"/>
      <c r="D137" s="21"/>
      <c r="E137" s="21"/>
      <c r="F137" s="21"/>
      <c r="G137" s="21"/>
      <c r="H137" s="21"/>
    </row>
    <row r="138" spans="1:27">
      <c r="A138" s="21" t="str">
        <f t="shared" si="2"/>
        <v xml:space="preserve">INSERT INTO CalendarioAcaoAgricola(variedade, nomeComum, DESIGNACAOTIPOACAOAGRICOLA, INTERVALOTEMPO) VALUES ('BELGOLDEN', 'Macieira', 'Poda', 'Novembro a dezembro'); </v>
      </c>
      <c r="B138" s="21"/>
      <c r="C138" s="21"/>
      <c r="D138" s="21"/>
      <c r="E138" s="21"/>
      <c r="F138" s="21"/>
      <c r="G138" s="21"/>
      <c r="H138" s="21"/>
    </row>
    <row r="139" spans="1:27">
      <c r="A139" s="21" t="str">
        <f t="shared" si="2"/>
        <v xml:space="preserve">INSERT INTO CalendarioAcaoAgricola(variedade, nomeComum, DESIGNACAOTIPOACAOAGRICOLA, INTERVALOTEMPO) VALUES ('BRAVO DE ESMOLFE', 'Macieira', 'Poda', 'Novembro a dezembro'); </v>
      </c>
      <c r="B139" s="21"/>
      <c r="C139" s="21"/>
      <c r="D139" s="21"/>
      <c r="E139" s="21"/>
      <c r="F139" s="21"/>
      <c r="G139" s="21"/>
      <c r="H139" s="21"/>
    </row>
    <row r="140" spans="1:27">
      <c r="A140" s="21" t="str">
        <f t="shared" si="2"/>
        <v xml:space="preserve">INSERT INTO CalendarioAcaoAgricola(variedade, nomeComum, DESIGNACAOTIPOACAOAGRICOLA, INTERVALOTEMPO) VALUES ('CASA NOVA DE ALCOBAÇA', 'Macieira', 'Poda', 'Novembro a dezembro'); </v>
      </c>
      <c r="B140" s="21"/>
      <c r="C140" s="21"/>
      <c r="D140" s="21"/>
      <c r="E140" s="21"/>
      <c r="F140" s="21"/>
      <c r="G140" s="21"/>
      <c r="H140" s="21"/>
    </row>
    <row r="141" spans="1:27">
      <c r="A141" s="21" t="str">
        <f t="shared" si="2"/>
        <v xml:space="preserve">INSERT INTO CalendarioAcaoAgricola(variedade, nomeComum, DESIGNACAOTIPOACAOAGRICOLA, INTERVALOTEMPO) VALUES ('EROVAN', 'Macieira', 'Poda', 'Novembro a dezembro'); </v>
      </c>
      <c r="B141" s="21"/>
      <c r="C141" s="21"/>
      <c r="D141" s="21"/>
      <c r="E141" s="21"/>
      <c r="F141" s="21"/>
      <c r="G141" s="21"/>
      <c r="H141" s="21"/>
    </row>
    <row r="142" spans="1:27">
      <c r="A142" s="21" t="str">
        <f t="shared" si="2"/>
        <v xml:space="preserve">INSERT INTO CalendarioAcaoAgricola(variedade, nomeComum, DESIGNACAOTIPOACAOAGRICOLA, INTERVALOTEMPO) VALUES ('FUJI', 'Macieira', 'Poda', 'Novembro a dezembro'); </v>
      </c>
      <c r="B142" s="21"/>
      <c r="C142" s="21"/>
      <c r="D142" s="21"/>
      <c r="E142" s="21"/>
      <c r="F142" s="21"/>
      <c r="G142" s="21"/>
      <c r="H142" s="21"/>
    </row>
    <row r="143" spans="1:27">
      <c r="A143" s="21" t="str">
        <f t="shared" si="2"/>
        <v xml:space="preserve">INSERT INTO CalendarioAcaoAgricola(variedade, nomeComum, DESIGNACAOTIPOACAOAGRICOLA, INTERVALOTEMPO) VALUES ('GRANNY SMITH', 'Macieira', 'Poda', 'Novembro a dezembro'); </v>
      </c>
      <c r="B143" s="21"/>
      <c r="C143" s="21"/>
      <c r="D143" s="21"/>
      <c r="E143" s="21"/>
      <c r="F143" s="21"/>
      <c r="G143" s="21"/>
      <c r="H143" s="21"/>
    </row>
    <row r="144" spans="1:27">
      <c r="A144" s="21" t="str">
        <f t="shared" si="2"/>
        <v xml:space="preserve">INSERT INTO CalendarioAcaoAgricola(variedade, nomeComum, DESIGNACAOTIPOACAOAGRICOLA, INTERVALOTEMPO) VALUES ('GOLDEN DELICIOUS', 'Macieira', 'Poda', 'Novembro a dezembro'); </v>
      </c>
      <c r="B144" s="21"/>
      <c r="C144" s="21"/>
      <c r="D144" s="21"/>
      <c r="E144" s="21"/>
      <c r="F144" s="21"/>
      <c r="G144" s="21"/>
      <c r="H144" s="21"/>
    </row>
    <row r="145" spans="1:8">
      <c r="A145" s="21" t="str">
        <f t="shared" si="2"/>
        <v xml:space="preserve">INSERT INTO CalendarioAcaoAgricola(variedade, nomeComum, DESIGNACAOTIPOACAOAGRICOLA, INTERVALOTEMPO) VALUES ('HI-EARLY', 'Macieira', 'Poda', 'Novembro a dezembro'); </v>
      </c>
      <c r="B145" s="21"/>
      <c r="C145" s="21"/>
      <c r="D145" s="21"/>
      <c r="E145" s="21"/>
      <c r="F145" s="21"/>
      <c r="G145" s="21"/>
      <c r="H145" s="21"/>
    </row>
    <row r="146" spans="1:8">
      <c r="A146" s="21" t="str">
        <f t="shared" si="2"/>
        <v xml:space="preserve">INSERT INTO CalendarioAcaoAgricola(variedade, nomeComum, DESIGNACAOTIPOACAOAGRICOLA, INTERVALOTEMPO) VALUES ('JONAGORED', 'Macieira', 'Poda', 'Novembro a dezembro'); </v>
      </c>
      <c r="B146" s="21"/>
      <c r="C146" s="21"/>
      <c r="D146" s="21"/>
      <c r="E146" s="21"/>
      <c r="F146" s="21"/>
      <c r="G146" s="21"/>
      <c r="H146" s="21"/>
    </row>
    <row r="147" spans="1:8">
      <c r="A147" s="21" t="str">
        <f t="shared" si="2"/>
        <v xml:space="preserve">INSERT INTO CalendarioAcaoAgricola(variedade, nomeComum, DESIGNACAOTIPOACAOAGRICOLA, INTERVALOTEMPO) VALUES ('LYSGOLDEN', 'Macieira', 'Poda', 'Novembro a dezembro'); </v>
      </c>
      <c r="B147" s="21"/>
      <c r="C147" s="21"/>
      <c r="D147" s="21"/>
      <c r="E147" s="21"/>
      <c r="F147" s="21"/>
      <c r="G147" s="21"/>
      <c r="H147" s="21"/>
    </row>
    <row r="148" spans="1:8">
      <c r="A148" s="21" t="str">
        <f t="shared" si="2"/>
        <v xml:space="preserve">INSERT INTO CalendarioAcaoAgricola(variedade, nomeComum, DESIGNACAOTIPOACAOAGRICOLA, INTERVALOTEMPO) VALUES ('MUTSU', 'Macieira', 'Poda', 'Novembro a dezembro'); </v>
      </c>
      <c r="B148" s="21"/>
      <c r="C148" s="21"/>
      <c r="D148" s="21"/>
      <c r="E148" s="21"/>
      <c r="F148" s="21"/>
      <c r="G148" s="21"/>
      <c r="H148" s="21"/>
    </row>
    <row r="149" spans="1:8">
      <c r="A149" s="21" t="str">
        <f t="shared" si="2"/>
        <v xml:space="preserve">INSERT INTO CalendarioAcaoAgricola(variedade, nomeComum, DESIGNACAOTIPOACAOAGRICOLA, INTERVALOTEMPO) VALUES ('PORTA DA LOJA', 'Macieira', 'Poda', 'Janeiro'); </v>
      </c>
      <c r="B149" s="21"/>
      <c r="C149" s="21"/>
      <c r="D149" s="21"/>
      <c r="E149" s="21"/>
      <c r="F149" s="21"/>
      <c r="G149" s="21"/>
      <c r="H149" s="21"/>
    </row>
    <row r="150" spans="1:8">
      <c r="A150" s="21" t="str">
        <f xml:space="preserve"> "INSERT INTO " &amp;$C$100&amp; "(variedade, nomeComum, DESIGNACAOTIPOACAOAGRICOLA, INTERVALOTEMPO) VALUES ('" &amp;UPPER(_xlfn.TEXTAFTER(C46," OU "))&amp; "', '" &amp;B46&amp; "', '" &amp;$F$1&amp; "', " &amp;IF(ISBLANK(F46), "NULL", "'" &amp;F46&amp; "'")&amp; "); "</f>
        <v xml:space="preserve">INSERT INTO CalendarioAcaoAgricola(variedade, nomeComum, DESIGNACAOTIPOACAOAGRICOLA, INTERVALOTEMPO) VALUES ('CANADA', 'Macieira', 'Poda', 'Novembro a dezembro'); </v>
      </c>
      <c r="B150" s="21"/>
      <c r="C150" s="21"/>
      <c r="D150" s="21"/>
      <c r="E150" s="21"/>
      <c r="F150" s="21"/>
      <c r="G150" s="111"/>
      <c r="H150" s="21"/>
    </row>
    <row r="151" spans="1:8">
      <c r="A151" s="21" t="str">
        <f xml:space="preserve"> "INSERT INTO " &amp;$C$100&amp; "(variedade, nomeComum, DESIGNACAOTIPOACAOAGRICOLA, INTERVALOTEMPO) VALUES ('" &amp;UPPER(_xlfn.TEXTAFTER(C47," OU "))&amp; "', '" &amp;B47&amp; "', '" &amp;$F$1&amp; "', " &amp;IF(ISBLANK(F47), "NULL", "'" &amp;F47&amp; "'")&amp; "); "</f>
        <v xml:space="preserve">INSERT INTO CalendarioAcaoAgricola(variedade, nomeComum, DESIGNACAOTIPOACAOAGRICOLA, INTERVALOTEMPO) VALUES ('GRAND FAY', 'Macieira', 'Poda', 'Novembro a dezembro'); </v>
      </c>
      <c r="B151" s="21"/>
      <c r="C151" s="21"/>
      <c r="D151" s="21"/>
      <c r="E151" s="21"/>
      <c r="F151" s="21"/>
      <c r="G151" s="111"/>
      <c r="H151" s="21"/>
    </row>
    <row r="152" spans="1:8">
      <c r="A152" s="21" t="str">
        <f t="shared" ref="A152:A173" si="3" xml:space="preserve"> "INSERT INTO " &amp;$C$100&amp; "(variedade, nomeComum, DESIGNACAOTIPOACAOAGRICOLA, INTERVALOTEMPO) VALUES ('" &amp;UPPER(C48)&amp; "', '" &amp;B48&amp; "', '" &amp;$F$1&amp; "', " &amp;IF(ISBLANK(F48), "NULL", "'" &amp;F48&amp; "'")&amp; "); "</f>
        <v xml:space="preserve">INSERT INTO CalendarioAcaoAgricola(variedade, nomeComum, DESIGNACAOTIPOACAOAGRICOLA, INTERVALOTEMPO) VALUES ('RISCADINHA DE PALMELA', 'Macieira', 'Poda', 'Novembro a dezembro'); </v>
      </c>
      <c r="B152" s="21"/>
      <c r="C152" s="21"/>
      <c r="D152" s="21"/>
      <c r="E152" s="21"/>
      <c r="F152" s="21"/>
      <c r="G152" s="21"/>
      <c r="H152" s="21"/>
    </row>
    <row r="153" spans="1:8">
      <c r="A153" s="21" t="str">
        <f t="shared" si="3"/>
        <v xml:space="preserve">INSERT INTO CalendarioAcaoAgricola(variedade, nomeComum, DESIGNACAOTIPOACAOAGRICOLA, INTERVALOTEMPO) VALUES ('ROYAL GALA', 'Macieira', 'Poda', 'Novembro a dezembro'); </v>
      </c>
      <c r="B153" s="21"/>
      <c r="C153" s="21"/>
      <c r="D153" s="21"/>
      <c r="E153" s="21"/>
      <c r="F153" s="21"/>
      <c r="G153" s="21"/>
      <c r="H153" s="21"/>
    </row>
    <row r="154" spans="1:8">
      <c r="A154" s="21" t="str">
        <f t="shared" si="3"/>
        <v xml:space="preserve">INSERT INTO CalendarioAcaoAgricola(variedade, nomeComum, DESIGNACAOTIPOACAOAGRICOLA, INTERVALOTEMPO) VALUES ('REDCHIEF', 'Macieira', 'Poda', 'Novembro a dezembro'); </v>
      </c>
      <c r="B154" s="21"/>
      <c r="C154" s="21"/>
      <c r="D154" s="21"/>
      <c r="E154" s="21"/>
      <c r="F154" s="21"/>
      <c r="G154" s="21"/>
      <c r="H154" s="21"/>
    </row>
    <row r="155" spans="1:8">
      <c r="A155" s="21" t="str">
        <f t="shared" si="3"/>
        <v xml:space="preserve">INSERT INTO CalendarioAcaoAgricola(variedade, nomeComum, DESIGNACAOTIPOACAOAGRICOLA, INTERVALOTEMPO) VALUES ('STARKING', 'Macieira', 'Poda', 'Novembro a dezembro'); </v>
      </c>
      <c r="B155" s="21"/>
      <c r="C155" s="21"/>
      <c r="D155" s="21"/>
      <c r="E155" s="21"/>
      <c r="F155" s="21"/>
      <c r="G155" s="21"/>
      <c r="H155" s="21"/>
    </row>
    <row r="156" spans="1:8">
      <c r="A156" s="21" t="str">
        <f t="shared" si="3"/>
        <v xml:space="preserve">INSERT INTO CalendarioAcaoAgricola(variedade, nomeComum, DESIGNACAOTIPOACAOAGRICOLA, INTERVALOTEMPO) VALUES ('SUMMER RED', 'Macieira', 'Poda', 'Novembro a dezembro'); </v>
      </c>
      <c r="B156" s="21"/>
      <c r="C156" s="21"/>
      <c r="D156" s="21"/>
      <c r="E156" s="21"/>
      <c r="F156" s="21"/>
      <c r="G156" s="21"/>
      <c r="H156" s="21"/>
    </row>
    <row r="157" spans="1:8">
      <c r="A157" s="21" t="str">
        <f t="shared" si="3"/>
        <v xml:space="preserve">INSERT INTO CalendarioAcaoAgricola(variedade, nomeComum, DESIGNACAOTIPOACAOAGRICOLA, INTERVALOTEMPO) VALUES ('WELLSPUR DELICIOUS', 'Macieira', 'Poda', 'Novembro a dezembro'); </v>
      </c>
      <c r="B157" s="21"/>
      <c r="C157" s="21"/>
      <c r="D157" s="21"/>
      <c r="E157" s="21"/>
      <c r="F157" s="21"/>
      <c r="G157" s="21"/>
      <c r="H157" s="21"/>
    </row>
    <row r="158" spans="1:8">
      <c r="A158" s="21" t="str">
        <f t="shared" si="3"/>
        <v xml:space="preserve">INSERT INTO CalendarioAcaoAgricola(variedade, nomeComum, DESIGNACAOTIPOACAOAGRICOLA, INTERVALOTEMPO) VALUES ('NOIVA', 'Macieira', 'Poda', 'Novembro a dezembro'); </v>
      </c>
      <c r="B158" s="21"/>
      <c r="C158" s="21"/>
      <c r="D158" s="21"/>
      <c r="E158" s="21"/>
      <c r="F158" s="21"/>
      <c r="G158" s="21"/>
      <c r="H158" s="21"/>
    </row>
    <row r="159" spans="1:8">
      <c r="A159" s="21" t="str">
        <f t="shared" si="3"/>
        <v xml:space="preserve">INSERT INTO CalendarioAcaoAgricola(variedade, nomeComum, DESIGNACAOTIPOACAOAGRICOLA, INTERVALOTEMPO) VALUES ('OLHO ABERTO', 'Macieira', 'Poda', 'Novembro a dezembro'); </v>
      </c>
      <c r="B159" s="21"/>
      <c r="C159" s="21"/>
      <c r="D159" s="21"/>
      <c r="E159" s="21"/>
      <c r="F159" s="21"/>
      <c r="G159" s="21"/>
      <c r="H159" s="21"/>
    </row>
    <row r="160" spans="1:8">
      <c r="A160" s="21" t="str">
        <f t="shared" si="3"/>
        <v xml:space="preserve">INSERT INTO CalendarioAcaoAgricola(variedade, nomeComum, DESIGNACAOTIPOACAOAGRICOLA, INTERVALOTEMPO) VALUES ('CAMOESA ROSA', 'Macieira', 'Poda', 'Novembro a dezembro'); </v>
      </c>
      <c r="B160" s="21"/>
      <c r="C160" s="21"/>
      <c r="D160" s="21"/>
      <c r="E160" s="21"/>
      <c r="F160" s="21"/>
      <c r="G160" s="21"/>
      <c r="H160" s="21"/>
    </row>
    <row r="161" spans="1:8">
      <c r="A161" s="21" t="str">
        <f t="shared" si="3"/>
        <v xml:space="preserve">INSERT INTO CalendarioAcaoAgricola(variedade, nomeComum, DESIGNACAOTIPOACAOAGRICOLA, INTERVALOTEMPO) VALUES ('MALÁPIO', 'Macieira', 'Poda', 'Novembro a dezembro'); </v>
      </c>
      <c r="B161" s="21"/>
      <c r="C161" s="21"/>
      <c r="D161" s="21"/>
      <c r="E161" s="21"/>
      <c r="F161" s="21"/>
      <c r="G161" s="21"/>
      <c r="H161" s="21"/>
    </row>
    <row r="162" spans="1:8">
      <c r="A162" s="21" t="str">
        <f t="shared" si="3"/>
        <v xml:space="preserve">INSERT INTO CalendarioAcaoAgricola(variedade, nomeComum, DESIGNACAOTIPOACAOAGRICOLA, INTERVALOTEMPO) VALUES ('GRONHO DOCE', 'Macieira', 'Poda', 'Novembro a dezembro'); </v>
      </c>
      <c r="B162" s="21"/>
      <c r="C162" s="21"/>
      <c r="D162" s="21"/>
      <c r="E162" s="21"/>
      <c r="F162" s="21"/>
      <c r="G162" s="21"/>
      <c r="H162" s="21"/>
    </row>
    <row r="163" spans="1:8">
      <c r="A163" s="21" t="str">
        <f t="shared" si="3"/>
        <v xml:space="preserve">INSERT INTO CalendarioAcaoAgricola(variedade, nomeComum, DESIGNACAOTIPOACAOAGRICOLA, INTERVALOTEMPO) VALUES ('PÉ DE BOI ', 'Macieira', 'Poda', 'Novembro a dezembro'); </v>
      </c>
      <c r="B163" s="21"/>
      <c r="C163" s="21"/>
      <c r="D163" s="21"/>
      <c r="E163" s="21"/>
      <c r="F163" s="21"/>
      <c r="G163" s="21"/>
      <c r="H163" s="21"/>
    </row>
    <row r="164" spans="1:8">
      <c r="A164" s="21" t="str">
        <f t="shared" si="3"/>
        <v xml:space="preserve">INSERT INTO CalendarioAcaoAgricola(variedade, nomeComum, DESIGNACAOTIPOACAOAGRICOLA, INTERVALOTEMPO) VALUES ('PINOVA', 'Macieira', 'Poda', 'Novembro a dezembro'); </v>
      </c>
      <c r="B164" s="21"/>
      <c r="C164" s="21"/>
      <c r="D164" s="21"/>
      <c r="E164" s="21"/>
      <c r="F164" s="21"/>
      <c r="G164" s="21"/>
      <c r="H164" s="21"/>
    </row>
    <row r="165" spans="1:8">
      <c r="A165" s="21" t="str">
        <f t="shared" si="3"/>
        <v xml:space="preserve">INSERT INTO CalendarioAcaoAgricola(variedade, nomeComum, DESIGNACAOTIPOACAOAGRICOLA, INTERVALOTEMPO) VALUES ('PARDO LINDO', 'Macieira', 'Poda', 'Novembro a dezembro'); </v>
      </c>
      <c r="B165" s="21"/>
      <c r="C165" s="21"/>
      <c r="D165" s="21"/>
      <c r="E165" s="21"/>
      <c r="F165" s="21"/>
      <c r="G165" s="21"/>
      <c r="H165" s="21"/>
    </row>
    <row r="166" spans="1:8">
      <c r="A166" s="21" t="str">
        <f t="shared" si="3"/>
        <v xml:space="preserve">INSERT INTO CalendarioAcaoAgricola(variedade, nomeComum, DESIGNACAOTIPOACAOAGRICOLA, INTERVALOTEMPO) VALUES ('PIPO DE BASTO', 'Macieira', 'Poda', 'Novembro a dezembro'); </v>
      </c>
      <c r="B166" s="21"/>
      <c r="C166" s="21"/>
      <c r="D166" s="21"/>
      <c r="E166" s="21"/>
      <c r="F166" s="21"/>
      <c r="G166" s="21"/>
      <c r="H166" s="21"/>
    </row>
    <row r="167" spans="1:8">
      <c r="A167" s="21" t="str">
        <f t="shared" si="3"/>
        <v xml:space="preserve">INSERT INTO CalendarioAcaoAgricola(variedade, nomeComum, DESIGNACAOTIPOACAOAGRICOLA, INTERVALOTEMPO) VALUES ('PRIMA', 'Macieira', 'Poda', 'Novembro a dezembro'); </v>
      </c>
      <c r="B167" s="21"/>
      <c r="C167" s="21"/>
      <c r="D167" s="21"/>
      <c r="E167" s="21"/>
      <c r="F167" s="21"/>
      <c r="G167" s="21"/>
      <c r="H167" s="21"/>
    </row>
    <row r="168" spans="1:8">
      <c r="A168" s="21" t="str">
        <f t="shared" si="3"/>
        <v xml:space="preserve">INSERT INTO CalendarioAcaoAgricola(variedade, nomeComum, DESIGNACAOTIPOACAOAGRICOLA, INTERVALOTEMPO) VALUES ('QUERINA', 'Macieira', 'Poda', 'Novembro a dezembro'); </v>
      </c>
      <c r="B168" s="21"/>
      <c r="C168" s="21"/>
      <c r="D168" s="21"/>
      <c r="E168" s="21"/>
      <c r="F168" s="21"/>
      <c r="G168" s="21"/>
      <c r="H168" s="21"/>
    </row>
    <row r="169" spans="1:8">
      <c r="A169" s="21" t="str">
        <f t="shared" si="3"/>
        <v xml:space="preserve">INSERT INTO CalendarioAcaoAgricola(variedade, nomeComum, DESIGNACAOTIPOACAOAGRICOLA, INTERVALOTEMPO) VALUES ('VISTA BELLA', 'Macieira', 'Poda', 'Novembro a dezembro'); </v>
      </c>
      <c r="B169" s="21"/>
      <c r="C169" s="21"/>
      <c r="D169" s="21"/>
      <c r="E169" s="21"/>
      <c r="F169" s="21"/>
      <c r="G169" s="21"/>
      <c r="H169" s="21"/>
    </row>
    <row r="170" spans="1:8">
      <c r="A170" s="21" t="str">
        <f t="shared" si="3"/>
        <v xml:space="preserve">INSERT INTO CalendarioAcaoAgricola(variedade, nomeComum, DESIGNACAOTIPOACAOAGRICOLA, INTERVALOTEMPO) VALUES ('GOLDEN SMOOTHEE', 'Macieira', 'Poda', 'Novembro a dezembro'); </v>
      </c>
      <c r="B170" s="21"/>
      <c r="C170" s="21"/>
      <c r="D170" s="21"/>
      <c r="E170" s="21"/>
      <c r="F170" s="21"/>
      <c r="G170" s="21"/>
      <c r="H170" s="21"/>
    </row>
    <row r="171" spans="1:8">
      <c r="A171" s="21" t="str">
        <f t="shared" si="3"/>
        <v xml:space="preserve">INSERT INTO CalendarioAcaoAgricola(variedade, nomeComum, DESIGNACAOTIPOACAOAGRICOLA, INTERVALOTEMPO) VALUES ('GOLDEN SUPREMA', 'Macieira', 'Poda', 'Novembro a dezembro'); </v>
      </c>
      <c r="B171" s="21"/>
      <c r="C171" s="21"/>
      <c r="D171" s="21"/>
      <c r="E171" s="21"/>
      <c r="F171" s="21"/>
      <c r="G171" s="21"/>
      <c r="H171" s="21"/>
    </row>
    <row r="172" spans="1:8">
      <c r="A172" s="21" t="str">
        <f t="shared" si="3"/>
        <v xml:space="preserve">INSERT INTO CalendarioAcaoAgricola(variedade, nomeComum, DESIGNACAOTIPOACAOAGRICOLA, INTERVALOTEMPO) VALUES ('GLOSTER 69', 'Macieira', 'Poda', 'Novembro a dezembro'); </v>
      </c>
      <c r="B172" s="21"/>
      <c r="C172" s="21"/>
      <c r="D172" s="21"/>
      <c r="E172" s="21"/>
      <c r="F172" s="21"/>
      <c r="G172" s="21"/>
      <c r="H172" s="21"/>
    </row>
    <row r="173" spans="1:8">
      <c r="A173" s="21" t="str">
        <f t="shared" si="3"/>
        <v xml:space="preserve">INSERT INTO CalendarioAcaoAgricola(variedade, nomeComum, DESIGNACAOTIPOACAOAGRICOLA, INTERVALOTEMPO) VALUES ('FREEDOM', 'Macieira', 'Poda', 'Novembro a dezembro'); </v>
      </c>
      <c r="B173" s="21"/>
      <c r="C173" s="21"/>
      <c r="D173" s="21"/>
      <c r="E173" s="21"/>
      <c r="F173" s="21"/>
      <c r="G173" s="21"/>
      <c r="H173" s="21"/>
    </row>
    <row r="174" spans="1:8">
      <c r="A174" s="21" t="str">
        <f xml:space="preserve"> "INSERT INTO " &amp;$C$100&amp; "(variedade, nomeComum, DESIGNACAOTIPOACAOAGRICOLA, INTERVALOTEMPO) VALUES ('" &amp;UPPER(C95)&amp; "', '" &amp;B95&amp; "', '" &amp;$F$1&amp; "', " &amp;IF(ISBLANK(F95), "NULL", "'" &amp;F95&amp; "'")&amp; "); "</f>
        <v xml:space="preserve">INSERT INTO CalendarioAcaoAgricola(variedade, nomeComum, DESIGNACAOTIPOACAOAGRICOLA, INTERVALOTEMPO) VALUES ('DONA MARIA', 'Videira', 'Poda', 'Dezembro a janeiro'); </v>
      </c>
      <c r="B174" s="21"/>
      <c r="C174" s="21"/>
      <c r="D174" s="21"/>
      <c r="E174" s="21"/>
      <c r="F174" s="21"/>
      <c r="G174" s="21"/>
      <c r="H174" s="21"/>
    </row>
    <row r="175" spans="1:8">
      <c r="A175" s="21" t="str">
        <f xml:space="preserve"> "INSERT INTO " &amp;$C$100&amp; "(variedade, nomeComum, DESIGNACAOTIPOACAOAGRICOLA, INTERVALOTEMPO) VALUES ('" &amp;UPPER(C96)&amp; "', '" &amp;B96&amp; "', '" &amp;$F$1&amp; "', " &amp;IF(ISBLANK(F96), "NULL", "'" &amp;F96&amp; "'")&amp; "); "</f>
        <v xml:space="preserve">INSERT INTO CalendarioAcaoAgricola(variedade, nomeComum, DESIGNACAOTIPOACAOAGRICOLA, INTERVALOTEMPO) VALUES ('CARDINAL', 'Videira', 'Poda', 'Dezembro a janeiro'); </v>
      </c>
      <c r="B175" s="21"/>
      <c r="C175" s="21"/>
      <c r="D175" s="21"/>
      <c r="E175" s="21"/>
      <c r="F175" s="21"/>
      <c r="G175" s="21"/>
      <c r="H175" s="21"/>
    </row>
    <row r="176" spans="1:8">
      <c r="A176" s="110"/>
      <c r="B176" s="110"/>
      <c r="C176" s="110"/>
      <c r="D176" s="110"/>
      <c r="E176" s="110"/>
      <c r="F176" s="110"/>
      <c r="G176" s="110"/>
      <c r="H176" s="110"/>
    </row>
    <row r="177" spans="1:8">
      <c r="A177" s="21" t="str">
        <f t="shared" ref="A177:A220" si="4" xml:space="preserve"> "INSERT INTO " &amp;$C$100&amp; "(variedade, nomeComum, DESIGNACAOTIPOACAOAGRICOLA, INTERVALOTEMPO) VALUES ('" &amp;UPPER(C2)&amp; "', '" &amp;B2&amp; "', '" &amp;$G$1&amp; "', " &amp;IF(ISBLANK(G2), "NULL", "'" &amp;G2&amp; "'")&amp; "); "</f>
        <v xml:space="preserve">INSERT INTO CalendarioAcaoAgricola(variedade, nomeComum, DESIGNACAOTIPOACAOAGRICOLA, INTERVALOTEMPO) VALUES ('RAINHA CLAUDIA CARANGUEJEIRA', 'Ameixoeira', 'Floração', 'Fevereiro a março'); </v>
      </c>
      <c r="B177" s="21"/>
      <c r="C177" s="21"/>
      <c r="D177" s="21"/>
      <c r="E177" s="21"/>
      <c r="F177" s="21"/>
      <c r="G177" s="21"/>
      <c r="H177" s="21"/>
    </row>
    <row r="178" spans="1:8">
      <c r="A178" s="21" t="str">
        <f t="shared" si="4"/>
        <v xml:space="preserve">INSERT INTO CalendarioAcaoAgricola(variedade, nomeComum, DESIGNACAOTIPOACAOAGRICOLA, INTERVALOTEMPO) VALUES ('PRESIDENT', 'Ameixoeira', 'Floração', 'Fevereiro a março'); </v>
      </c>
      <c r="B178" s="21"/>
      <c r="C178" s="21"/>
      <c r="D178" s="21"/>
      <c r="E178" s="21"/>
      <c r="F178" s="21"/>
      <c r="G178" s="21"/>
      <c r="H178" s="21"/>
    </row>
    <row r="179" spans="1:8">
      <c r="A179" s="21" t="str">
        <f t="shared" si="4"/>
        <v xml:space="preserve">INSERT INTO CalendarioAcaoAgricola(variedade, nomeComum, DESIGNACAOTIPOACAOAGRICOLA, INTERVALOTEMPO) VALUES ('STANLEY', 'Ameixoeira', 'Floração', 'Fevereiro a março'); </v>
      </c>
      <c r="B179" s="21"/>
      <c r="C179" s="21"/>
      <c r="D179" s="21"/>
      <c r="E179" s="21"/>
      <c r="F179" s="21"/>
      <c r="G179" s="21"/>
      <c r="H179" s="21"/>
    </row>
    <row r="180" spans="1:8">
      <c r="A180" s="21" t="str">
        <f t="shared" si="4"/>
        <v xml:space="preserve">INSERT INTO CalendarioAcaoAgricola(variedade, nomeComum, DESIGNACAOTIPOACAOAGRICOLA, INTERVALOTEMPO) VALUES ('ANGELENO', 'Ameixoeira', 'Floração', 'Fevereiro a março'); </v>
      </c>
      <c r="B180" s="21"/>
      <c r="C180" s="21"/>
      <c r="D180" s="21"/>
      <c r="E180" s="21"/>
      <c r="F180" s="21"/>
      <c r="G180" s="21"/>
      <c r="H180" s="21"/>
    </row>
    <row r="181" spans="1:8">
      <c r="A181" s="21" t="str">
        <f t="shared" si="4"/>
        <v xml:space="preserve">INSERT INTO CalendarioAcaoAgricola(variedade, nomeComum, DESIGNACAOTIPOACAOAGRICOLA, INTERVALOTEMPO) VALUES ('BLACK BEAUTY', 'Ameixoeira', 'Floração', 'Fevereiro a março'); </v>
      </c>
      <c r="B181" s="21"/>
      <c r="C181" s="21"/>
      <c r="D181" s="21"/>
      <c r="E181" s="21"/>
      <c r="F181" s="21"/>
      <c r="G181" s="21"/>
      <c r="H181" s="21"/>
    </row>
    <row r="182" spans="1:8">
      <c r="A182" s="21" t="str">
        <f t="shared" si="4"/>
        <v xml:space="preserve">INSERT INTO CalendarioAcaoAgricola(variedade, nomeComum, DESIGNACAOTIPOACAOAGRICOLA, INTERVALOTEMPO) VALUES ('BLACK STAR', 'Ameixoeira', 'Floração', 'Fevereiro a março'); </v>
      </c>
      <c r="B182" s="21"/>
      <c r="C182" s="21"/>
      <c r="D182" s="21"/>
      <c r="E182" s="21"/>
      <c r="F182" s="21"/>
      <c r="G182" s="21"/>
      <c r="H182" s="21"/>
    </row>
    <row r="183" spans="1:8">
      <c r="A183" s="21" t="str">
        <f t="shared" si="4"/>
        <v xml:space="preserve">INSERT INTO CalendarioAcaoAgricola(variedade, nomeComum, DESIGNACAOTIPOACAOAGRICOLA, INTERVALOTEMPO) VALUES ('BLACK GOLD', 'Ameixoeira', 'Floração', 'Fevereiro a março'); </v>
      </c>
      <c r="B183" s="21"/>
      <c r="C183" s="21"/>
      <c r="D183" s="21"/>
      <c r="E183" s="21"/>
      <c r="F183" s="21"/>
      <c r="G183" s="21"/>
      <c r="H183" s="21"/>
    </row>
    <row r="184" spans="1:8">
      <c r="A184" s="21" t="str">
        <f t="shared" si="4"/>
        <v xml:space="preserve">INSERT INTO CalendarioAcaoAgricola(variedade, nomeComum, DESIGNACAOTIPOACAOAGRICOLA, INTERVALOTEMPO) VALUES ('BLACK DIAMOND', 'Ameixoeira', 'Floração', 'Fevereiro a março'); </v>
      </c>
      <c r="B184" s="21"/>
      <c r="C184" s="21"/>
      <c r="D184" s="21"/>
      <c r="E184" s="21"/>
      <c r="F184" s="21"/>
      <c r="G184" s="21"/>
      <c r="H184" s="21"/>
    </row>
    <row r="185" spans="1:8">
      <c r="A185" s="21" t="str">
        <f t="shared" si="4"/>
        <v xml:space="preserve">INSERT INTO CalendarioAcaoAgricola(variedade, nomeComum, DESIGNACAOTIPOACAOAGRICOLA, INTERVALOTEMPO) VALUES ('BLACK AMBER', 'Ameixoeira', 'Floração', 'Fevereiro a março'); </v>
      </c>
      <c r="B185" s="21"/>
      <c r="C185" s="21"/>
      <c r="D185" s="21"/>
      <c r="E185" s="21"/>
      <c r="F185" s="21"/>
      <c r="G185" s="21"/>
      <c r="H185" s="21"/>
    </row>
    <row r="186" spans="1:8">
      <c r="A186" s="21" t="str">
        <f t="shared" si="4"/>
        <v xml:space="preserve">INSERT INTO CalendarioAcaoAgricola(variedade, nomeComum, DESIGNACAOTIPOACAOAGRICOLA, INTERVALOTEMPO) VALUES ('BLACK SPLENDOR', 'Ameixoeira', 'Floração', 'Fevereiro a março'); </v>
      </c>
      <c r="B186" s="21"/>
      <c r="C186" s="21"/>
      <c r="D186" s="21"/>
      <c r="E186" s="21"/>
      <c r="F186" s="21"/>
      <c r="G186" s="21"/>
      <c r="H186" s="21"/>
    </row>
    <row r="187" spans="1:8">
      <c r="A187" s="21" t="str">
        <f t="shared" si="4"/>
        <v xml:space="preserve">INSERT INTO CalendarioAcaoAgricola(variedade, nomeComum, DESIGNACAOTIPOACAOAGRICOLA, INTERVALOTEMPO) VALUES ('FORTUNA', 'Ameixoeira', 'Floração', 'Fevereiro a março'); </v>
      </c>
      <c r="B187" s="21"/>
      <c r="C187" s="21"/>
      <c r="D187" s="21"/>
      <c r="E187" s="21"/>
      <c r="F187" s="21"/>
      <c r="G187" s="21"/>
      <c r="H187" s="21"/>
    </row>
    <row r="188" spans="1:8">
      <c r="A188" s="21" t="str">
        <f t="shared" si="4"/>
        <v xml:space="preserve">INSERT INTO CalendarioAcaoAgricola(variedade, nomeComum, DESIGNACAOTIPOACAOAGRICOLA, INTERVALOTEMPO) VALUES ('FRIAR', 'Ameixoeira', 'Floração', 'Fevereiro a março'); </v>
      </c>
      <c r="B188" s="21"/>
      <c r="C188" s="21"/>
      <c r="D188" s="21"/>
      <c r="E188" s="21"/>
      <c r="F188" s="21"/>
      <c r="G188" s="21"/>
      <c r="H188" s="21"/>
    </row>
    <row r="189" spans="1:8">
      <c r="A189" s="21" t="str">
        <f t="shared" si="4"/>
        <v xml:space="preserve">INSERT INTO CalendarioAcaoAgricola(variedade, nomeComum, DESIGNACAOTIPOACAOAGRICOLA, INTERVALOTEMPO) VALUES ('EL DORADO', 'Ameixoeira', 'Floração', 'Fevereiro a março'); </v>
      </c>
      <c r="B189" s="21"/>
      <c r="C189" s="21"/>
      <c r="D189" s="21"/>
      <c r="E189" s="21"/>
      <c r="F189" s="21"/>
      <c r="G189" s="21"/>
      <c r="H189" s="21"/>
    </row>
    <row r="190" spans="1:8">
      <c r="A190" s="21" t="str">
        <f t="shared" si="4"/>
        <v xml:space="preserve">INSERT INTO CalendarioAcaoAgricola(variedade, nomeComum, DESIGNACAOTIPOACAOAGRICOLA, INTERVALOTEMPO) VALUES ('ELEPHANT HEART', 'Ameixoeira', 'Floração', 'Fevereiro a março'); </v>
      </c>
      <c r="B190" s="21"/>
      <c r="C190" s="21"/>
      <c r="D190" s="21"/>
      <c r="E190" s="21"/>
      <c r="F190" s="21"/>
      <c r="G190" s="21"/>
      <c r="H190" s="21"/>
    </row>
    <row r="191" spans="1:8">
      <c r="A191" s="21" t="str">
        <f t="shared" si="4"/>
        <v xml:space="preserve">INSERT INTO CalendarioAcaoAgricola(variedade, nomeComum, DESIGNACAOTIPOACAOAGRICOLA, INTERVALOTEMPO) VALUES ('GOLDEN JAPAN', 'Ameixoeira', 'Floração', 'Fevereiro a março'); </v>
      </c>
      <c r="B191" s="21"/>
      <c r="C191" s="21"/>
      <c r="D191" s="21"/>
      <c r="E191" s="21"/>
      <c r="F191" s="21"/>
      <c r="G191" s="21"/>
      <c r="H191" s="21"/>
    </row>
    <row r="192" spans="1:8">
      <c r="A192" s="21" t="str">
        <f t="shared" si="4"/>
        <v xml:space="preserve">INSERT INTO CalendarioAcaoAgricola(variedade, nomeComum, DESIGNACAOTIPOACAOAGRICOLA, INTERVALOTEMPO) VALUES ('HARRY PITCHON', 'Ameixoeira', 'Floração', 'Fevereiro a março'); </v>
      </c>
      <c r="B192" s="21"/>
      <c r="C192" s="21"/>
      <c r="D192" s="21"/>
      <c r="E192" s="21"/>
      <c r="F192" s="21"/>
      <c r="G192" s="21"/>
      <c r="H192" s="21"/>
    </row>
    <row r="193" spans="1:8">
      <c r="A193" s="21" t="str">
        <f t="shared" si="4"/>
        <v xml:space="preserve">INSERT INTO CalendarioAcaoAgricola(variedade, nomeComum, DESIGNACAOTIPOACAOAGRICOLA, INTERVALOTEMPO) VALUES ('LAETITIA', 'Ameixoeira', 'Floração', 'Fevereiro a março'); </v>
      </c>
      <c r="B193" s="21"/>
      <c r="C193" s="21"/>
      <c r="D193" s="21"/>
      <c r="E193" s="21"/>
      <c r="F193" s="21"/>
      <c r="G193" s="21"/>
      <c r="H193" s="21"/>
    </row>
    <row r="194" spans="1:8">
      <c r="A194" s="21" t="str">
        <f t="shared" si="4"/>
        <v xml:space="preserve">INSERT INTO CalendarioAcaoAgricola(variedade, nomeComum, DESIGNACAOTIPOACAOAGRICOLA, INTERVALOTEMPO) VALUES ('METLEY', 'Ameixoeira', 'Floração', 'Fevereiro a março'); </v>
      </c>
      <c r="B194" s="21"/>
      <c r="C194" s="21"/>
      <c r="D194" s="21"/>
      <c r="E194" s="21"/>
      <c r="F194" s="21"/>
      <c r="G194" s="21"/>
      <c r="H194" s="21"/>
    </row>
    <row r="195" spans="1:8">
      <c r="A195" s="21" t="str">
        <f t="shared" si="4"/>
        <v xml:space="preserve">INSERT INTO CalendarioAcaoAgricola(variedade, nomeComum, DESIGNACAOTIPOACAOAGRICOLA, INTERVALOTEMPO) VALUES ('MIRABELLE DE NANCY', 'Ameixoeira', 'Floração', 'Fevereiro a março'); </v>
      </c>
      <c r="B195" s="21"/>
      <c r="C195" s="21"/>
      <c r="D195" s="21"/>
      <c r="E195" s="21"/>
      <c r="F195" s="21"/>
      <c r="G195" s="21"/>
      <c r="H195" s="21"/>
    </row>
    <row r="196" spans="1:8">
      <c r="A196" s="21" t="str">
        <f t="shared" si="4"/>
        <v xml:space="preserve">INSERT INTO CalendarioAcaoAgricola(variedade, nomeComum, DESIGNACAOTIPOACAOAGRICOLA, INTERVALOTEMPO) VALUES ('QUEEN ROSE', 'Ameixoeira', 'Floração', 'Fevereiro a março'); </v>
      </c>
      <c r="B196" s="21"/>
      <c r="C196" s="21"/>
      <c r="D196" s="21"/>
      <c r="E196" s="21"/>
      <c r="F196" s="21"/>
      <c r="G196" s="21"/>
      <c r="H196" s="21"/>
    </row>
    <row r="197" spans="1:8">
      <c r="A197" s="21" t="str">
        <f t="shared" si="4"/>
        <v xml:space="preserve">INSERT INTO CalendarioAcaoAgricola(variedade, nomeComum, DESIGNACAOTIPOACAOAGRICOLA, INTERVALOTEMPO) VALUES ('RED BEAUT', 'Ameixoeira', 'Floração', 'Fevereiro a março'); </v>
      </c>
      <c r="B197" s="21"/>
      <c r="C197" s="21"/>
      <c r="D197" s="21"/>
      <c r="E197" s="21"/>
      <c r="F197" s="21"/>
      <c r="G197" s="21"/>
      <c r="H197" s="21"/>
    </row>
    <row r="198" spans="1:8">
      <c r="A198" s="21" t="str">
        <f t="shared" si="4"/>
        <v xml:space="preserve">INSERT INTO CalendarioAcaoAgricola(variedade, nomeComum, DESIGNACAOTIPOACAOAGRICOLA, INTERVALOTEMPO) VALUES ('SANTA ROSA', 'Ameixoeira', 'Floração', 'Fevereiro a março'); </v>
      </c>
      <c r="B198" s="21"/>
      <c r="C198" s="21"/>
      <c r="D198" s="21"/>
      <c r="E198" s="21"/>
      <c r="F198" s="21"/>
      <c r="G198" s="21"/>
      <c r="H198" s="21"/>
    </row>
    <row r="199" spans="1:8">
      <c r="A199" s="21" t="str">
        <f t="shared" si="4"/>
        <v xml:space="preserve">INSERT INTO CalendarioAcaoAgricola(variedade, nomeComum, DESIGNACAOTIPOACAOAGRICOLA, INTERVALOTEMPO) VALUES ('SHIRO', 'Ameixoeira', 'Floração', 'Fevereiro a março'); </v>
      </c>
      <c r="B199" s="21"/>
      <c r="C199" s="21"/>
      <c r="D199" s="21"/>
      <c r="E199" s="21"/>
      <c r="F199" s="21"/>
      <c r="G199" s="21"/>
      <c r="H199" s="21"/>
    </row>
    <row r="200" spans="1:8">
      <c r="A200" s="21" t="str">
        <f t="shared" si="4"/>
        <v xml:space="preserve">INSERT INTO CalendarioAcaoAgricola(variedade, nomeComum, DESIGNACAOTIPOACAOAGRICOLA, INTERVALOTEMPO) VALUES ('SUNGOLD', 'Ameixoeira', 'Floração', 'Fevereiro a março'); </v>
      </c>
      <c r="B200" s="21"/>
      <c r="C200" s="21"/>
      <c r="D200" s="21"/>
      <c r="E200" s="21"/>
      <c r="F200" s="21"/>
      <c r="G200" s="21"/>
      <c r="H200" s="21"/>
    </row>
    <row r="201" spans="1:8">
      <c r="A201" s="21" t="str">
        <f t="shared" si="4"/>
        <v xml:space="preserve">INSERT INTO CalendarioAcaoAgricola(variedade, nomeComum, DESIGNACAOTIPOACAOAGRICOLA, INTERVALOTEMPO) VALUES ('WILSON PERFECTION', 'Ameixoeira', 'Floração', 'Fevereiro a março'); </v>
      </c>
      <c r="B201" s="21"/>
      <c r="C201" s="21"/>
      <c r="D201" s="21"/>
      <c r="E201" s="21"/>
      <c r="F201" s="21"/>
      <c r="G201" s="21"/>
      <c r="H201" s="21"/>
    </row>
    <row r="202" spans="1:8">
      <c r="A202" s="21" t="str">
        <f t="shared" si="4"/>
        <v xml:space="preserve">INSERT INTO CalendarioAcaoAgricola(variedade, nomeComum, DESIGNACAOTIPOACAOAGRICOLA, INTERVALOTEMPO) VALUES ('AUTUMN GIANT', 'Ameixoeira', 'Floração', 'Fevereiro a março'); </v>
      </c>
      <c r="B202" s="21"/>
      <c r="C202" s="21"/>
      <c r="D202" s="21"/>
      <c r="E202" s="21"/>
      <c r="F202" s="21"/>
      <c r="G202" s="21"/>
      <c r="H202" s="21"/>
    </row>
    <row r="203" spans="1:8">
      <c r="A203" s="21" t="str">
        <f t="shared" si="4"/>
        <v xml:space="preserve">INSERT INTO CalendarioAcaoAgricola(variedade, nomeComum, DESIGNACAOTIPOACAOAGRICOLA, INTERVALOTEMPO) VALUES ('BULIDA', 'Damasqueiro', 'Floração', 'Fevereiro a março'); </v>
      </c>
      <c r="B203" s="21"/>
      <c r="C203" s="21"/>
      <c r="D203" s="21"/>
      <c r="E203" s="21"/>
      <c r="F203" s="21"/>
      <c r="G203" s="21"/>
      <c r="H203" s="21"/>
    </row>
    <row r="204" spans="1:8">
      <c r="A204" s="21" t="str">
        <f t="shared" si="4"/>
        <v xml:space="preserve">INSERT INTO CalendarioAcaoAgricola(variedade, nomeComum, DESIGNACAOTIPOACAOAGRICOLA, INTERVALOTEMPO) VALUES ('CANINO', 'Damasqueiro', 'Floração', 'Fevereiro a março'); </v>
      </c>
      <c r="B204" s="21"/>
      <c r="C204" s="21"/>
      <c r="D204" s="21"/>
      <c r="E204" s="21"/>
      <c r="F204" s="21"/>
      <c r="G204" s="21"/>
      <c r="H204" s="21"/>
    </row>
    <row r="205" spans="1:8">
      <c r="A205" s="21" t="str">
        <f t="shared" si="4"/>
        <v xml:space="preserve">INSERT INTO CalendarioAcaoAgricola(variedade, nomeComum, DESIGNACAOTIPOACAOAGRICOLA, INTERVALOTEMPO) VALUES ('LIABAUD', 'Damasqueiro', 'Floração', 'Fevereiro a março'); </v>
      </c>
      <c r="B205" s="21"/>
      <c r="C205" s="21"/>
      <c r="D205" s="21"/>
      <c r="E205" s="21"/>
      <c r="F205" s="21"/>
      <c r="G205" s="21"/>
      <c r="H205" s="21"/>
    </row>
    <row r="206" spans="1:8">
      <c r="A206" s="21" t="str">
        <f t="shared" si="4"/>
        <v xml:space="preserve">INSERT INTO CalendarioAcaoAgricola(variedade, nomeComum, DESIGNACAOTIPOACAOAGRICOLA, INTERVALOTEMPO) VALUES ('MAILLOT JAUNE', 'Damasqueiro', 'Floração', 'Fevereiro a março'); </v>
      </c>
      <c r="B206" s="21"/>
      <c r="C206" s="21"/>
      <c r="D206" s="21"/>
      <c r="E206" s="21"/>
      <c r="F206" s="21"/>
      <c r="G206" s="21"/>
      <c r="H206" s="21"/>
    </row>
    <row r="207" spans="1:8">
      <c r="A207" s="21" t="str">
        <f t="shared" si="4"/>
        <v xml:space="preserve">INSERT INTO CalendarioAcaoAgricola(variedade, nomeComum, DESIGNACAOTIPOACAOAGRICOLA, INTERVALOTEMPO) VALUES ('POLONAIS', 'Damasqueiro', 'Floração', 'Fevereiro a março'); </v>
      </c>
      <c r="B207" s="21"/>
      <c r="C207" s="21"/>
      <c r="D207" s="21"/>
      <c r="E207" s="21"/>
      <c r="F207" s="21"/>
      <c r="G207" s="21"/>
      <c r="H207" s="21"/>
    </row>
    <row r="208" spans="1:8">
      <c r="A208" s="21" t="str">
        <f t="shared" si="4"/>
        <v xml:space="preserve">INSERT INTO CalendarioAcaoAgricola(variedade, nomeComum, DESIGNACAOTIPOACAOAGRICOLA, INTERVALOTEMPO) VALUES ('AKANE', 'Macieira', 'Floração', 'Março a abril'); </v>
      </c>
      <c r="B208" s="21"/>
      <c r="C208" s="21"/>
      <c r="D208" s="21"/>
      <c r="E208" s="21"/>
      <c r="F208" s="21"/>
      <c r="G208" s="21"/>
      <c r="H208" s="21"/>
    </row>
    <row r="209" spans="1:8">
      <c r="A209" s="21" t="str">
        <f t="shared" si="4"/>
        <v xml:space="preserve">INSERT INTO CalendarioAcaoAgricola(variedade, nomeComum, DESIGNACAOTIPOACAOAGRICOLA, INTERVALOTEMPO) VALUES ('BELGOLDEN', 'Macieira', 'Floração', 'Março a abril'); </v>
      </c>
      <c r="B209" s="21"/>
      <c r="C209" s="21"/>
      <c r="D209" s="21"/>
      <c r="E209" s="21"/>
      <c r="F209" s="21"/>
      <c r="G209" s="21"/>
      <c r="H209" s="21"/>
    </row>
    <row r="210" spans="1:8">
      <c r="A210" s="21" t="str">
        <f t="shared" si="4"/>
        <v xml:space="preserve">INSERT INTO CalendarioAcaoAgricola(variedade, nomeComum, DESIGNACAOTIPOACAOAGRICOLA, INTERVALOTEMPO) VALUES ('BRAVO DE ESMOLFE', 'Macieira', 'Floração', 'Março a abril'); </v>
      </c>
      <c r="B210" s="21"/>
      <c r="C210" s="21"/>
      <c r="D210" s="21"/>
      <c r="E210" s="21"/>
      <c r="F210" s="21"/>
      <c r="G210" s="21"/>
      <c r="H210" s="21"/>
    </row>
    <row r="211" spans="1:8">
      <c r="A211" s="21" t="str">
        <f t="shared" si="4"/>
        <v xml:space="preserve">INSERT INTO CalendarioAcaoAgricola(variedade, nomeComum, DESIGNACAOTIPOACAOAGRICOLA, INTERVALOTEMPO) VALUES ('CASA NOVA DE ALCOBAÇA', 'Macieira', 'Floração', 'Março a abril'); </v>
      </c>
      <c r="B211" s="21"/>
      <c r="C211" s="21"/>
      <c r="D211" s="21"/>
      <c r="E211" s="21"/>
      <c r="F211" s="21"/>
      <c r="G211" s="21"/>
      <c r="H211" s="21"/>
    </row>
    <row r="212" spans="1:8">
      <c r="A212" s="21" t="str">
        <f t="shared" si="4"/>
        <v xml:space="preserve">INSERT INTO CalendarioAcaoAgricola(variedade, nomeComum, DESIGNACAOTIPOACAOAGRICOLA, INTERVALOTEMPO) VALUES ('EROVAN', 'Macieira', 'Floração', 'Março a abril'); </v>
      </c>
      <c r="B212" s="21"/>
      <c r="C212" s="21"/>
      <c r="D212" s="21"/>
      <c r="E212" s="21"/>
      <c r="F212" s="21"/>
      <c r="G212" s="21"/>
      <c r="H212" s="21"/>
    </row>
    <row r="213" spans="1:8">
      <c r="A213" s="21" t="str">
        <f t="shared" si="4"/>
        <v xml:space="preserve">INSERT INTO CalendarioAcaoAgricola(variedade, nomeComum, DESIGNACAOTIPOACAOAGRICOLA, INTERVALOTEMPO) VALUES ('FUJI', 'Macieira', 'Floração', 'Março a abril'); </v>
      </c>
      <c r="B213" s="21"/>
      <c r="C213" s="21"/>
      <c r="D213" s="21"/>
      <c r="E213" s="21"/>
      <c r="F213" s="21"/>
      <c r="G213" s="21"/>
      <c r="H213" s="21"/>
    </row>
    <row r="214" spans="1:8">
      <c r="A214" s="21" t="str">
        <f t="shared" si="4"/>
        <v xml:space="preserve">INSERT INTO CalendarioAcaoAgricola(variedade, nomeComum, DESIGNACAOTIPOACAOAGRICOLA, INTERVALOTEMPO) VALUES ('GRANNY SMITH', 'Macieira', 'Floração', 'Março a abril'); </v>
      </c>
      <c r="B214" s="21"/>
      <c r="C214" s="21"/>
      <c r="D214" s="21"/>
      <c r="E214" s="21"/>
      <c r="F214" s="21"/>
      <c r="G214" s="21"/>
      <c r="H214" s="21"/>
    </row>
    <row r="215" spans="1:8">
      <c r="A215" s="21" t="str">
        <f t="shared" si="4"/>
        <v xml:space="preserve">INSERT INTO CalendarioAcaoAgricola(variedade, nomeComum, DESIGNACAOTIPOACAOAGRICOLA, INTERVALOTEMPO) VALUES ('GOLDEN DELICIOUS', 'Macieira', 'Floração', 'Março a abril'); </v>
      </c>
      <c r="B215" s="21"/>
      <c r="C215" s="21"/>
      <c r="D215" s="21"/>
      <c r="E215" s="21"/>
      <c r="F215" s="21"/>
      <c r="G215" s="21"/>
      <c r="H215" s="21"/>
    </row>
    <row r="216" spans="1:8">
      <c r="A216" s="21" t="str">
        <f t="shared" si="4"/>
        <v xml:space="preserve">INSERT INTO CalendarioAcaoAgricola(variedade, nomeComum, DESIGNACAOTIPOACAOAGRICOLA, INTERVALOTEMPO) VALUES ('HI-EARLY', 'Macieira', 'Floração', 'Março a abril'); </v>
      </c>
      <c r="B216" s="21"/>
      <c r="C216" s="21"/>
      <c r="D216" s="21"/>
      <c r="E216" s="21"/>
      <c r="F216" s="21"/>
      <c r="G216" s="21"/>
      <c r="H216" s="21"/>
    </row>
    <row r="217" spans="1:8">
      <c r="A217" s="21" t="str">
        <f t="shared" si="4"/>
        <v xml:space="preserve">INSERT INTO CalendarioAcaoAgricola(variedade, nomeComum, DESIGNACAOTIPOACAOAGRICOLA, INTERVALOTEMPO) VALUES ('JONAGORED', 'Macieira', 'Floração', 'Março a abril'); </v>
      </c>
      <c r="B217" s="21"/>
      <c r="C217" s="21"/>
      <c r="D217" s="21"/>
      <c r="E217" s="21"/>
      <c r="F217" s="21"/>
      <c r="G217" s="21"/>
      <c r="H217" s="21"/>
    </row>
    <row r="218" spans="1:8">
      <c r="A218" s="21" t="str">
        <f t="shared" si="4"/>
        <v xml:space="preserve">INSERT INTO CalendarioAcaoAgricola(variedade, nomeComum, DESIGNACAOTIPOACAOAGRICOLA, INTERVALOTEMPO) VALUES ('LYSGOLDEN', 'Macieira', 'Floração', 'Março a abril'); </v>
      </c>
      <c r="B218" s="21"/>
      <c r="C218" s="21"/>
      <c r="D218" s="21"/>
      <c r="E218" s="21"/>
      <c r="F218" s="21"/>
      <c r="G218" s="21"/>
      <c r="H218" s="21"/>
    </row>
    <row r="219" spans="1:8">
      <c r="A219" s="21" t="str">
        <f t="shared" si="4"/>
        <v xml:space="preserve">INSERT INTO CalendarioAcaoAgricola(variedade, nomeComum, DESIGNACAOTIPOACAOAGRICOLA, INTERVALOTEMPO) VALUES ('MUTSU', 'Macieira', 'Floração', 'Março a abril'); </v>
      </c>
      <c r="B219" s="21"/>
      <c r="C219" s="21"/>
      <c r="D219" s="21"/>
      <c r="E219" s="21"/>
      <c r="F219" s="21"/>
      <c r="G219" s="21"/>
      <c r="H219" s="21"/>
    </row>
    <row r="220" spans="1:8">
      <c r="A220" s="21" t="str">
        <f t="shared" si="4"/>
        <v xml:space="preserve">INSERT INTO CalendarioAcaoAgricola(variedade, nomeComum, DESIGNACAOTIPOACAOAGRICOLA, INTERVALOTEMPO) VALUES ('PORTA DA LOJA', 'Macieira', 'Floração', 'Abril a maio'); </v>
      </c>
      <c r="B220" s="21"/>
      <c r="C220" s="21"/>
      <c r="D220" s="21"/>
      <c r="E220" s="21"/>
      <c r="F220" s="21"/>
      <c r="G220" s="21"/>
      <c r="H220" s="21"/>
    </row>
    <row r="221" spans="1:8">
      <c r="A221" s="21" t="str">
        <f xml:space="preserve"> "INSERT INTO " &amp;$C$100&amp; "(variedade, nomeComum, DESIGNACAOTIPOACAOAGRICOLA, INTERVALOTEMPO) VALUES ('" &amp;UPPER(_xlfn.TEXTAFTER(C46," OU "))&amp; "', '" &amp;B46&amp; "', '" &amp;$G$1&amp; "', " &amp;IF(ISBLANK(G46), "NULL", "'" &amp;G46&amp; "'")&amp; "); "</f>
        <v xml:space="preserve">INSERT INTO CalendarioAcaoAgricola(variedade, nomeComum, DESIGNACAOTIPOACAOAGRICOLA, INTERVALOTEMPO) VALUES ('CANADA', 'Macieira', 'Floração', 'Março a abril'); </v>
      </c>
      <c r="B221" s="21"/>
      <c r="C221" s="21"/>
      <c r="D221" s="21"/>
      <c r="E221" s="21"/>
      <c r="F221" s="21"/>
      <c r="G221" s="111"/>
      <c r="H221" s="21"/>
    </row>
    <row r="222" spans="1:8">
      <c r="A222" s="21" t="str">
        <f xml:space="preserve"> "INSERT INTO " &amp;$C$100&amp; "(variedade, nomeComum, DESIGNACAOTIPOACAOAGRICOLA, INTERVALOTEMPO) VALUES ('" &amp;UPPER(_xlfn.TEXTAFTER(C47," OU "))&amp; "', '" &amp;B47&amp; "', '" &amp;$G$1&amp; "', " &amp;IF(ISBLANK(G47), "NULL", "'" &amp;G47&amp; "'")&amp; "); "</f>
        <v xml:space="preserve">INSERT INTO CalendarioAcaoAgricola(variedade, nomeComum, DESIGNACAOTIPOACAOAGRICOLA, INTERVALOTEMPO) VALUES ('GRAND FAY', 'Macieira', 'Floração', 'Março a abril'); </v>
      </c>
      <c r="B222" s="21"/>
      <c r="C222" s="21"/>
      <c r="D222" s="21"/>
      <c r="E222" s="21"/>
      <c r="F222" s="21"/>
      <c r="G222" s="111"/>
      <c r="H222" s="21"/>
    </row>
    <row r="223" spans="1:8">
      <c r="A223" s="21" t="str">
        <f t="shared" ref="A223:A244" si="5" xml:space="preserve"> "INSERT INTO " &amp;$C$100&amp; "(variedade, nomeComum, DESIGNACAOTIPOACAOAGRICOLA, INTERVALOTEMPO) VALUES ('" &amp;UPPER(C48)&amp; "', '" &amp;B48&amp; "', '" &amp;$G$1&amp; "', " &amp;IF(ISBLANK(G48), "NULL", "'" &amp;G48&amp; "'")&amp; "); "</f>
        <v xml:space="preserve">INSERT INTO CalendarioAcaoAgricola(variedade, nomeComum, DESIGNACAOTIPOACAOAGRICOLA, INTERVALOTEMPO) VALUES ('RISCADINHA DE PALMELA', 'Macieira', 'Floração', 'Março a abril'); </v>
      </c>
      <c r="B223" s="21"/>
      <c r="C223" s="21"/>
      <c r="D223" s="21"/>
      <c r="E223" s="21"/>
      <c r="F223" s="21"/>
      <c r="G223" s="21"/>
      <c r="H223" s="21"/>
    </row>
    <row r="224" spans="1:8">
      <c r="A224" s="21" t="str">
        <f t="shared" si="5"/>
        <v xml:space="preserve">INSERT INTO CalendarioAcaoAgricola(variedade, nomeComum, DESIGNACAOTIPOACAOAGRICOLA, INTERVALOTEMPO) VALUES ('ROYAL GALA', 'Macieira', 'Floração', 'Março a abril'); </v>
      </c>
      <c r="B224" s="21"/>
      <c r="C224" s="21"/>
      <c r="D224" s="21"/>
      <c r="E224" s="21"/>
      <c r="F224" s="21"/>
      <c r="G224" s="21"/>
      <c r="H224" s="21"/>
    </row>
    <row r="225" spans="1:8">
      <c r="A225" s="21" t="str">
        <f t="shared" si="5"/>
        <v xml:space="preserve">INSERT INTO CalendarioAcaoAgricola(variedade, nomeComum, DESIGNACAOTIPOACAOAGRICOLA, INTERVALOTEMPO) VALUES ('REDCHIEF', 'Macieira', 'Floração', 'Março a abril'); </v>
      </c>
      <c r="B225" s="21"/>
      <c r="C225" s="21"/>
      <c r="D225" s="21"/>
      <c r="E225" s="21"/>
      <c r="F225" s="21"/>
      <c r="G225" s="21"/>
      <c r="H225" s="21"/>
    </row>
    <row r="226" spans="1:8">
      <c r="A226" s="21" t="str">
        <f t="shared" si="5"/>
        <v xml:space="preserve">INSERT INTO CalendarioAcaoAgricola(variedade, nomeComum, DESIGNACAOTIPOACAOAGRICOLA, INTERVALOTEMPO) VALUES ('STARKING', 'Macieira', 'Floração', 'Março a abril'); </v>
      </c>
      <c r="B226" s="21"/>
      <c r="C226" s="21"/>
      <c r="D226" s="21"/>
      <c r="E226" s="21"/>
      <c r="F226" s="21"/>
      <c r="G226" s="21"/>
      <c r="H226" s="21"/>
    </row>
    <row r="227" spans="1:8">
      <c r="A227" s="21" t="str">
        <f t="shared" si="5"/>
        <v xml:space="preserve">INSERT INTO CalendarioAcaoAgricola(variedade, nomeComum, DESIGNACAOTIPOACAOAGRICOLA, INTERVALOTEMPO) VALUES ('SUMMER RED', 'Macieira', 'Floração', 'Março a abril'); </v>
      </c>
      <c r="B227" s="21"/>
      <c r="C227" s="21"/>
      <c r="D227" s="21"/>
      <c r="E227" s="21"/>
      <c r="F227" s="21"/>
      <c r="G227" s="21"/>
      <c r="H227" s="21"/>
    </row>
    <row r="228" spans="1:8">
      <c r="A228" s="21" t="str">
        <f t="shared" si="5"/>
        <v xml:space="preserve">INSERT INTO CalendarioAcaoAgricola(variedade, nomeComum, DESIGNACAOTIPOACAOAGRICOLA, INTERVALOTEMPO) VALUES ('WELLSPUR DELICIOUS', 'Macieira', 'Floração', 'Março a abril'); </v>
      </c>
      <c r="B228" s="21"/>
      <c r="C228" s="21"/>
      <c r="D228" s="21"/>
      <c r="E228" s="21"/>
      <c r="F228" s="21"/>
      <c r="G228" s="21"/>
      <c r="H228" s="21"/>
    </row>
    <row r="229" spans="1:8">
      <c r="A229" s="21" t="str">
        <f t="shared" si="5"/>
        <v xml:space="preserve">INSERT INTO CalendarioAcaoAgricola(variedade, nomeComum, DESIGNACAOTIPOACAOAGRICOLA, INTERVALOTEMPO) VALUES ('NOIVA', 'Macieira', 'Floração', 'Março a abril'); </v>
      </c>
      <c r="B229" s="21"/>
      <c r="C229" s="21"/>
      <c r="D229" s="21"/>
      <c r="E229" s="21"/>
      <c r="F229" s="21"/>
      <c r="G229" s="21"/>
      <c r="H229" s="21"/>
    </row>
    <row r="230" spans="1:8">
      <c r="A230" s="21" t="str">
        <f t="shared" si="5"/>
        <v xml:space="preserve">INSERT INTO CalendarioAcaoAgricola(variedade, nomeComum, DESIGNACAOTIPOACAOAGRICOLA, INTERVALOTEMPO) VALUES ('OLHO ABERTO', 'Macieira', 'Floração', 'Março a abril'); </v>
      </c>
      <c r="B230" s="21"/>
      <c r="C230" s="21"/>
      <c r="D230" s="21"/>
      <c r="E230" s="21"/>
      <c r="F230" s="21"/>
      <c r="G230" s="21"/>
      <c r="H230" s="21"/>
    </row>
    <row r="231" spans="1:8">
      <c r="A231" s="21" t="str">
        <f t="shared" si="5"/>
        <v xml:space="preserve">INSERT INTO CalendarioAcaoAgricola(variedade, nomeComum, DESIGNACAOTIPOACAOAGRICOLA, INTERVALOTEMPO) VALUES ('CAMOESA ROSA', 'Macieira', 'Floração', 'Março a abril'); </v>
      </c>
      <c r="B231" s="21"/>
      <c r="C231" s="21"/>
      <c r="D231" s="21"/>
      <c r="E231" s="21"/>
      <c r="F231" s="21"/>
      <c r="G231" s="21"/>
      <c r="H231" s="21"/>
    </row>
    <row r="232" spans="1:8">
      <c r="A232" s="21" t="str">
        <f t="shared" si="5"/>
        <v xml:space="preserve">INSERT INTO CalendarioAcaoAgricola(variedade, nomeComum, DESIGNACAOTIPOACAOAGRICOLA, INTERVALOTEMPO) VALUES ('MALÁPIO', 'Macieira', 'Floração', 'Março a abril'); </v>
      </c>
      <c r="B232" s="21"/>
      <c r="C232" s="21"/>
      <c r="D232" s="21"/>
      <c r="E232" s="21"/>
      <c r="F232" s="21"/>
      <c r="G232" s="21"/>
      <c r="H232" s="21"/>
    </row>
    <row r="233" spans="1:8">
      <c r="A233" s="21" t="str">
        <f t="shared" si="5"/>
        <v xml:space="preserve">INSERT INTO CalendarioAcaoAgricola(variedade, nomeComum, DESIGNACAOTIPOACAOAGRICOLA, INTERVALOTEMPO) VALUES ('GRONHO DOCE', 'Macieira', 'Floração', 'Março a abril'); </v>
      </c>
      <c r="B233" s="21"/>
      <c r="C233" s="21"/>
      <c r="D233" s="21"/>
      <c r="E233" s="21"/>
      <c r="F233" s="21"/>
      <c r="G233" s="21"/>
      <c r="H233" s="21"/>
    </row>
    <row r="234" spans="1:8">
      <c r="A234" s="21" t="str">
        <f t="shared" si="5"/>
        <v xml:space="preserve">INSERT INTO CalendarioAcaoAgricola(variedade, nomeComum, DESIGNACAOTIPOACAOAGRICOLA, INTERVALOTEMPO) VALUES ('PÉ DE BOI ', 'Macieira', 'Floração', 'Março a abril'); </v>
      </c>
      <c r="B234" s="21"/>
      <c r="C234" s="21"/>
      <c r="D234" s="21"/>
      <c r="E234" s="21"/>
      <c r="F234" s="21"/>
      <c r="G234" s="21"/>
      <c r="H234" s="21"/>
    </row>
    <row r="235" spans="1:8">
      <c r="A235" s="21" t="str">
        <f t="shared" si="5"/>
        <v xml:space="preserve">INSERT INTO CalendarioAcaoAgricola(variedade, nomeComum, DESIGNACAOTIPOACAOAGRICOLA, INTERVALOTEMPO) VALUES ('PINOVA', 'Macieira', 'Floração', 'Março a abril'); </v>
      </c>
      <c r="B235" s="21"/>
      <c r="C235" s="21"/>
      <c r="D235" s="21"/>
      <c r="E235" s="21"/>
      <c r="F235" s="21"/>
      <c r="G235" s="21"/>
      <c r="H235" s="21"/>
    </row>
    <row r="236" spans="1:8">
      <c r="A236" s="21" t="str">
        <f t="shared" si="5"/>
        <v xml:space="preserve">INSERT INTO CalendarioAcaoAgricola(variedade, nomeComum, DESIGNACAOTIPOACAOAGRICOLA, INTERVALOTEMPO) VALUES ('PARDO LINDO', 'Macieira', 'Floração', 'Março a abril'); </v>
      </c>
      <c r="B236" s="21"/>
      <c r="C236" s="21"/>
      <c r="D236" s="21"/>
      <c r="E236" s="21"/>
      <c r="F236" s="21"/>
      <c r="G236" s="21"/>
      <c r="H236" s="21"/>
    </row>
    <row r="237" spans="1:8">
      <c r="A237" s="21" t="str">
        <f t="shared" si="5"/>
        <v xml:space="preserve">INSERT INTO CalendarioAcaoAgricola(variedade, nomeComum, DESIGNACAOTIPOACAOAGRICOLA, INTERVALOTEMPO) VALUES ('PIPO DE BASTO', 'Macieira', 'Floração', 'Março a abril'); </v>
      </c>
      <c r="B237" s="21"/>
      <c r="C237" s="21"/>
      <c r="D237" s="21"/>
      <c r="E237" s="21"/>
      <c r="F237" s="21"/>
      <c r="G237" s="21"/>
      <c r="H237" s="21"/>
    </row>
    <row r="238" spans="1:8">
      <c r="A238" s="21" t="str">
        <f t="shared" si="5"/>
        <v xml:space="preserve">INSERT INTO CalendarioAcaoAgricola(variedade, nomeComum, DESIGNACAOTIPOACAOAGRICOLA, INTERVALOTEMPO) VALUES ('PRIMA', 'Macieira', 'Floração', 'Março a abril'); </v>
      </c>
      <c r="B238" s="21"/>
      <c r="C238" s="21"/>
      <c r="D238" s="21"/>
      <c r="E238" s="21"/>
      <c r="F238" s="21"/>
      <c r="G238" s="21"/>
      <c r="H238" s="21"/>
    </row>
    <row r="239" spans="1:8">
      <c r="A239" s="21" t="str">
        <f t="shared" si="5"/>
        <v xml:space="preserve">INSERT INTO CalendarioAcaoAgricola(variedade, nomeComum, DESIGNACAOTIPOACAOAGRICOLA, INTERVALOTEMPO) VALUES ('QUERINA', 'Macieira', 'Floração', 'Março a abril'); </v>
      </c>
      <c r="B239" s="21"/>
      <c r="C239" s="21"/>
      <c r="D239" s="21"/>
      <c r="E239" s="21"/>
      <c r="F239" s="21"/>
      <c r="G239" s="21"/>
      <c r="H239" s="21"/>
    </row>
    <row r="240" spans="1:8">
      <c r="A240" s="21" t="str">
        <f t="shared" si="5"/>
        <v xml:space="preserve">INSERT INTO CalendarioAcaoAgricola(variedade, nomeComum, DESIGNACAOTIPOACAOAGRICOLA, INTERVALOTEMPO) VALUES ('VISTA BELLA', 'Macieira', 'Floração', 'Março a abril'); </v>
      </c>
      <c r="B240" s="21"/>
      <c r="C240" s="21"/>
      <c r="D240" s="21"/>
      <c r="E240" s="21"/>
      <c r="F240" s="21"/>
      <c r="G240" s="21"/>
      <c r="H240" s="21"/>
    </row>
    <row r="241" spans="1:8">
      <c r="A241" s="21" t="str">
        <f t="shared" si="5"/>
        <v xml:space="preserve">INSERT INTO CalendarioAcaoAgricola(variedade, nomeComum, DESIGNACAOTIPOACAOAGRICOLA, INTERVALOTEMPO) VALUES ('GOLDEN SMOOTHEE', 'Macieira', 'Floração', 'Março a abril'); </v>
      </c>
      <c r="B241" s="21"/>
      <c r="C241" s="21"/>
      <c r="D241" s="21"/>
      <c r="E241" s="21"/>
      <c r="F241" s="21"/>
      <c r="G241" s="21"/>
      <c r="H241" s="21"/>
    </row>
    <row r="242" spans="1:8">
      <c r="A242" s="21" t="str">
        <f t="shared" si="5"/>
        <v xml:space="preserve">INSERT INTO CalendarioAcaoAgricola(variedade, nomeComum, DESIGNACAOTIPOACAOAGRICOLA, INTERVALOTEMPO) VALUES ('GOLDEN SUPREMA', 'Macieira', 'Floração', 'Março a abril'); </v>
      </c>
      <c r="B242" s="21"/>
      <c r="C242" s="21"/>
      <c r="D242" s="21"/>
      <c r="E242" s="21"/>
      <c r="F242" s="21"/>
      <c r="G242" s="21"/>
      <c r="H242" s="21"/>
    </row>
    <row r="243" spans="1:8">
      <c r="A243" s="21" t="str">
        <f t="shared" si="5"/>
        <v xml:space="preserve">INSERT INTO CalendarioAcaoAgricola(variedade, nomeComum, DESIGNACAOTIPOACAOAGRICOLA, INTERVALOTEMPO) VALUES ('GLOSTER 69', 'Macieira', 'Floração', 'Março a abril'); </v>
      </c>
      <c r="B243" s="21"/>
      <c r="C243" s="21"/>
      <c r="D243" s="21"/>
      <c r="E243" s="21"/>
      <c r="F243" s="21"/>
      <c r="G243" s="21"/>
      <c r="H243" s="21"/>
    </row>
    <row r="244" spans="1:8">
      <c r="A244" s="21" t="str">
        <f t="shared" si="5"/>
        <v xml:space="preserve">INSERT INTO CalendarioAcaoAgricola(variedade, nomeComum, DESIGNACAOTIPOACAOAGRICOLA, INTERVALOTEMPO) VALUES ('FREEDOM', 'Macieira', 'Floração', 'Março a abril'); </v>
      </c>
      <c r="B244" s="21"/>
      <c r="C244" s="21"/>
      <c r="D244" s="21"/>
      <c r="E244" s="21"/>
      <c r="F244" s="21"/>
      <c r="G244" s="21"/>
      <c r="H244" s="21"/>
    </row>
    <row r="245" spans="1:8">
      <c r="A245" s="21" t="str">
        <f xml:space="preserve"> "INSERT INTO " &amp;$C$100&amp; "(variedade, nomeComum, DESIGNACAOTIPOACAOAGRICOLA, INTERVALOTEMPO) VALUES ('" &amp;UPPER(C95)&amp; "', '" &amp;B95&amp; "', '" &amp;$G$1&amp; "', " &amp;IF(ISBLANK(G95), "NULL", "'" &amp;G95&amp; "'")&amp; "); "</f>
        <v xml:space="preserve">INSERT INTO CalendarioAcaoAgricola(variedade, nomeComum, DESIGNACAOTIPOACAOAGRICOLA, INTERVALOTEMPO) VALUES ('DONA MARIA', 'Videira', 'Floração', 'Maio'); </v>
      </c>
      <c r="B245" s="21"/>
      <c r="C245" s="21"/>
      <c r="D245" s="21"/>
      <c r="E245" s="21"/>
      <c r="F245" s="21"/>
      <c r="G245" s="21"/>
      <c r="H245" s="21"/>
    </row>
    <row r="246" spans="1:8">
      <c r="A246" s="21" t="str">
        <f xml:space="preserve"> "INSERT INTO " &amp;$C$100&amp; "(variedade, nomeComum, DESIGNACAOTIPOACAOAGRICOLA, INTERVALOTEMPO) VALUES ('" &amp;UPPER(C96)&amp; "', '" &amp;B96&amp; "', '" &amp;$G$1&amp; "', " &amp;IF(ISBLANK(G96), "NULL", "'" &amp;G96&amp; "'")&amp; "); "</f>
        <v xml:space="preserve">INSERT INTO CalendarioAcaoAgricola(variedade, nomeComum, DESIGNACAOTIPOACAOAGRICOLA, INTERVALOTEMPO) VALUES ('CARDINAL', 'Videira', 'Floração', 'Maio'); </v>
      </c>
      <c r="B246" s="21"/>
      <c r="C246" s="21"/>
      <c r="D246" s="21"/>
      <c r="E246" s="21"/>
      <c r="F246" s="21"/>
      <c r="G246" s="21"/>
      <c r="H246" s="21"/>
    </row>
    <row r="247" spans="1:8">
      <c r="A247" s="110"/>
      <c r="B247" s="110"/>
      <c r="C247" s="110"/>
      <c r="D247" s="110"/>
      <c r="E247" s="110"/>
      <c r="F247" s="110"/>
      <c r="G247" s="110"/>
      <c r="H247" s="110"/>
    </row>
    <row r="248" spans="1:8">
      <c r="A248" s="21" t="str">
        <f t="shared" ref="A248:A291" si="6" xml:space="preserve"> "INSERT INTO " &amp;$C$100&amp; "(variedade, nomeComum, DESIGNACAOTIPOACAOAGRICOLA, INTERVALOTEMPO) VALUES ('" &amp;UPPER(C2)&amp; "', '" &amp;B2&amp; "', '" &amp;$H$1&amp; "', " &amp;IF(ISBLANK(H2), "NULL", "'" &amp;H2&amp; "'")&amp; "); "</f>
        <v xml:space="preserve">INSERT INTO CalendarioAcaoAgricola(variedade, nomeComum, DESIGNACAOTIPOACAOAGRICOLA, INTERVALOTEMPO) VALUES ('RAINHA CLAUDIA CARANGUEJEIRA', 'Ameixoeira', 'Colheita', 'Julho a agosto'); </v>
      </c>
      <c r="B248" s="21"/>
      <c r="C248" s="21"/>
      <c r="D248" s="21"/>
      <c r="E248" s="21"/>
      <c r="F248" s="21"/>
      <c r="G248" s="21"/>
      <c r="H248" s="21"/>
    </row>
    <row r="249" spans="1:8">
      <c r="A249" s="21" t="str">
        <f t="shared" si="6"/>
        <v xml:space="preserve">INSERT INTO CalendarioAcaoAgricola(variedade, nomeComum, DESIGNACAOTIPOACAOAGRICOLA, INTERVALOTEMPO) VALUES ('PRESIDENT', 'Ameixoeira', 'Colheita', 'Julho a agosto'); </v>
      </c>
      <c r="B249" s="21"/>
      <c r="C249" s="21"/>
      <c r="D249" s="21"/>
      <c r="E249" s="21"/>
      <c r="F249" s="21"/>
      <c r="G249" s="21"/>
      <c r="H249" s="21"/>
    </row>
    <row r="250" spans="1:8">
      <c r="A250" s="21" t="str">
        <f t="shared" si="6"/>
        <v xml:space="preserve">INSERT INTO CalendarioAcaoAgricola(variedade, nomeComum, DESIGNACAOTIPOACAOAGRICOLA, INTERVALOTEMPO) VALUES ('STANLEY', 'Ameixoeira', 'Colheita', 'Julho a agosto'); </v>
      </c>
      <c r="B250" s="21"/>
      <c r="C250" s="21"/>
      <c r="D250" s="21"/>
      <c r="E250" s="21"/>
      <c r="F250" s="21"/>
      <c r="G250" s="21"/>
      <c r="H250" s="21"/>
    </row>
    <row r="251" spans="1:8">
      <c r="A251" s="21" t="str">
        <f t="shared" si="6"/>
        <v xml:space="preserve">INSERT INTO CalendarioAcaoAgricola(variedade, nomeComum, DESIGNACAOTIPOACAOAGRICOLA, INTERVALOTEMPO) VALUES ('ANGELENO', 'Ameixoeira', 'Colheita', 'Julho a agosto'); </v>
      </c>
      <c r="B251" s="21"/>
      <c r="C251" s="21"/>
      <c r="D251" s="21"/>
      <c r="E251" s="21"/>
      <c r="F251" s="21"/>
      <c r="G251" s="21"/>
      <c r="H251" s="21"/>
    </row>
    <row r="252" spans="1:8">
      <c r="A252" s="21" t="str">
        <f t="shared" si="6"/>
        <v xml:space="preserve">INSERT INTO CalendarioAcaoAgricola(variedade, nomeComum, DESIGNACAOTIPOACAOAGRICOLA, INTERVALOTEMPO) VALUES ('BLACK BEAUTY', 'Ameixoeira', 'Colheita', 'Julho a agosto'); </v>
      </c>
      <c r="B252" s="21"/>
      <c r="C252" s="21"/>
      <c r="D252" s="21"/>
      <c r="E252" s="21"/>
      <c r="F252" s="21"/>
      <c r="G252" s="21"/>
      <c r="H252" s="21"/>
    </row>
    <row r="253" spans="1:8">
      <c r="A253" s="21" t="str">
        <f t="shared" si="6"/>
        <v xml:space="preserve">INSERT INTO CalendarioAcaoAgricola(variedade, nomeComum, DESIGNACAOTIPOACAOAGRICOLA, INTERVALOTEMPO) VALUES ('BLACK STAR', 'Ameixoeira', 'Colheita', 'Julho a agosto'); </v>
      </c>
      <c r="B253" s="21"/>
      <c r="C253" s="21"/>
      <c r="D253" s="21"/>
      <c r="E253" s="21"/>
      <c r="F253" s="21"/>
      <c r="G253" s="21"/>
      <c r="H253" s="21"/>
    </row>
    <row r="254" spans="1:8">
      <c r="A254" s="21" t="str">
        <f t="shared" si="6"/>
        <v xml:space="preserve">INSERT INTO CalendarioAcaoAgricola(variedade, nomeComum, DESIGNACAOTIPOACAOAGRICOLA, INTERVALOTEMPO) VALUES ('BLACK GOLD', 'Ameixoeira', 'Colheita', 'Julho a agosto'); </v>
      </c>
      <c r="B254" s="21"/>
      <c r="C254" s="21"/>
      <c r="D254" s="21"/>
      <c r="E254" s="21"/>
      <c r="F254" s="21"/>
      <c r="G254" s="21"/>
      <c r="H254" s="21"/>
    </row>
    <row r="255" spans="1:8">
      <c r="A255" s="21" t="str">
        <f t="shared" si="6"/>
        <v xml:space="preserve">INSERT INTO CalendarioAcaoAgricola(variedade, nomeComum, DESIGNACAOTIPOACAOAGRICOLA, INTERVALOTEMPO) VALUES ('BLACK DIAMOND', 'Ameixoeira', 'Colheita', 'Julho a agosto'); </v>
      </c>
      <c r="B255" s="21"/>
      <c r="C255" s="21"/>
      <c r="D255" s="21"/>
      <c r="E255" s="21"/>
      <c r="F255" s="21"/>
      <c r="G255" s="21"/>
      <c r="H255" s="21"/>
    </row>
    <row r="256" spans="1:8">
      <c r="A256" s="21" t="str">
        <f t="shared" si="6"/>
        <v xml:space="preserve">INSERT INTO CalendarioAcaoAgricola(variedade, nomeComum, DESIGNACAOTIPOACAOAGRICOLA, INTERVALOTEMPO) VALUES ('BLACK AMBER', 'Ameixoeira', 'Colheita', 'Julho a agosto'); </v>
      </c>
      <c r="B256" s="21"/>
      <c r="C256" s="21"/>
      <c r="D256" s="21"/>
      <c r="E256" s="21"/>
      <c r="F256" s="21"/>
      <c r="G256" s="21"/>
      <c r="H256" s="21"/>
    </row>
    <row r="257" spans="1:8">
      <c r="A257" s="21" t="str">
        <f t="shared" si="6"/>
        <v xml:space="preserve">INSERT INTO CalendarioAcaoAgricola(variedade, nomeComum, DESIGNACAOTIPOACAOAGRICOLA, INTERVALOTEMPO) VALUES ('BLACK SPLENDOR', 'Ameixoeira', 'Colheita', 'Julho a agosto'); </v>
      </c>
      <c r="B257" s="21"/>
      <c r="C257" s="21"/>
      <c r="D257" s="21"/>
      <c r="E257" s="21"/>
      <c r="F257" s="21"/>
      <c r="G257" s="21"/>
      <c r="H257" s="21"/>
    </row>
    <row r="258" spans="1:8">
      <c r="A258" s="21" t="str">
        <f t="shared" si="6"/>
        <v xml:space="preserve">INSERT INTO CalendarioAcaoAgricola(variedade, nomeComum, DESIGNACAOTIPOACAOAGRICOLA, INTERVALOTEMPO) VALUES ('FORTUNA', 'Ameixoeira', 'Colheita', 'Julho a agosto'); </v>
      </c>
      <c r="B258" s="21"/>
      <c r="C258" s="21"/>
      <c r="D258" s="21"/>
      <c r="E258" s="21"/>
      <c r="F258" s="21"/>
      <c r="G258" s="21"/>
      <c r="H258" s="21"/>
    </row>
    <row r="259" spans="1:8">
      <c r="A259" s="21" t="str">
        <f t="shared" si="6"/>
        <v xml:space="preserve">INSERT INTO CalendarioAcaoAgricola(variedade, nomeComum, DESIGNACAOTIPOACAOAGRICOLA, INTERVALOTEMPO) VALUES ('FRIAR', 'Ameixoeira', 'Colheita', 'Julho a agosto'); </v>
      </c>
      <c r="B259" s="21"/>
      <c r="C259" s="21"/>
      <c r="D259" s="21"/>
      <c r="E259" s="21"/>
      <c r="F259" s="21"/>
      <c r="G259" s="21"/>
      <c r="H259" s="21"/>
    </row>
    <row r="260" spans="1:8">
      <c r="A260" s="21" t="str">
        <f t="shared" si="6"/>
        <v xml:space="preserve">INSERT INTO CalendarioAcaoAgricola(variedade, nomeComum, DESIGNACAOTIPOACAOAGRICOLA, INTERVALOTEMPO) VALUES ('EL DORADO', 'Ameixoeira', 'Colheita', 'Julho a agosto'); </v>
      </c>
      <c r="B260" s="21"/>
      <c r="C260" s="21"/>
      <c r="D260" s="21"/>
      <c r="E260" s="21"/>
      <c r="F260" s="21"/>
      <c r="G260" s="21"/>
      <c r="H260" s="21"/>
    </row>
    <row r="261" spans="1:8">
      <c r="A261" s="21" t="str">
        <f t="shared" si="6"/>
        <v xml:space="preserve">INSERT INTO CalendarioAcaoAgricola(variedade, nomeComum, DESIGNACAOTIPOACAOAGRICOLA, INTERVALOTEMPO) VALUES ('ELEPHANT HEART', 'Ameixoeira', 'Colheita', 'Julho a agosto'); </v>
      </c>
      <c r="B261" s="21"/>
      <c r="C261" s="21"/>
      <c r="D261" s="21"/>
      <c r="E261" s="21"/>
      <c r="F261" s="21"/>
      <c r="G261" s="21"/>
      <c r="H261" s="21"/>
    </row>
    <row r="262" spans="1:8">
      <c r="A262" s="21" t="str">
        <f t="shared" si="6"/>
        <v xml:space="preserve">INSERT INTO CalendarioAcaoAgricola(variedade, nomeComum, DESIGNACAOTIPOACAOAGRICOLA, INTERVALOTEMPO) VALUES ('GOLDEN JAPAN', 'Ameixoeira', 'Colheita', 'Julho a agosto'); </v>
      </c>
      <c r="B262" s="21"/>
      <c r="C262" s="21"/>
      <c r="D262" s="21"/>
      <c r="E262" s="21"/>
      <c r="F262" s="21"/>
      <c r="G262" s="21"/>
      <c r="H262" s="21"/>
    </row>
    <row r="263" spans="1:8">
      <c r="A263" s="21" t="str">
        <f t="shared" si="6"/>
        <v xml:space="preserve">INSERT INTO CalendarioAcaoAgricola(variedade, nomeComum, DESIGNACAOTIPOACAOAGRICOLA, INTERVALOTEMPO) VALUES ('HARRY PITCHON', 'Ameixoeira', 'Colheita', 'Julho a agosto'); </v>
      </c>
      <c r="B263" s="21"/>
      <c r="C263" s="21"/>
      <c r="D263" s="21"/>
      <c r="E263" s="21"/>
      <c r="F263" s="21"/>
      <c r="G263" s="21"/>
      <c r="H263" s="21"/>
    </row>
    <row r="264" spans="1:8">
      <c r="A264" s="21" t="str">
        <f t="shared" si="6"/>
        <v xml:space="preserve">INSERT INTO CalendarioAcaoAgricola(variedade, nomeComum, DESIGNACAOTIPOACAOAGRICOLA, INTERVALOTEMPO) VALUES ('LAETITIA', 'Ameixoeira', 'Colheita', 'Julho a agosto'); </v>
      </c>
      <c r="B264" s="21"/>
      <c r="C264" s="21"/>
      <c r="D264" s="21"/>
      <c r="E264" s="21"/>
      <c r="F264" s="21"/>
      <c r="G264" s="21"/>
      <c r="H264" s="21"/>
    </row>
    <row r="265" spans="1:8">
      <c r="A265" s="21" t="str">
        <f t="shared" si="6"/>
        <v xml:space="preserve">INSERT INTO CalendarioAcaoAgricola(variedade, nomeComum, DESIGNACAOTIPOACAOAGRICOLA, INTERVALOTEMPO) VALUES ('METLEY', 'Ameixoeira', 'Colheita', 'Julho a agosto'); </v>
      </c>
      <c r="B265" s="21"/>
      <c r="C265" s="21"/>
      <c r="D265" s="21"/>
      <c r="E265" s="21"/>
      <c r="F265" s="21"/>
      <c r="G265" s="21"/>
      <c r="H265" s="21"/>
    </row>
    <row r="266" spans="1:8">
      <c r="A266" s="21" t="str">
        <f t="shared" si="6"/>
        <v xml:space="preserve">INSERT INTO CalendarioAcaoAgricola(variedade, nomeComum, DESIGNACAOTIPOACAOAGRICOLA, INTERVALOTEMPO) VALUES ('MIRABELLE DE NANCY', 'Ameixoeira', 'Colheita', 'Julho a agosto'); </v>
      </c>
      <c r="B266" s="21"/>
      <c r="C266" s="21"/>
      <c r="D266" s="21"/>
      <c r="E266" s="21"/>
      <c r="F266" s="21"/>
      <c r="G266" s="21"/>
      <c r="H266" s="21"/>
    </row>
    <row r="267" spans="1:8">
      <c r="A267" s="21" t="str">
        <f t="shared" si="6"/>
        <v xml:space="preserve">INSERT INTO CalendarioAcaoAgricola(variedade, nomeComum, DESIGNACAOTIPOACAOAGRICOLA, INTERVALOTEMPO) VALUES ('QUEEN ROSE', 'Ameixoeira', 'Colheita', 'Julho a agosto'); </v>
      </c>
      <c r="B267" s="21"/>
      <c r="C267" s="21"/>
      <c r="D267" s="21"/>
      <c r="E267" s="21"/>
      <c r="F267" s="21"/>
      <c r="G267" s="21"/>
      <c r="H267" s="21"/>
    </row>
    <row r="268" spans="1:8">
      <c r="A268" s="21" t="str">
        <f t="shared" si="6"/>
        <v xml:space="preserve">INSERT INTO CalendarioAcaoAgricola(variedade, nomeComum, DESIGNACAOTIPOACAOAGRICOLA, INTERVALOTEMPO) VALUES ('RED BEAUT', 'Ameixoeira', 'Colheita', 'Julho a agosto'); </v>
      </c>
      <c r="B268" s="21"/>
      <c r="C268" s="21"/>
      <c r="D268" s="21"/>
      <c r="E268" s="21"/>
      <c r="F268" s="21"/>
      <c r="G268" s="21"/>
      <c r="H268" s="21"/>
    </row>
    <row r="269" spans="1:8">
      <c r="A269" s="21" t="str">
        <f t="shared" si="6"/>
        <v xml:space="preserve">INSERT INTO CalendarioAcaoAgricola(variedade, nomeComum, DESIGNACAOTIPOACAOAGRICOLA, INTERVALOTEMPO) VALUES ('SANTA ROSA', 'Ameixoeira', 'Colheita', 'Julho a agosto'); </v>
      </c>
      <c r="B269" s="21"/>
      <c r="C269" s="21"/>
      <c r="D269" s="21"/>
      <c r="E269" s="21"/>
      <c r="F269" s="21"/>
      <c r="G269" s="21"/>
      <c r="H269" s="21"/>
    </row>
    <row r="270" spans="1:8">
      <c r="A270" s="21" t="str">
        <f t="shared" si="6"/>
        <v xml:space="preserve">INSERT INTO CalendarioAcaoAgricola(variedade, nomeComum, DESIGNACAOTIPOACAOAGRICOLA, INTERVALOTEMPO) VALUES ('SHIRO', 'Ameixoeira', 'Colheita', 'Julho a agosto'); </v>
      </c>
      <c r="B270" s="21"/>
      <c r="C270" s="21"/>
      <c r="D270" s="21"/>
      <c r="E270" s="21"/>
      <c r="F270" s="21"/>
      <c r="G270" s="21"/>
      <c r="H270" s="21"/>
    </row>
    <row r="271" spans="1:8">
      <c r="A271" s="21" t="str">
        <f t="shared" si="6"/>
        <v xml:space="preserve">INSERT INTO CalendarioAcaoAgricola(variedade, nomeComum, DESIGNACAOTIPOACAOAGRICOLA, INTERVALOTEMPO) VALUES ('SUNGOLD', 'Ameixoeira', 'Colheita', 'Julho a agosto'); </v>
      </c>
      <c r="B271" s="21"/>
      <c r="C271" s="21"/>
      <c r="D271" s="21"/>
      <c r="E271" s="21"/>
      <c r="F271" s="21"/>
      <c r="G271" s="21"/>
      <c r="H271" s="21"/>
    </row>
    <row r="272" spans="1:8">
      <c r="A272" s="21" t="str">
        <f t="shared" si="6"/>
        <v xml:space="preserve">INSERT INTO CalendarioAcaoAgricola(variedade, nomeComum, DESIGNACAOTIPOACAOAGRICOLA, INTERVALOTEMPO) VALUES ('WILSON PERFECTION', 'Ameixoeira', 'Colheita', 'Julho a agosto'); </v>
      </c>
      <c r="B272" s="21"/>
      <c r="C272" s="21"/>
      <c r="D272" s="21"/>
      <c r="E272" s="21"/>
      <c r="F272" s="21"/>
      <c r="G272" s="21"/>
      <c r="H272" s="21"/>
    </row>
    <row r="273" spans="1:8">
      <c r="A273" s="21" t="str">
        <f t="shared" si="6"/>
        <v xml:space="preserve">INSERT INTO CalendarioAcaoAgricola(variedade, nomeComum, DESIGNACAOTIPOACAOAGRICOLA, INTERVALOTEMPO) VALUES ('AUTUMN GIANT', 'Ameixoeira', 'Colheita', 'Julho a agosto'); </v>
      </c>
      <c r="B273" s="21"/>
      <c r="C273" s="21"/>
      <c r="D273" s="21"/>
      <c r="E273" s="21"/>
      <c r="F273" s="21"/>
      <c r="G273" s="21"/>
      <c r="H273" s="21"/>
    </row>
    <row r="274" spans="1:8">
      <c r="A274" s="21" t="str">
        <f t="shared" si="6"/>
        <v xml:space="preserve">INSERT INTO CalendarioAcaoAgricola(variedade, nomeComum, DESIGNACAOTIPOACAOAGRICOLA, INTERVALOTEMPO) VALUES ('BULIDA', 'Damasqueiro', 'Colheita', 'Julho a agosto'); </v>
      </c>
      <c r="B274" s="21"/>
      <c r="C274" s="21"/>
      <c r="D274" s="21"/>
      <c r="E274" s="21"/>
      <c r="F274" s="21"/>
      <c r="G274" s="21"/>
      <c r="H274" s="21"/>
    </row>
    <row r="275" spans="1:8">
      <c r="A275" s="21" t="str">
        <f t="shared" si="6"/>
        <v xml:space="preserve">INSERT INTO CalendarioAcaoAgricola(variedade, nomeComum, DESIGNACAOTIPOACAOAGRICOLA, INTERVALOTEMPO) VALUES ('CANINO', 'Damasqueiro', 'Colheita', 'Julho a agosto'); </v>
      </c>
      <c r="B275" s="21"/>
      <c r="C275" s="21"/>
      <c r="D275" s="21"/>
      <c r="E275" s="21"/>
      <c r="F275" s="21"/>
      <c r="G275" s="21"/>
      <c r="H275" s="21"/>
    </row>
    <row r="276" spans="1:8">
      <c r="A276" s="21" t="str">
        <f t="shared" si="6"/>
        <v xml:space="preserve">INSERT INTO CalendarioAcaoAgricola(variedade, nomeComum, DESIGNACAOTIPOACAOAGRICOLA, INTERVALOTEMPO) VALUES ('LIABAUD', 'Damasqueiro', 'Colheita', 'Julho a agosto'); </v>
      </c>
      <c r="B276" s="21"/>
      <c r="C276" s="21"/>
      <c r="D276" s="21"/>
      <c r="E276" s="21"/>
      <c r="F276" s="21"/>
      <c r="G276" s="21"/>
      <c r="H276" s="21"/>
    </row>
    <row r="277" spans="1:8">
      <c r="A277" s="21" t="str">
        <f t="shared" si="6"/>
        <v xml:space="preserve">INSERT INTO CalendarioAcaoAgricola(variedade, nomeComum, DESIGNACAOTIPOACAOAGRICOLA, INTERVALOTEMPO) VALUES ('MAILLOT JAUNE', 'Damasqueiro', 'Colheita', 'Julho a agosto'); </v>
      </c>
      <c r="B277" s="21"/>
      <c r="C277" s="21"/>
      <c r="D277" s="21"/>
      <c r="E277" s="21"/>
      <c r="F277" s="21"/>
      <c r="G277" s="21"/>
      <c r="H277" s="21"/>
    </row>
    <row r="278" spans="1:8">
      <c r="A278" s="21" t="str">
        <f t="shared" si="6"/>
        <v xml:space="preserve">INSERT INTO CalendarioAcaoAgricola(variedade, nomeComum, DESIGNACAOTIPOACAOAGRICOLA, INTERVALOTEMPO) VALUES ('POLONAIS', 'Damasqueiro', 'Colheita', 'Julho a agosto'); </v>
      </c>
      <c r="B278" s="21"/>
      <c r="C278" s="21"/>
      <c r="D278" s="21"/>
      <c r="E278" s="21"/>
      <c r="F278" s="21"/>
      <c r="G278" s="21"/>
      <c r="H278" s="21"/>
    </row>
    <row r="279" spans="1:8">
      <c r="A279" s="21" t="str">
        <f t="shared" si="6"/>
        <v xml:space="preserve">INSERT INTO CalendarioAcaoAgricola(variedade, nomeComum, DESIGNACAOTIPOACAOAGRICOLA, INTERVALOTEMPO) VALUES ('AKANE', 'Macieira', 'Colheita', 'Agosto a setembro'); </v>
      </c>
      <c r="B279" s="21"/>
      <c r="C279" s="21"/>
      <c r="D279" s="21"/>
      <c r="E279" s="21"/>
      <c r="F279" s="21"/>
      <c r="G279" s="21"/>
      <c r="H279" s="21"/>
    </row>
    <row r="280" spans="1:8">
      <c r="A280" s="21" t="str">
        <f t="shared" si="6"/>
        <v xml:space="preserve">INSERT INTO CalendarioAcaoAgricola(variedade, nomeComum, DESIGNACAOTIPOACAOAGRICOLA, INTERVALOTEMPO) VALUES ('BELGOLDEN', 'Macieira', 'Colheita', 'Agosto a setembro'); </v>
      </c>
      <c r="B280" s="21"/>
      <c r="C280" s="21"/>
      <c r="D280" s="21"/>
      <c r="E280" s="21"/>
      <c r="F280" s="21"/>
      <c r="G280" s="21"/>
      <c r="H280" s="21"/>
    </row>
    <row r="281" spans="1:8">
      <c r="A281" s="21" t="str">
        <f t="shared" si="6"/>
        <v xml:space="preserve">INSERT INTO CalendarioAcaoAgricola(variedade, nomeComum, DESIGNACAOTIPOACAOAGRICOLA, INTERVALOTEMPO) VALUES ('BRAVO DE ESMOLFE', 'Macieira', 'Colheita', 'Agosto a setembro'); </v>
      </c>
      <c r="B281" s="21"/>
      <c r="C281" s="21"/>
      <c r="D281" s="21"/>
      <c r="E281" s="21"/>
      <c r="F281" s="21"/>
      <c r="G281" s="21"/>
      <c r="H281" s="21"/>
    </row>
    <row r="282" spans="1:8">
      <c r="A282" s="21" t="str">
        <f t="shared" si="6"/>
        <v xml:space="preserve">INSERT INTO CalendarioAcaoAgricola(variedade, nomeComum, DESIGNACAOTIPOACAOAGRICOLA, INTERVALOTEMPO) VALUES ('CASA NOVA DE ALCOBAÇA', 'Macieira', 'Colheita', 'Agosto a setembro'); </v>
      </c>
      <c r="B282" s="21"/>
      <c r="C282" s="21"/>
      <c r="D282" s="21"/>
      <c r="E282" s="21"/>
      <c r="F282" s="21"/>
      <c r="G282" s="21"/>
      <c r="H282" s="21"/>
    </row>
    <row r="283" spans="1:8">
      <c r="A283" s="21" t="str">
        <f t="shared" si="6"/>
        <v xml:space="preserve">INSERT INTO CalendarioAcaoAgricola(variedade, nomeComum, DESIGNACAOTIPOACAOAGRICOLA, INTERVALOTEMPO) VALUES ('EROVAN', 'Macieira', 'Colheita', 'Agosto a setembro'); </v>
      </c>
      <c r="B283" s="21"/>
      <c r="C283" s="21"/>
      <c r="D283" s="21"/>
      <c r="E283" s="21"/>
      <c r="F283" s="21"/>
      <c r="G283" s="21"/>
      <c r="H283" s="21"/>
    </row>
    <row r="284" spans="1:8">
      <c r="A284" s="21" t="str">
        <f t="shared" si="6"/>
        <v xml:space="preserve">INSERT INTO CalendarioAcaoAgricola(variedade, nomeComum, DESIGNACAOTIPOACAOAGRICOLA, INTERVALOTEMPO) VALUES ('FUJI', 'Macieira', 'Colheita', 'Agosto a setembro'); </v>
      </c>
      <c r="B284" s="21"/>
      <c r="C284" s="21"/>
      <c r="D284" s="21"/>
      <c r="E284" s="21"/>
      <c r="F284" s="21"/>
      <c r="G284" s="21"/>
      <c r="H284" s="21"/>
    </row>
    <row r="285" spans="1:8">
      <c r="A285" s="21" t="str">
        <f t="shared" si="6"/>
        <v xml:space="preserve">INSERT INTO CalendarioAcaoAgricola(variedade, nomeComum, DESIGNACAOTIPOACAOAGRICOLA, INTERVALOTEMPO) VALUES ('GRANNY SMITH', 'Macieira', 'Colheita', 'Agosto a setembro'); </v>
      </c>
      <c r="B285" s="21"/>
      <c r="C285" s="21"/>
      <c r="D285" s="21"/>
      <c r="E285" s="21"/>
      <c r="F285" s="21"/>
      <c r="G285" s="21"/>
      <c r="H285" s="21"/>
    </row>
    <row r="286" spans="1:8">
      <c r="A286" s="21" t="str">
        <f t="shared" si="6"/>
        <v xml:space="preserve">INSERT INTO CalendarioAcaoAgricola(variedade, nomeComum, DESIGNACAOTIPOACAOAGRICOLA, INTERVALOTEMPO) VALUES ('GOLDEN DELICIOUS', 'Macieira', 'Colheita', 'Agosto a setembro'); </v>
      </c>
      <c r="B286" s="21"/>
      <c r="C286" s="21"/>
      <c r="D286" s="21"/>
      <c r="E286" s="21"/>
      <c r="F286" s="21"/>
      <c r="G286" s="21"/>
      <c r="H286" s="21"/>
    </row>
    <row r="287" spans="1:8">
      <c r="A287" s="21" t="str">
        <f t="shared" si="6"/>
        <v xml:space="preserve">INSERT INTO CalendarioAcaoAgricola(variedade, nomeComum, DESIGNACAOTIPOACAOAGRICOLA, INTERVALOTEMPO) VALUES ('HI-EARLY', 'Macieira', 'Colheita', 'Agosto a setembro'); </v>
      </c>
      <c r="B287" s="21"/>
      <c r="C287" s="21"/>
      <c r="D287" s="21"/>
      <c r="E287" s="21"/>
      <c r="F287" s="21"/>
      <c r="G287" s="21"/>
      <c r="H287" s="21"/>
    </row>
    <row r="288" spans="1:8">
      <c r="A288" s="21" t="str">
        <f t="shared" si="6"/>
        <v xml:space="preserve">INSERT INTO CalendarioAcaoAgricola(variedade, nomeComum, DESIGNACAOTIPOACAOAGRICOLA, INTERVALOTEMPO) VALUES ('JONAGORED', 'Macieira', 'Colheita', 'Agosto a setembro'); </v>
      </c>
      <c r="B288" s="21"/>
      <c r="C288" s="21"/>
      <c r="D288" s="21"/>
      <c r="E288" s="21"/>
      <c r="F288" s="21"/>
      <c r="G288" s="21"/>
      <c r="H288" s="21"/>
    </row>
    <row r="289" spans="1:8">
      <c r="A289" s="21" t="str">
        <f t="shared" si="6"/>
        <v xml:space="preserve">INSERT INTO CalendarioAcaoAgricola(variedade, nomeComum, DESIGNACAOTIPOACAOAGRICOLA, INTERVALOTEMPO) VALUES ('LYSGOLDEN', 'Macieira', 'Colheita', 'Agosto a setembro'); </v>
      </c>
      <c r="B289" s="21"/>
      <c r="C289" s="21"/>
      <c r="D289" s="21"/>
      <c r="E289" s="21"/>
      <c r="F289" s="21"/>
      <c r="G289" s="21"/>
      <c r="H289" s="21"/>
    </row>
    <row r="290" spans="1:8">
      <c r="A290" s="21" t="str">
        <f t="shared" si="6"/>
        <v xml:space="preserve">INSERT INTO CalendarioAcaoAgricola(variedade, nomeComum, DESIGNACAOTIPOACAOAGRICOLA, INTERVALOTEMPO) VALUES ('MUTSU', 'Macieira', 'Colheita', 'Agosto a setembro'); </v>
      </c>
      <c r="B290" s="21"/>
      <c r="C290" s="21"/>
      <c r="D290" s="21"/>
      <c r="E290" s="21"/>
      <c r="F290" s="21"/>
      <c r="G290" s="21"/>
      <c r="H290" s="21"/>
    </row>
    <row r="291" spans="1:8">
      <c r="A291" s="21" t="str">
        <f t="shared" si="6"/>
        <v xml:space="preserve">INSERT INTO CalendarioAcaoAgricola(variedade, nomeComum, DESIGNACAOTIPOACAOAGRICOLA, INTERVALOTEMPO) VALUES ('PORTA DA LOJA', 'Macieira', 'Colheita', 'Novembro a dezembro'); </v>
      </c>
      <c r="B291" s="21"/>
      <c r="C291" s="21"/>
      <c r="D291" s="21"/>
      <c r="E291" s="21"/>
      <c r="F291" s="21"/>
      <c r="G291" s="21"/>
      <c r="H291" s="21"/>
    </row>
    <row r="292" spans="1:8">
      <c r="A292" s="21" t="str">
        <f xml:space="preserve"> "INSERT INTO " &amp;$C$100&amp; "(variedade, nomeComum, DESIGNACAOTIPOACAOAGRICOLA, INTERVALOTEMPO) VALUES ('" &amp;UPPER(_xlfn.TEXTAFTER(C46," OU "))&amp; "', '" &amp;B46&amp; "', '" &amp;$H$1&amp; "', " &amp;IF(ISBLANK(H46), "NULL", "'" &amp;H46&amp; "'")&amp; "); "</f>
        <v xml:space="preserve">INSERT INTO CalendarioAcaoAgricola(variedade, nomeComum, DESIGNACAOTIPOACAOAGRICOLA, INTERVALOTEMPO) VALUES ('CANADA', 'Macieira', 'Colheita', 'Agosto a setembro'); </v>
      </c>
      <c r="B292" s="21"/>
      <c r="C292" s="21"/>
      <c r="D292" s="21"/>
      <c r="E292" s="21"/>
      <c r="F292" s="21"/>
      <c r="G292" s="111"/>
      <c r="H292" s="21"/>
    </row>
    <row r="293" spans="1:8">
      <c r="A293" s="21" t="str">
        <f xml:space="preserve"> "INSERT INTO " &amp;$C$100&amp; "(variedade, nomeComum, DESIGNACAOTIPOACAOAGRICOLA, INTERVALOTEMPO) VALUES ('" &amp;UPPER(_xlfn.TEXTAFTER(C47," OU "))&amp; "', '" &amp;B47&amp; "', '" &amp;$H$1&amp; "', " &amp;IF(ISBLANK(H47), "NULL", "'" &amp;H47&amp; "'")&amp; "); "</f>
        <v xml:space="preserve">INSERT INTO CalendarioAcaoAgricola(variedade, nomeComum, DESIGNACAOTIPOACAOAGRICOLA, INTERVALOTEMPO) VALUES ('GRAND FAY', 'Macieira', 'Colheita', 'Agosto a setembro'); </v>
      </c>
      <c r="B293" s="21"/>
      <c r="C293" s="21"/>
      <c r="D293" s="21"/>
      <c r="E293" s="21"/>
      <c r="F293" s="21"/>
      <c r="G293" s="111"/>
      <c r="H293" s="21"/>
    </row>
    <row r="294" spans="1:8">
      <c r="A294" s="21" t="str">
        <f t="shared" ref="A294:A315" si="7" xml:space="preserve"> "INSERT INTO " &amp;$C$100&amp; "(variedade, nomeComum, DESIGNACAOTIPOACAOAGRICOLA, INTERVALOTEMPO) VALUES ('" &amp;UPPER(C48)&amp; "', '" &amp;B48&amp; "', '" &amp;$H$1&amp; "', " &amp;IF(ISBLANK(H48), "NULL", "'" &amp;H48&amp; "'")&amp; "); "</f>
        <v xml:space="preserve">INSERT INTO CalendarioAcaoAgricola(variedade, nomeComum, DESIGNACAOTIPOACAOAGRICOLA, INTERVALOTEMPO) VALUES ('RISCADINHA DE PALMELA', 'Macieira', 'Colheita', 'Agosto a setembro'); </v>
      </c>
      <c r="B294" s="21"/>
      <c r="C294" s="21"/>
      <c r="D294" s="21"/>
      <c r="E294" s="21"/>
      <c r="F294" s="21"/>
      <c r="G294" s="21"/>
      <c r="H294" s="21"/>
    </row>
    <row r="295" spans="1:8">
      <c r="A295" s="21" t="str">
        <f t="shared" si="7"/>
        <v xml:space="preserve">INSERT INTO CalendarioAcaoAgricola(variedade, nomeComum, DESIGNACAOTIPOACAOAGRICOLA, INTERVALOTEMPO) VALUES ('ROYAL GALA', 'Macieira', 'Colheita', 'Agosto a setembro'); </v>
      </c>
      <c r="B295" s="21"/>
      <c r="C295" s="21"/>
      <c r="D295" s="21"/>
      <c r="E295" s="21"/>
      <c r="F295" s="21"/>
      <c r="G295" s="21"/>
      <c r="H295" s="21"/>
    </row>
    <row r="296" spans="1:8">
      <c r="A296" s="21" t="str">
        <f t="shared" si="7"/>
        <v xml:space="preserve">INSERT INTO CalendarioAcaoAgricola(variedade, nomeComum, DESIGNACAOTIPOACAOAGRICOLA, INTERVALOTEMPO) VALUES ('REDCHIEF', 'Macieira', 'Colheita', 'Agosto a setembro'); </v>
      </c>
      <c r="B296" s="21"/>
      <c r="C296" s="21"/>
      <c r="D296" s="21"/>
      <c r="E296" s="21"/>
      <c r="F296" s="21"/>
      <c r="G296" s="21"/>
      <c r="H296" s="21"/>
    </row>
    <row r="297" spans="1:8">
      <c r="A297" s="21" t="str">
        <f t="shared" si="7"/>
        <v xml:space="preserve">INSERT INTO CalendarioAcaoAgricola(variedade, nomeComum, DESIGNACAOTIPOACAOAGRICOLA, INTERVALOTEMPO) VALUES ('STARKING', 'Macieira', 'Colheita', 'Agosto a setembro'); </v>
      </c>
      <c r="B297" s="21"/>
      <c r="C297" s="21"/>
      <c r="D297" s="21"/>
      <c r="E297" s="21"/>
      <c r="F297" s="21"/>
      <c r="G297" s="21"/>
      <c r="H297" s="21"/>
    </row>
    <row r="298" spans="1:8">
      <c r="A298" s="21" t="str">
        <f t="shared" si="7"/>
        <v xml:space="preserve">INSERT INTO CalendarioAcaoAgricola(variedade, nomeComum, DESIGNACAOTIPOACAOAGRICOLA, INTERVALOTEMPO) VALUES ('SUMMER RED', 'Macieira', 'Colheita', 'Agosto a setembro'); </v>
      </c>
      <c r="B298" s="21"/>
      <c r="C298" s="21"/>
      <c r="D298" s="21"/>
      <c r="E298" s="21"/>
      <c r="F298" s="21"/>
      <c r="G298" s="21"/>
      <c r="H298" s="21"/>
    </row>
    <row r="299" spans="1:8">
      <c r="A299" s="21" t="str">
        <f t="shared" si="7"/>
        <v xml:space="preserve">INSERT INTO CalendarioAcaoAgricola(variedade, nomeComum, DESIGNACAOTIPOACAOAGRICOLA, INTERVALOTEMPO) VALUES ('WELLSPUR DELICIOUS', 'Macieira', 'Colheita', 'Agosto a setembro'); </v>
      </c>
      <c r="B299" s="21"/>
      <c r="C299" s="21"/>
      <c r="D299" s="21"/>
      <c r="E299" s="21"/>
      <c r="F299" s="21"/>
      <c r="G299" s="21"/>
      <c r="H299" s="21"/>
    </row>
    <row r="300" spans="1:8">
      <c r="A300" s="21" t="str">
        <f t="shared" si="7"/>
        <v xml:space="preserve">INSERT INTO CalendarioAcaoAgricola(variedade, nomeComum, DESIGNACAOTIPOACAOAGRICOLA, INTERVALOTEMPO) VALUES ('NOIVA', 'Macieira', 'Colheita', 'Agosto a setembro'); </v>
      </c>
      <c r="B300" s="21"/>
      <c r="C300" s="21"/>
      <c r="D300" s="21"/>
      <c r="E300" s="21"/>
      <c r="F300" s="21"/>
      <c r="G300" s="21"/>
      <c r="H300" s="21"/>
    </row>
    <row r="301" spans="1:8">
      <c r="A301" s="21" t="str">
        <f t="shared" si="7"/>
        <v xml:space="preserve">INSERT INTO CalendarioAcaoAgricola(variedade, nomeComum, DESIGNACAOTIPOACAOAGRICOLA, INTERVALOTEMPO) VALUES ('OLHO ABERTO', 'Macieira', 'Colheita', 'Agosto a setembro'); </v>
      </c>
      <c r="B301" s="21"/>
      <c r="C301" s="21"/>
      <c r="D301" s="21"/>
      <c r="E301" s="21"/>
      <c r="F301" s="21"/>
      <c r="G301" s="21"/>
      <c r="H301" s="21"/>
    </row>
    <row r="302" spans="1:8">
      <c r="A302" s="21" t="str">
        <f t="shared" si="7"/>
        <v xml:space="preserve">INSERT INTO CalendarioAcaoAgricola(variedade, nomeComum, DESIGNACAOTIPOACAOAGRICOLA, INTERVALOTEMPO) VALUES ('CAMOESA ROSA', 'Macieira', 'Colheita', 'Agosto a setembro'); </v>
      </c>
      <c r="B302" s="21"/>
      <c r="C302" s="21"/>
      <c r="D302" s="21"/>
      <c r="E302" s="21"/>
      <c r="F302" s="21"/>
      <c r="G302" s="21"/>
      <c r="H302" s="21"/>
    </row>
    <row r="303" spans="1:8">
      <c r="A303" s="21" t="str">
        <f t="shared" si="7"/>
        <v xml:space="preserve">INSERT INTO CalendarioAcaoAgricola(variedade, nomeComum, DESIGNACAOTIPOACAOAGRICOLA, INTERVALOTEMPO) VALUES ('MALÁPIO', 'Macieira', 'Colheita', 'Agosto a setembro'); </v>
      </c>
      <c r="B303" s="21"/>
      <c r="C303" s="21"/>
      <c r="D303" s="21"/>
      <c r="E303" s="21"/>
      <c r="F303" s="21"/>
      <c r="G303" s="21"/>
      <c r="H303" s="21"/>
    </row>
    <row r="304" spans="1:8">
      <c r="A304" s="21" t="str">
        <f t="shared" si="7"/>
        <v xml:space="preserve">INSERT INTO CalendarioAcaoAgricola(variedade, nomeComum, DESIGNACAOTIPOACAOAGRICOLA, INTERVALOTEMPO) VALUES ('GRONHO DOCE', 'Macieira', 'Colheita', 'Agosto a setembro'); </v>
      </c>
      <c r="B304" s="21"/>
      <c r="C304" s="21"/>
      <c r="D304" s="21"/>
      <c r="E304" s="21"/>
      <c r="F304" s="21"/>
      <c r="G304" s="21"/>
      <c r="H304" s="21"/>
    </row>
    <row r="305" spans="1:8">
      <c r="A305" s="21" t="str">
        <f t="shared" si="7"/>
        <v xml:space="preserve">INSERT INTO CalendarioAcaoAgricola(variedade, nomeComum, DESIGNACAOTIPOACAOAGRICOLA, INTERVALOTEMPO) VALUES ('PÉ DE BOI ', 'Macieira', 'Colheita', 'Agosto a setembro'); </v>
      </c>
      <c r="B305" s="21"/>
      <c r="C305" s="21"/>
      <c r="D305" s="21"/>
      <c r="E305" s="21"/>
      <c r="F305" s="21"/>
      <c r="G305" s="21"/>
      <c r="H305" s="21"/>
    </row>
    <row r="306" spans="1:8">
      <c r="A306" s="21" t="str">
        <f t="shared" si="7"/>
        <v xml:space="preserve">INSERT INTO CalendarioAcaoAgricola(variedade, nomeComum, DESIGNACAOTIPOACAOAGRICOLA, INTERVALOTEMPO) VALUES ('PINOVA', 'Macieira', 'Colheita', 'Agosto a setembro'); </v>
      </c>
      <c r="B306" s="21"/>
      <c r="C306" s="21"/>
      <c r="D306" s="21"/>
      <c r="E306" s="21"/>
      <c r="F306" s="21"/>
      <c r="G306" s="21"/>
      <c r="H306" s="21"/>
    </row>
    <row r="307" spans="1:8">
      <c r="A307" s="21" t="str">
        <f t="shared" si="7"/>
        <v xml:space="preserve">INSERT INTO CalendarioAcaoAgricola(variedade, nomeComum, DESIGNACAOTIPOACAOAGRICOLA, INTERVALOTEMPO) VALUES ('PARDO LINDO', 'Macieira', 'Colheita', 'Agosto a setembro'); </v>
      </c>
      <c r="B307" s="21"/>
      <c r="C307" s="21"/>
      <c r="D307" s="21"/>
      <c r="E307" s="21"/>
      <c r="F307" s="21"/>
      <c r="G307" s="21"/>
      <c r="H307" s="21"/>
    </row>
    <row r="308" spans="1:8">
      <c r="A308" s="21" t="str">
        <f t="shared" si="7"/>
        <v xml:space="preserve">INSERT INTO CalendarioAcaoAgricola(variedade, nomeComum, DESIGNACAOTIPOACAOAGRICOLA, INTERVALOTEMPO) VALUES ('PIPO DE BASTO', 'Macieira', 'Colheita', 'Agosto a setembro'); </v>
      </c>
      <c r="B308" s="21"/>
      <c r="C308" s="21"/>
      <c r="D308" s="21"/>
      <c r="E308" s="21"/>
      <c r="F308" s="21"/>
      <c r="G308" s="21"/>
      <c r="H308" s="21"/>
    </row>
    <row r="309" spans="1:8">
      <c r="A309" s="21" t="str">
        <f t="shared" si="7"/>
        <v xml:space="preserve">INSERT INTO CalendarioAcaoAgricola(variedade, nomeComum, DESIGNACAOTIPOACAOAGRICOLA, INTERVALOTEMPO) VALUES ('PRIMA', 'Macieira', 'Colheita', 'Agosto a setembro'); </v>
      </c>
      <c r="B309" s="21"/>
      <c r="C309" s="21"/>
      <c r="D309" s="21"/>
      <c r="E309" s="21"/>
      <c r="F309" s="21"/>
      <c r="G309" s="21"/>
      <c r="H309" s="21"/>
    </row>
    <row r="310" spans="1:8">
      <c r="A310" s="21" t="str">
        <f t="shared" si="7"/>
        <v xml:space="preserve">INSERT INTO CalendarioAcaoAgricola(variedade, nomeComum, DESIGNACAOTIPOACAOAGRICOLA, INTERVALOTEMPO) VALUES ('QUERINA', 'Macieira', 'Colheita', 'Agosto a setembro'); </v>
      </c>
      <c r="B310" s="21"/>
      <c r="C310" s="21"/>
      <c r="D310" s="21"/>
      <c r="E310" s="21"/>
      <c r="F310" s="21"/>
      <c r="G310" s="21"/>
      <c r="H310" s="21"/>
    </row>
    <row r="311" spans="1:8">
      <c r="A311" s="21" t="str">
        <f t="shared" si="7"/>
        <v xml:space="preserve">INSERT INTO CalendarioAcaoAgricola(variedade, nomeComum, DESIGNACAOTIPOACAOAGRICOLA, INTERVALOTEMPO) VALUES ('VISTA BELLA', 'Macieira', 'Colheita', 'Agosto a setembro'); </v>
      </c>
      <c r="B311" s="21"/>
      <c r="C311" s="21"/>
      <c r="D311" s="21"/>
      <c r="E311" s="21"/>
      <c r="F311" s="21"/>
      <c r="G311" s="21"/>
      <c r="H311" s="21"/>
    </row>
    <row r="312" spans="1:8">
      <c r="A312" s="21" t="str">
        <f t="shared" si="7"/>
        <v xml:space="preserve">INSERT INTO CalendarioAcaoAgricola(variedade, nomeComum, DESIGNACAOTIPOACAOAGRICOLA, INTERVALOTEMPO) VALUES ('GOLDEN SMOOTHEE', 'Macieira', 'Colheita', 'Agosto a setembro'); </v>
      </c>
      <c r="B312" s="21"/>
      <c r="C312" s="21"/>
      <c r="D312" s="21"/>
      <c r="E312" s="21"/>
      <c r="F312" s="21"/>
      <c r="G312" s="21"/>
      <c r="H312" s="21"/>
    </row>
    <row r="313" spans="1:8">
      <c r="A313" s="21" t="str">
        <f t="shared" si="7"/>
        <v xml:space="preserve">INSERT INTO CalendarioAcaoAgricola(variedade, nomeComum, DESIGNACAOTIPOACAOAGRICOLA, INTERVALOTEMPO) VALUES ('GOLDEN SUPREMA', 'Macieira', 'Colheita', 'Agosto a setembro'); </v>
      </c>
      <c r="B313" s="21"/>
      <c r="C313" s="21"/>
      <c r="D313" s="21"/>
      <c r="E313" s="21"/>
      <c r="F313" s="21"/>
      <c r="G313" s="21"/>
      <c r="H313" s="21"/>
    </row>
    <row r="314" spans="1:8">
      <c r="A314" s="21" t="str">
        <f t="shared" si="7"/>
        <v xml:space="preserve">INSERT INTO CalendarioAcaoAgricola(variedade, nomeComum, DESIGNACAOTIPOACAOAGRICOLA, INTERVALOTEMPO) VALUES ('GLOSTER 69', 'Macieira', 'Colheita', 'Agosto a setembro'); </v>
      </c>
      <c r="B314" s="21"/>
      <c r="C314" s="21"/>
      <c r="D314" s="21"/>
      <c r="E314" s="21"/>
      <c r="F314" s="21"/>
      <c r="G314" s="21"/>
      <c r="H314" s="21"/>
    </row>
    <row r="315" spans="1:8">
      <c r="A315" s="21" t="str">
        <f t="shared" si="7"/>
        <v xml:space="preserve">INSERT INTO CalendarioAcaoAgricola(variedade, nomeComum, DESIGNACAOTIPOACAOAGRICOLA, INTERVALOTEMPO) VALUES ('FREEDOM', 'Macieira', 'Colheita', 'Agosto a setembro'); </v>
      </c>
      <c r="B315" s="21"/>
      <c r="C315" s="21"/>
      <c r="D315" s="21"/>
      <c r="E315" s="21"/>
      <c r="F315" s="21"/>
      <c r="G315" s="21"/>
      <c r="H315" s="21"/>
    </row>
    <row r="316" spans="1:8">
      <c r="A316" s="21" t="str">
        <f t="shared" ref="A316:A322" si="8" xml:space="preserve"> "INSERT INTO " &amp;$C$100&amp; "(variedade, nomeComum, DESIGNACAOTIPOACAOAGRICOLA, INTERVALOTEMPO) VALUES ('" &amp;UPPER(C74)&amp; "', '" &amp;B74&amp; "', '" &amp;$H$1&amp; "', " &amp;IF(ISBLANK(H74), "NULL", "'" &amp;H74&amp; "'")&amp; "); "</f>
        <v xml:space="preserve">INSERT INTO CalendarioAcaoAgricola(variedade, nomeComum, DESIGNACAOTIPOACAOAGRICOLA, INTERVALOTEMPO) VALUES ('CARSON HYBRID', 'Cenoura', 'Colheita', '80 dias'); </v>
      </c>
      <c r="B316" s="21"/>
      <c r="C316" s="21"/>
      <c r="D316" s="21"/>
      <c r="E316" s="21"/>
      <c r="F316" s="21"/>
      <c r="G316" s="21"/>
      <c r="H316" s="21"/>
    </row>
    <row r="317" spans="1:8">
      <c r="A317" s="21" t="str">
        <f t="shared" si="8"/>
        <v xml:space="preserve">INSERT INTO CalendarioAcaoAgricola(variedade, nomeComum, DESIGNACAOTIPOACAOAGRICOLA, INTERVALOTEMPO) VALUES ('RED CORED CHANTENAY', 'Cenoura', 'Colheita', '80 dias'); </v>
      </c>
      <c r="B317" s="21"/>
      <c r="C317" s="21"/>
      <c r="D317" s="21"/>
      <c r="E317" s="21"/>
      <c r="F317" s="21"/>
      <c r="G317" s="21"/>
      <c r="H317" s="21"/>
    </row>
    <row r="318" spans="1:8">
      <c r="A318" s="21" t="str">
        <f t="shared" si="8"/>
        <v xml:space="preserve">INSERT INTO CalendarioAcaoAgricola(variedade, nomeComum, DESIGNACAOTIPOACAOAGRICOLA, INTERVALOTEMPO) VALUES ('DANVERS HALF LONG', 'Cenoura', 'Colheita', '80 dias'); </v>
      </c>
      <c r="B318" s="21"/>
      <c r="C318" s="21"/>
      <c r="D318" s="21"/>
      <c r="E318" s="21"/>
      <c r="F318" s="21"/>
      <c r="G318" s="21"/>
      <c r="H318" s="21"/>
    </row>
    <row r="319" spans="1:8">
      <c r="A319" s="21" t="str">
        <f t="shared" si="8"/>
        <v xml:space="preserve">INSERT INTO CalendarioAcaoAgricola(variedade, nomeComum, DESIGNACAOTIPOACAOAGRICOLA, INTERVALOTEMPO) VALUES ('IMPERATOR 58', 'Cenoura', 'Colheita', '80 dias'); </v>
      </c>
      <c r="B319" s="21"/>
      <c r="C319" s="21"/>
      <c r="D319" s="21"/>
      <c r="E319" s="21"/>
      <c r="F319" s="21"/>
      <c r="G319" s="21"/>
      <c r="H319" s="21"/>
    </row>
    <row r="320" spans="1:8">
      <c r="A320" s="21" t="str">
        <f t="shared" si="8"/>
        <v xml:space="preserve">INSERT INTO CalendarioAcaoAgricola(variedade, nomeComum, DESIGNACAOTIPOACAOAGRICOLA, INTERVALOTEMPO) VALUES ('SUGARSNAX HYBRID', 'Cenoura', 'Colheita', '80 dias'); </v>
      </c>
      <c r="B320" s="21"/>
      <c r="C320" s="21"/>
      <c r="D320" s="21"/>
      <c r="E320" s="21"/>
      <c r="F320" s="21"/>
      <c r="G320" s="21"/>
      <c r="H320" s="21"/>
    </row>
    <row r="321" spans="1:8">
      <c r="A321" s="21" t="str">
        <f t="shared" si="8"/>
        <v xml:space="preserve">INSERT INTO CalendarioAcaoAgricola(variedade, nomeComum, DESIGNACAOTIPOACAOAGRICOLA, INTERVALOTEMPO) VALUES ('NELSON HYBRID', 'Cenoura', 'Colheita', '80 dias'); </v>
      </c>
      <c r="B321" s="21"/>
      <c r="C321" s="21"/>
      <c r="D321" s="21"/>
      <c r="E321" s="21"/>
      <c r="F321" s="21"/>
      <c r="G321" s="21"/>
      <c r="H321" s="21"/>
    </row>
    <row r="322" spans="1:8">
      <c r="A322" s="21" t="str">
        <f t="shared" si="8"/>
        <v xml:space="preserve">INSERT INTO CalendarioAcaoAgricola(variedade, nomeComum, DESIGNACAOTIPOACAOAGRICOLA, INTERVALOTEMPO) VALUES ('SCARLET NANTES', 'Cenoura', 'Colheita', '80 dias'); </v>
      </c>
      <c r="B322" s="21"/>
      <c r="C322" s="21"/>
      <c r="D322" s="21"/>
      <c r="E322" s="21"/>
      <c r="F322" s="21"/>
      <c r="G322" s="21"/>
      <c r="H322" s="21"/>
    </row>
    <row r="323" spans="1:8">
      <c r="A323" s="21" t="str">
        <f t="shared" ref="A323:A336" si="9" xml:space="preserve"> "INSERT INTO " &amp;$C$100&amp; "(variedade, nomeComum, DESIGNACAOTIPOACAOAGRICOLA, INTERVALOTEMPO) VALUES ('" &amp;UPPER(C83)&amp; "', '" &amp;B83&amp; "', '" &amp;$H$1&amp; "', " &amp;IF(ISBLANK(H83), "NULL", "'" &amp;H83&amp; "'")&amp; "); "</f>
        <v xml:space="preserve">INSERT INTO CalendarioAcaoAgricola(variedade, nomeComum, DESIGNACAOTIPOACAOAGRICOLA, INTERVALOTEMPO) VALUES ('MAS 24.C', 'Milho', 'Colheita', 'Julho a setembro'); </v>
      </c>
      <c r="B323" s="21"/>
      <c r="C323" s="21"/>
      <c r="D323" s="21"/>
      <c r="E323" s="21"/>
      <c r="F323" s="21"/>
      <c r="G323" s="21"/>
      <c r="H323" s="21"/>
    </row>
    <row r="324" spans="1:8">
      <c r="A324" s="21" t="str">
        <f t="shared" si="9"/>
        <v xml:space="preserve">INSERT INTO CalendarioAcaoAgricola(variedade, nomeComum, DESIGNACAOTIPOACAOAGRICOLA, INTERVALOTEMPO) VALUES ('DOCE GOLDEN BANTAM', 'Milho', 'Colheita', 'Julho a setembro'); </v>
      </c>
      <c r="B324" s="21"/>
      <c r="C324" s="21"/>
      <c r="D324" s="21"/>
      <c r="E324" s="21"/>
      <c r="F324" s="21"/>
      <c r="G324" s="21"/>
      <c r="H324" s="21"/>
    </row>
    <row r="325" spans="1:8">
      <c r="A325" s="21" t="str">
        <f t="shared" si="9"/>
        <v xml:space="preserve">INSERT INTO CalendarioAcaoAgricola(variedade, nomeComum, DESIGNACAOTIPOACAOAGRICOLA, INTERVALOTEMPO) VALUES ('SENHORA CONCEIÇÃO', 'Nabo greleiro', 'Colheita', 'Junho a fevereiro'); </v>
      </c>
      <c r="B325" s="21"/>
      <c r="C325" s="21"/>
      <c r="D325" s="21"/>
      <c r="E325" s="21"/>
      <c r="F325" s="21"/>
      <c r="G325" s="21"/>
      <c r="H325" s="21"/>
    </row>
    <row r="326" spans="1:8">
      <c r="A326" s="21" t="str">
        <f t="shared" si="9"/>
        <v xml:space="preserve">INSERT INTO CalendarioAcaoAgricola(variedade, nomeComum, DESIGNACAOTIPOACAOAGRICOLA, INTERVALOTEMPO) VALUES ('COBRANÇOSA', 'Oliveira', 'Colheita', 'Outubro a novembro'); </v>
      </c>
      <c r="B326" s="21"/>
      <c r="C326" s="21"/>
      <c r="D326" s="21"/>
      <c r="E326" s="21"/>
      <c r="F326" s="21"/>
      <c r="G326" s="21"/>
      <c r="H326" s="21"/>
    </row>
    <row r="327" spans="1:8">
      <c r="A327" s="21" t="str">
        <f t="shared" si="9"/>
        <v xml:space="preserve">INSERT INTO CalendarioAcaoAgricola(variedade, nomeComum, DESIGNACAOTIPOACAOAGRICOLA, INTERVALOTEMPO) VALUES ('ARBEQUINA', 'Oliveira', 'Colheita', 'Outubro a novembro'); </v>
      </c>
      <c r="B327" s="21"/>
      <c r="C327" s="21"/>
      <c r="D327" s="21"/>
      <c r="E327" s="21"/>
      <c r="F327" s="21"/>
      <c r="G327" s="21"/>
      <c r="H327" s="21"/>
    </row>
    <row r="328" spans="1:8">
      <c r="A328" s="21" t="str">
        <f t="shared" si="9"/>
        <v xml:space="preserve">INSERT INTO CalendarioAcaoAgricola(variedade, nomeComum, DESIGNACAOTIPOACAOAGRICOLA, INTERVALOTEMPO) VALUES ('HOJIBLANCA', 'Oliveira', 'Colheita', 'Outubro a novembro'); </v>
      </c>
      <c r="B328" s="21"/>
      <c r="C328" s="21"/>
      <c r="D328" s="21"/>
      <c r="E328" s="21"/>
      <c r="F328" s="21"/>
      <c r="G328" s="21"/>
      <c r="H328" s="21"/>
    </row>
    <row r="329" spans="1:8">
      <c r="A329" s="21" t="str">
        <f t="shared" si="9"/>
        <v xml:space="preserve">INSERT INTO CalendarioAcaoAgricola(variedade, nomeComum, DESIGNACAOTIPOACAOAGRICOLA, INTERVALOTEMPO) VALUES ('NEGRINHA DO FREIXO', 'Oliveira', 'Colheita', 'Outubro a novembro'); </v>
      </c>
      <c r="B329" s="21"/>
      <c r="C329" s="21"/>
      <c r="D329" s="21"/>
      <c r="E329" s="21"/>
      <c r="F329" s="21"/>
      <c r="G329" s="21"/>
      <c r="H329" s="21"/>
    </row>
    <row r="330" spans="1:8">
      <c r="A330" s="21" t="str">
        <f t="shared" si="9"/>
        <v xml:space="preserve">INSERT INTO CalendarioAcaoAgricola(variedade, nomeComum, DESIGNACAOTIPOACAOAGRICOLA, INTERVALOTEMPO) VALUES ('PICUAL', 'Oliveira', 'Colheita', 'Outubro a novembro'); </v>
      </c>
      <c r="B330" s="21"/>
      <c r="C330" s="21"/>
      <c r="D330" s="21"/>
      <c r="E330" s="21"/>
      <c r="F330" s="21"/>
      <c r="G330" s="21"/>
      <c r="H330" s="21"/>
    </row>
    <row r="331" spans="1:8">
      <c r="A331" s="21" t="str">
        <f t="shared" si="9"/>
        <v xml:space="preserve">INSERT INTO CalendarioAcaoAgricola(variedade, nomeComum, DESIGNACAOTIPOACAOAGRICOLA, INTERVALOTEMPO) VALUES ('MAÇANILHA', 'Oliveira', 'Colheita', 'Outubro a novembro'); </v>
      </c>
      <c r="B331" s="21"/>
      <c r="C331" s="21"/>
      <c r="D331" s="21"/>
      <c r="E331" s="21"/>
      <c r="F331" s="21"/>
      <c r="G331" s="21"/>
      <c r="H331" s="21"/>
    </row>
    <row r="332" spans="1:8">
      <c r="A332" s="21" t="str">
        <f t="shared" si="9"/>
        <v xml:space="preserve">INSERT INTO CalendarioAcaoAgricola(variedade, nomeComum, DESIGNACAOTIPOACAOAGRICOLA, INTERVALOTEMPO) VALUES ('CONSERVA DE ELVAS', 'Oliveira', 'Colheita', 'Outubro a novembro'); </v>
      </c>
      <c r="B332" s="21"/>
      <c r="C332" s="21"/>
      <c r="D332" s="21"/>
      <c r="E332" s="21"/>
      <c r="F332" s="21"/>
      <c r="G332" s="21"/>
      <c r="H332" s="21"/>
    </row>
    <row r="333" spans="1:8">
      <c r="A333" s="21" t="str">
        <f t="shared" si="9"/>
        <v xml:space="preserve">INSERT INTO CalendarioAcaoAgricola(variedade, nomeComum, DESIGNACAOTIPOACAOAGRICOLA, INTERVALOTEMPO) VALUES ('GALEGA', 'Oliveira', 'Colheita', 'Outubro a novembro'); </v>
      </c>
      <c r="B333" s="21"/>
      <c r="C333" s="21"/>
      <c r="D333" s="21"/>
      <c r="E333" s="21"/>
      <c r="F333" s="21"/>
      <c r="G333" s="21"/>
      <c r="H333" s="21"/>
    </row>
    <row r="334" spans="1:8">
      <c r="A334" s="21" t="str">
        <f t="shared" si="9"/>
        <v xml:space="preserve">INSERT INTO CalendarioAcaoAgricola(variedade, nomeComum, DESIGNACAOTIPOACAOAGRICOLA, INTERVALOTEMPO) VALUES ('S. COSME', 'Nabo', 'Colheita', '90 dias'); </v>
      </c>
      <c r="B334" s="21"/>
      <c r="C334" s="21"/>
      <c r="D334" s="21"/>
      <c r="E334" s="21"/>
      <c r="F334" s="21"/>
      <c r="G334" s="21"/>
      <c r="H334" s="21"/>
    </row>
    <row r="335" spans="1:8">
      <c r="A335" s="21" t="str">
        <f t="shared" si="9"/>
        <v xml:space="preserve">INSERT INTO CalendarioAcaoAgricola(variedade, nomeComum, DESIGNACAOTIPOACAOAGRICOLA, INTERVALOTEMPO) VALUES ('DONA MARIA', 'Videira', 'Colheita', 'Junho a agosto'); </v>
      </c>
      <c r="B335" s="21"/>
      <c r="C335" s="21"/>
      <c r="D335" s="21"/>
      <c r="E335" s="21"/>
      <c r="F335" s="21"/>
      <c r="G335" s="21"/>
      <c r="H335" s="21"/>
    </row>
    <row r="336" spans="1:8">
      <c r="A336" s="21" t="str">
        <f t="shared" si="9"/>
        <v xml:space="preserve">INSERT INTO CalendarioAcaoAgricola(variedade, nomeComum, DESIGNACAOTIPOACAOAGRICOLA, INTERVALOTEMPO) VALUES ('CARDINAL', 'Videira', 'Colheita', 'Junho a agosto'); </v>
      </c>
      <c r="B336" s="21"/>
      <c r="C336" s="21"/>
      <c r="D336" s="21"/>
      <c r="E336" s="21"/>
      <c r="F336" s="21"/>
      <c r="G336" s="21"/>
      <c r="H336" s="21"/>
    </row>
  </sheetData>
  <autoFilter ref="B1:B96" xr:uid="{5CA74F46-7FB7-481B-9DAE-CE325D568C4A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9ACF-50E4-4113-A4AD-8A1DD867C70D}">
  <dimension ref="A1:CQ238"/>
  <sheetViews>
    <sheetView topLeftCell="G67" zoomScale="58" zoomScaleNormal="53" workbookViewId="0">
      <selection activeCell="G67" sqref="G67"/>
    </sheetView>
  </sheetViews>
  <sheetFormatPr defaultRowHeight="14.25"/>
  <cols>
    <col min="1" max="1" width="17.86328125" customWidth="1"/>
    <col min="2" max="2" width="41.46484375" customWidth="1"/>
    <col min="3" max="3" width="24.6640625" customWidth="1"/>
    <col min="4" max="4" width="27.6640625" customWidth="1"/>
    <col min="5" max="5" width="23.33203125" customWidth="1"/>
    <col min="6" max="6" width="23" customWidth="1"/>
    <col min="7" max="7" width="18" customWidth="1"/>
    <col min="8" max="8" width="29.33203125" customWidth="1"/>
    <col min="9" max="9" width="24.1328125" customWidth="1"/>
    <col min="10" max="10" width="25.1328125" customWidth="1"/>
    <col min="11" max="11" width="22.1328125" customWidth="1"/>
    <col min="12" max="12" width="25.6640625" customWidth="1"/>
    <col min="13" max="13" width="17.46484375" customWidth="1"/>
    <col min="14" max="14" width="13.1328125" customWidth="1"/>
    <col min="15" max="15" width="9" customWidth="1"/>
    <col min="16" max="16" width="10.86328125" customWidth="1"/>
    <col min="41" max="41" width="13.33203125" customWidth="1"/>
    <col min="42" max="42" width="21.1328125" customWidth="1"/>
    <col min="96" max="96" width="14" customWidth="1"/>
  </cols>
  <sheetData>
    <row r="1" spans="1:10">
      <c r="A1" s="121" t="s">
        <v>336</v>
      </c>
      <c r="B1" s="121" t="s">
        <v>337</v>
      </c>
      <c r="C1" s="121" t="s">
        <v>338</v>
      </c>
      <c r="D1" s="121" t="s">
        <v>339</v>
      </c>
      <c r="E1" s="121" t="s">
        <v>340</v>
      </c>
    </row>
    <row r="2" spans="1:10">
      <c r="A2" s="119">
        <v>10</v>
      </c>
      <c r="B2" s="120">
        <v>42767</v>
      </c>
      <c r="C2" s="119"/>
      <c r="D2" s="119">
        <v>2500</v>
      </c>
      <c r="E2" s="119" t="s">
        <v>341</v>
      </c>
    </row>
    <row r="3" spans="1:10">
      <c r="A3" s="119">
        <v>11</v>
      </c>
      <c r="B3" s="120">
        <v>42856</v>
      </c>
      <c r="C3" s="119"/>
      <c r="D3" s="119">
        <v>1500</v>
      </c>
      <c r="E3" s="119" t="s">
        <v>341</v>
      </c>
    </row>
    <row r="4" spans="1:10">
      <c r="A4" s="119">
        <v>21</v>
      </c>
      <c r="B4" s="120">
        <v>42856</v>
      </c>
      <c r="C4" s="119"/>
      <c r="D4" s="119">
        <v>3500</v>
      </c>
      <c r="E4" s="119" t="s">
        <v>341</v>
      </c>
      <c r="G4" s="7" t="s">
        <v>8</v>
      </c>
      <c r="H4" s="7"/>
      <c r="I4" s="7" t="s">
        <v>9</v>
      </c>
      <c r="J4" s="7" t="s">
        <v>217</v>
      </c>
    </row>
    <row r="5" spans="1:10">
      <c r="A5" s="119">
        <v>22</v>
      </c>
      <c r="B5" s="120">
        <v>43586</v>
      </c>
      <c r="C5" s="119"/>
      <c r="D5" s="119">
        <v>3500</v>
      </c>
      <c r="E5" s="119" t="s">
        <v>341</v>
      </c>
      <c r="G5" s="12" t="str">
        <f>"INSERT INTO " &amp;$J$4&amp; "(designacaoUnidade) VALUES ('"&amp;$E$2&amp;"');"</f>
        <v>INSERT INTO TipoUnidade(designacaoUnidade) VALUES ('l/h');</v>
      </c>
      <c r="H5" s="12"/>
      <c r="I5" s="12"/>
      <c r="J5" s="12"/>
    </row>
    <row r="6" spans="1:10">
      <c r="A6" s="119">
        <v>41</v>
      </c>
      <c r="B6" s="120">
        <v>45017</v>
      </c>
      <c r="C6" s="120">
        <v>45209</v>
      </c>
      <c r="D6" s="119">
        <v>2500</v>
      </c>
      <c r="E6" s="119" t="s">
        <v>341</v>
      </c>
      <c r="G6" s="12" t="str">
        <f>"INSERT INTO " &amp;$J$4&amp; "(designacaoUnidade) VALUES ('"&amp;$F$67&amp;"');"</f>
        <v>INSERT INTO TipoUnidade(designacaoUnidade) VALUES ('0,291666666666667');</v>
      </c>
      <c r="H6" s="12"/>
      <c r="I6" s="12"/>
      <c r="J6" s="12"/>
    </row>
    <row r="7" spans="1:10">
      <c r="A7" s="119">
        <v>42</v>
      </c>
      <c r="B7" s="120">
        <v>45017</v>
      </c>
      <c r="C7" s="120">
        <v>45209</v>
      </c>
      <c r="D7" s="119">
        <v>3500</v>
      </c>
      <c r="E7" s="119" t="s">
        <v>341</v>
      </c>
    </row>
    <row r="10" spans="1:10">
      <c r="A10" s="17" t="s">
        <v>8</v>
      </c>
      <c r="B10" s="17" t="s">
        <v>9</v>
      </c>
      <c r="C10" s="17" t="s">
        <v>342</v>
      </c>
      <c r="D10" s="17"/>
      <c r="E10" s="17"/>
      <c r="F10" s="17"/>
      <c r="G10" s="17"/>
      <c r="H10" s="17"/>
      <c r="I10" s="17"/>
      <c r="J10" s="17"/>
    </row>
    <row r="11" spans="1:10">
      <c r="A11" s="11" t="str">
        <f>"INSERT INTO " &amp;$C$10&amp; "(idSetor, nomeEdificio, designacaoUnidade, dataInicio, dataFim, caudalMaximo) VALUES (" &amp;A2&amp; ", '" &amp;'Exploração agrícola'!$C$13&amp; "', '" &amp;E2&amp; "', TO_DATE('" &amp;TEXT(B2, "DD/MM/AAAA")&amp; "', 'DD/MM/YYYY'), " &amp;IF(ISBLANK(C2),"NULL","TO_DATE('"&amp;TEXT(C2,"DD/MM/AAAA")&amp;"', 'DD/MM/YYYY')")&amp; ", " &amp;D2&amp; ");"</f>
        <v>INSERT INTO Setor(idSetor, nomeEdificio, designacaoUnidade, dataInicio, dataFim, caudalMaximo) VALUES (10, 'Tanque do campo grande', 'l/h', TO_DATE('01/02/Wednesday', 'DD/MM/YYYY'), NULL, 2500);</v>
      </c>
      <c r="B11" s="11"/>
      <c r="C11" s="11"/>
      <c r="D11" s="11"/>
      <c r="E11" s="11"/>
      <c r="F11" s="11"/>
      <c r="G11" s="111"/>
      <c r="H11" s="11"/>
      <c r="I11" s="11"/>
      <c r="J11" s="11"/>
    </row>
    <row r="12" spans="1:10">
      <c r="A12" s="11" t="str">
        <f>"INSERT INTO " &amp;$C$10&amp; "(idSetor, nomeEdificio, designacaoUnidade, dataInicio, dataFim, caudalMaximo) VALUES (" &amp;A3&amp; ", '" &amp;'Exploração agrícola'!$C$13&amp; "', '" &amp;E3&amp; "', TO_DATE('" &amp;TEXT(B3, "DD/MM/AAAA")&amp; "', 'DD/MM/YYYY'), " &amp;IF(ISBLANK(C3),"NULL","TO_DATE('"&amp;TEXT(C3,"DD/MM/AAAA")&amp;"', 'DD/MM/YYYY')")&amp; ", " &amp;D3&amp; ");"</f>
        <v>INSERT INTO Setor(idSetor, nomeEdificio, designacaoUnidade, dataInicio, dataFim, caudalMaximo) VALUES (11, 'Tanque do campo grande', 'l/h', TO_DATE('01/05/2017', 'DD/MM/YYYY'), NULL, 1500);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>
      <c r="A13" s="11" t="str">
        <f>"INSERT INTO " &amp;$C$10&amp; "(idSetor, nomeEdificio, designacaoUnidade, dataInicio, dataFim, caudalMaximo) VALUES (" &amp;A4&amp; ", '" &amp;'Exploração agrícola'!$C$13&amp; "', '" &amp;E4&amp; "', TO_DATE('" &amp;TEXT(B4, "DD/MM/AAAA")&amp; "', 'DD/MM/YYYY'), " &amp;IF(ISBLANK(C4),"NULL","TO_DATE('"&amp;TEXT(C4,"DD/MM/AAAA")&amp;"', 'DD/MM/YYYY')")&amp; ", " &amp;D4&amp; ");"</f>
        <v>INSERT INTO Setor(idSetor, nomeEdificio, designacaoUnidade, dataInicio, dataFim, caudalMaximo) VALUES (21, 'Tanque do campo grande', 'l/h', TO_DATE('01/05/2017', 'DD/MM/YYYY'), NULL, 3500);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>
      <c r="A14" s="11" t="str">
        <f>"INSERT INTO " &amp;$C$10&amp; "(idSetor, nomeEdificio, designacaoUnidade, dataInicio, dataFim, caudalMaximo) VALUES (" &amp;A5&amp; ", '" &amp;'Exploração agrícola'!$C$13&amp; "', '" &amp;E5&amp; "', TO_DATE('" &amp;TEXT(B5, "DD/MM/AAAA")&amp; "', 'DD/MM/YYYY'), " &amp;IF(ISBLANK(C5),"NULL","TO_DATE('"&amp;TEXT(C5,"DD/MM/AAAA")&amp;"', 'DD/MM/YYYY')")&amp; ", " &amp;D5&amp; ");"</f>
        <v>INSERT INTO Setor(idSetor, nomeEdificio, designacaoUnidade, dataInicio, dataFim, caudalMaximo) VALUES (22, 'Tanque do campo grande', 'l/h', TO_DATE('01/05/2019', 'DD/MM/YYYY'), NULL, 3500);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0">
      <c r="A15" s="11" t="str">
        <f>"INSERT INTO " &amp;$C$10&amp; "(idSetor, nomeEdificio, designacaoUnidade, dataInicio, dataFim, caudalMaximo) VALUES (" &amp;A6&amp; ", '" &amp;'Exploração agrícola'!$C$13&amp; "', '" &amp;E6&amp; "', TO_DATE('" &amp;TEXT(B6, "DD/MM/AAAA")&amp; "', 'DD/MM/YYYY'), " &amp;IF(ISBLANK(C6),"NULL","TO_DATE('"&amp;TEXT(C6,"DD/MM/AAAA")&amp;"', 'DD/MM/YYYY')")&amp; ", " &amp;D6&amp; ");"</f>
        <v>INSERT INTO Setor(idSetor, nomeEdificio, designacaoUnidade, dataInicio, dataFim, caudalMaximo) VALUES (41, 'Tanque do campo grande', 'l/h', TO_DATE('01/04/2023', 'DD/MM/YYYY'), TO_DATE('10/10/2023', 'DD/MM/YYYY'), 2500);</v>
      </c>
      <c r="B15" s="11"/>
      <c r="C15" s="11"/>
      <c r="D15" s="11"/>
      <c r="E15" s="11"/>
      <c r="F15" s="11"/>
      <c r="G15" s="11"/>
      <c r="H15" s="11"/>
      <c r="I15" s="11"/>
      <c r="J15" s="11"/>
    </row>
    <row r="16" spans="1:10">
      <c r="A16" s="11" t="str">
        <f>"INSERT INTO " &amp;$C$10&amp; "(idSetor, nomeEdificio, designacaoUnidade, dataInicio, dataFim, caudalMaximo) VALUES (" &amp;A7&amp; ", '" &amp;'Exploração agrícola'!$C$13&amp; "', '" &amp;E7&amp; "', TO_DATE('" &amp;TEXT(B7, "DD/MM/AAAA")&amp; "', 'DD/MM/YYYY'), " &amp;IF(ISBLANK(C7),"NULL","TO_DATE('"&amp;TEXT(C7,"DD/MM/AAAA")&amp;"', 'DD/MM/YYYY')")&amp; ", " &amp;D7&amp; ");"</f>
        <v>INSERT INTO Setor(idSetor, nomeEdificio, designacaoUnidade, dataInicio, dataFim, caudalMaximo) VALUES (42, 'Tanque do campo grande', 'l/h', TO_DATE('01/04/2023', 'DD/MM/YYYY'), TO_DATE('10/10/2023', 'DD/MM/YYYY'), 3500);</v>
      </c>
      <c r="B16" s="11"/>
      <c r="C16" s="11"/>
      <c r="D16" s="11"/>
      <c r="E16" s="11"/>
      <c r="F16" s="11"/>
      <c r="G16" s="11"/>
      <c r="H16" s="11"/>
      <c r="I16" s="11"/>
      <c r="J16" s="11"/>
    </row>
    <row r="20" spans="1:12">
      <c r="A20" s="121" t="s">
        <v>336</v>
      </c>
      <c r="B20" s="121" t="s">
        <v>343</v>
      </c>
      <c r="C20" s="121" t="s">
        <v>344</v>
      </c>
      <c r="D20" s="121" t="s">
        <v>345</v>
      </c>
      <c r="E20" s="121" t="s">
        <v>346</v>
      </c>
      <c r="F20" s="121" t="s">
        <v>347</v>
      </c>
      <c r="H20" s="121" t="s">
        <v>214</v>
      </c>
      <c r="I20" s="121" t="s">
        <v>239</v>
      </c>
      <c r="J20" s="121" t="s">
        <v>348</v>
      </c>
      <c r="K20" s="121" t="s">
        <v>258</v>
      </c>
    </row>
    <row r="21" spans="1:12">
      <c r="A21" s="117">
        <v>10</v>
      </c>
      <c r="B21" s="117" t="s">
        <v>218</v>
      </c>
      <c r="C21" s="117" t="s">
        <v>127</v>
      </c>
      <c r="D21" s="117" t="s">
        <v>136</v>
      </c>
      <c r="E21" s="118">
        <v>42856</v>
      </c>
      <c r="F21" s="117"/>
      <c r="H21" s="148" t="s">
        <v>218</v>
      </c>
      <c r="I21" s="148" t="s">
        <v>243</v>
      </c>
      <c r="J21" s="152">
        <f>$I$144</f>
        <v>42649</v>
      </c>
      <c r="K21" s="149"/>
      <c r="L21">
        <v>10</v>
      </c>
    </row>
    <row r="22" spans="1:12">
      <c r="A22" s="117">
        <v>10</v>
      </c>
      <c r="B22" s="117" t="s">
        <v>218</v>
      </c>
      <c r="C22" s="117" t="s">
        <v>127</v>
      </c>
      <c r="D22" s="117" t="s">
        <v>349</v>
      </c>
      <c r="E22" s="118">
        <v>42856</v>
      </c>
      <c r="F22" s="117"/>
      <c r="H22" s="148" t="s">
        <v>218</v>
      </c>
      <c r="I22" s="148" t="s">
        <v>350</v>
      </c>
      <c r="J22" s="152">
        <f>$I$143</f>
        <v>42653</v>
      </c>
      <c r="K22" s="149"/>
      <c r="L22">
        <v>10</v>
      </c>
    </row>
    <row r="23" spans="1:12">
      <c r="A23" s="117">
        <v>11</v>
      </c>
      <c r="B23" s="117" t="s">
        <v>218</v>
      </c>
      <c r="C23" s="117" t="s">
        <v>127</v>
      </c>
      <c r="D23" s="117" t="s">
        <v>351</v>
      </c>
      <c r="E23" s="118">
        <v>42856</v>
      </c>
      <c r="F23" s="117"/>
      <c r="H23" s="148" t="s">
        <v>218</v>
      </c>
      <c r="I23" s="148" t="s">
        <v>352</v>
      </c>
      <c r="J23" s="149">
        <v>42645</v>
      </c>
      <c r="K23" s="149"/>
      <c r="L23">
        <v>11</v>
      </c>
    </row>
    <row r="24" spans="1:12">
      <c r="A24" s="117">
        <v>21</v>
      </c>
      <c r="B24" s="117" t="s">
        <v>220</v>
      </c>
      <c r="C24" s="117" t="s">
        <v>51</v>
      </c>
      <c r="D24" s="117" t="s">
        <v>353</v>
      </c>
      <c r="E24" s="118">
        <v>42856</v>
      </c>
      <c r="F24" s="117"/>
      <c r="H24" s="148" t="s">
        <v>220</v>
      </c>
      <c r="I24" s="150" t="str">
        <f>C24&amp; " " &amp; D24</f>
        <v>Macieira Jonagored</v>
      </c>
      <c r="J24" s="152">
        <f>$I$156</f>
        <v>42742</v>
      </c>
      <c r="K24" s="149"/>
      <c r="L24">
        <v>21</v>
      </c>
    </row>
    <row r="25" spans="1:12">
      <c r="A25" s="117">
        <v>21</v>
      </c>
      <c r="B25" s="117" t="s">
        <v>220</v>
      </c>
      <c r="C25" s="117" t="s">
        <v>51</v>
      </c>
      <c r="D25" s="117" t="s">
        <v>354</v>
      </c>
      <c r="E25" s="118">
        <v>42856</v>
      </c>
      <c r="F25" s="117"/>
      <c r="H25" s="148" t="s">
        <v>220</v>
      </c>
      <c r="I25" s="150" t="str">
        <f t="shared" ref="I25:I27" si="0">C25&amp; " " &amp; D25</f>
        <v>Macieira Fuji</v>
      </c>
      <c r="J25" s="152">
        <f>$I$158</f>
        <v>42743</v>
      </c>
      <c r="K25" s="149"/>
      <c r="L25">
        <v>21</v>
      </c>
    </row>
    <row r="26" spans="1:12">
      <c r="A26" s="117">
        <v>21</v>
      </c>
      <c r="B26" s="117" t="s">
        <v>220</v>
      </c>
      <c r="C26" s="117" t="s">
        <v>51</v>
      </c>
      <c r="D26" s="117" t="s">
        <v>355</v>
      </c>
      <c r="E26" s="118">
        <v>42856</v>
      </c>
      <c r="F26" s="117"/>
      <c r="H26" s="148" t="s">
        <v>220</v>
      </c>
      <c r="I26" s="150" t="str">
        <f t="shared" si="0"/>
        <v>Macieira Royal Gala</v>
      </c>
      <c r="J26" s="133">
        <f>$I$154</f>
        <v>42743</v>
      </c>
      <c r="K26" s="149"/>
      <c r="L26">
        <v>21</v>
      </c>
    </row>
    <row r="27" spans="1:12">
      <c r="A27" s="117">
        <v>21</v>
      </c>
      <c r="B27" s="117" t="s">
        <v>220</v>
      </c>
      <c r="C27" s="117" t="s">
        <v>51</v>
      </c>
      <c r="D27" s="117" t="s">
        <v>355</v>
      </c>
      <c r="E27" s="118">
        <v>43586</v>
      </c>
      <c r="F27" s="117"/>
      <c r="H27" s="148" t="s">
        <v>220</v>
      </c>
      <c r="I27" s="150" t="str">
        <f t="shared" si="0"/>
        <v>Macieira Royal Gala</v>
      </c>
      <c r="J27" s="133">
        <f>$I$154</f>
        <v>42743</v>
      </c>
      <c r="K27" s="149"/>
      <c r="L27">
        <v>21</v>
      </c>
    </row>
    <row r="28" spans="1:12">
      <c r="A28" s="117">
        <v>21</v>
      </c>
      <c r="B28" s="117" t="s">
        <v>221</v>
      </c>
      <c r="C28" s="117" t="s">
        <v>51</v>
      </c>
      <c r="D28" s="117" t="s">
        <v>356</v>
      </c>
      <c r="E28" s="118">
        <v>43586</v>
      </c>
      <c r="F28" s="117"/>
      <c r="H28" s="148" t="s">
        <v>221</v>
      </c>
      <c r="I28" s="148" t="s">
        <v>357</v>
      </c>
      <c r="J28" s="149">
        <v>43475</v>
      </c>
      <c r="K28" s="149"/>
      <c r="L28">
        <v>21</v>
      </c>
    </row>
    <row r="29" spans="1:12">
      <c r="A29" s="117">
        <v>22</v>
      </c>
      <c r="B29" s="117" t="s">
        <v>221</v>
      </c>
      <c r="C29" s="117" t="s">
        <v>51</v>
      </c>
      <c r="D29" s="122" t="s">
        <v>358</v>
      </c>
      <c r="E29" s="123">
        <v>43586</v>
      </c>
      <c r="F29" s="28"/>
      <c r="H29" s="148" t="s">
        <v>221</v>
      </c>
      <c r="I29" s="148" t="s">
        <v>359</v>
      </c>
      <c r="J29" s="149">
        <v>43474</v>
      </c>
      <c r="K29" s="149"/>
      <c r="L29">
        <v>22</v>
      </c>
    </row>
    <row r="30" spans="1:12">
      <c r="A30" s="117">
        <v>22</v>
      </c>
      <c r="B30" s="117" t="s">
        <v>221</v>
      </c>
      <c r="C30" s="117" t="s">
        <v>51</v>
      </c>
      <c r="D30" s="122" t="s">
        <v>360</v>
      </c>
      <c r="E30" s="123">
        <v>43586</v>
      </c>
      <c r="F30" s="28"/>
      <c r="H30" s="148" t="s">
        <v>221</v>
      </c>
      <c r="I30" s="148" t="s">
        <v>361</v>
      </c>
      <c r="J30" s="149">
        <v>43474</v>
      </c>
      <c r="K30" s="149"/>
      <c r="L30">
        <v>22</v>
      </c>
    </row>
    <row r="31" spans="1:12">
      <c r="A31" s="117">
        <v>22</v>
      </c>
      <c r="B31" s="117" t="s">
        <v>221</v>
      </c>
      <c r="C31" s="117" t="s">
        <v>51</v>
      </c>
      <c r="D31" s="122" t="s">
        <v>362</v>
      </c>
      <c r="E31" s="123">
        <v>43586</v>
      </c>
      <c r="F31" s="28"/>
      <c r="H31" s="148" t="s">
        <v>221</v>
      </c>
      <c r="I31" s="148" t="s">
        <v>363</v>
      </c>
      <c r="J31" s="149">
        <v>43475</v>
      </c>
      <c r="K31" s="149"/>
      <c r="L31">
        <v>22</v>
      </c>
    </row>
    <row r="32" spans="1:12">
      <c r="A32" s="117">
        <v>22</v>
      </c>
      <c r="B32" s="117" t="s">
        <v>221</v>
      </c>
      <c r="C32" s="117" t="s">
        <v>51</v>
      </c>
      <c r="D32" s="122" t="s">
        <v>364</v>
      </c>
      <c r="E32" s="123">
        <v>43586</v>
      </c>
      <c r="F32" s="28"/>
      <c r="H32" s="148" t="s">
        <v>221</v>
      </c>
      <c r="I32" s="148" t="s">
        <v>365</v>
      </c>
      <c r="J32" s="149">
        <v>43476</v>
      </c>
      <c r="K32" s="149"/>
      <c r="L32">
        <v>22</v>
      </c>
    </row>
    <row r="33" spans="1:13">
      <c r="A33" s="117">
        <v>22</v>
      </c>
      <c r="B33" s="117" t="s">
        <v>221</v>
      </c>
      <c r="C33" s="117" t="s">
        <v>51</v>
      </c>
      <c r="D33" s="122" t="s">
        <v>366</v>
      </c>
      <c r="E33" s="123">
        <v>43586</v>
      </c>
      <c r="F33" s="28"/>
      <c r="H33" s="148" t="s">
        <v>221</v>
      </c>
      <c r="I33" s="148" t="s">
        <v>367</v>
      </c>
      <c r="J33" s="149">
        <v>43476</v>
      </c>
      <c r="K33" s="149"/>
      <c r="L33">
        <v>22</v>
      </c>
    </row>
    <row r="34" spans="1:13">
      <c r="A34" s="117">
        <v>41</v>
      </c>
      <c r="B34" s="117" t="s">
        <v>317</v>
      </c>
      <c r="C34" s="117" t="s">
        <v>100</v>
      </c>
      <c r="D34" s="117" t="s">
        <v>107</v>
      </c>
      <c r="E34" s="118">
        <v>45021</v>
      </c>
      <c r="F34" s="117" t="s">
        <v>368</v>
      </c>
      <c r="H34" s="151" t="s">
        <v>317</v>
      </c>
      <c r="I34" s="151" t="s">
        <v>248</v>
      </c>
      <c r="J34" s="149">
        <v>45021</v>
      </c>
      <c r="K34" s="149">
        <f>_xlfn.MAXIFS($G$135:$G$141,$C$135:$C$141,I34)</f>
        <v>45105</v>
      </c>
      <c r="L34">
        <v>41</v>
      </c>
    </row>
    <row r="35" spans="1:13">
      <c r="A35" s="117">
        <v>41</v>
      </c>
      <c r="B35" s="117" t="s">
        <v>317</v>
      </c>
      <c r="C35" s="117" t="s">
        <v>100</v>
      </c>
      <c r="D35" s="117" t="s">
        <v>105</v>
      </c>
      <c r="E35" s="118">
        <v>45112</v>
      </c>
      <c r="F35" s="117" t="s">
        <v>369</v>
      </c>
      <c r="H35" s="151" t="s">
        <v>317</v>
      </c>
      <c r="I35" s="151" t="s">
        <v>249</v>
      </c>
      <c r="J35" s="149">
        <v>45112</v>
      </c>
      <c r="K35" s="149">
        <f>_xlfn.MAXIFS($G$135:$G$141,$C$135:$C$141,I35)</f>
        <v>45204</v>
      </c>
      <c r="L35">
        <v>41</v>
      </c>
    </row>
    <row r="36" spans="1:13">
      <c r="A36" s="117">
        <v>42</v>
      </c>
      <c r="B36" s="117" t="s">
        <v>317</v>
      </c>
      <c r="C36" s="117" t="s">
        <v>268</v>
      </c>
      <c r="D36" s="117" t="s">
        <v>275</v>
      </c>
      <c r="E36" s="118">
        <v>45022</v>
      </c>
      <c r="F36" s="117" t="s">
        <v>370</v>
      </c>
      <c r="H36" s="151" t="s">
        <v>317</v>
      </c>
      <c r="I36" s="151" t="s">
        <v>268</v>
      </c>
      <c r="J36" s="149">
        <v>45022</v>
      </c>
      <c r="K36" s="149">
        <f>_xlfn.MAXIFS($G$135:$G$141,$C$135:$C$141,I36)</f>
        <v>45194</v>
      </c>
      <c r="L36">
        <v>42</v>
      </c>
    </row>
    <row r="40" spans="1:13">
      <c r="A40" s="17" t="s">
        <v>8</v>
      </c>
      <c r="B40" s="17" t="s">
        <v>9</v>
      </c>
      <c r="C40" s="17" t="s">
        <v>371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>
      <c r="A41" s="11" t="str">
        <f>"INSERT INTO " &amp;$C$40&amp; "(designacao, dataInicialCulturaInstalada,  nomeParcela, nomeComum, variedade, dataInicialSetorCultura, dataFinalSetorCultura) VALUES (" &amp;A21&amp; ", TO_DATE('"&amp;TEXT(J21,"DD/MM/AAAA")&amp;"', 'DD/MM/YYYY'), '" &amp;B21&amp; "', '" &amp;C21 &amp; "' , '" &amp;UPPER(D21)&amp;  "', TO_DATE('" &amp;TEXT(E21, "DD/MM/AAAA")&amp; "', 'DD/MM/YYYY'), " &amp;IF(ISBLANK(F21),"NULL","TO_DATE('"&amp;TEXT(F21,"DD/MM/AAAA")&amp;"', 'DD/MM/YYYY')")&amp; ");"</f>
        <v>INSERT INTO SetorCulturaInstalada(designacao, dataInicialCulturaInstalada,  nomeParcela, nomeComum, variedade, dataInicialSetorCultura, dataFinalSetorCultura) VALUES (10, TO_DATE('06/10/Thursday', 'DD/MM/YYYY'), 'Campo Grande', 'Oliveira' , 'GALEGA', TO_DATE('01/05/Monday', 'DD/MM/YYYY'), NULL);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 t="str">
        <f t="shared" ref="A42:A46" si="1">"INSERT INTO " &amp;$C$40&amp; "(designacao, dataInicialCulturaInstalada,  nomeParcela, nomeComum, variedade, dataInicialSetorCultura, dataFinalSetorCultura) VALUES (" &amp;A22&amp; ", TO_DATE('"&amp;TEXT(J22,"DD/MM/AAAA")&amp;"', 'DD/MM/YYYY'), '" &amp;B22&amp; "', '" &amp;C22 &amp; "' , '" &amp;UPPER(D22)&amp;  "', TO_DATE('" &amp;TEXT(E22, "DD/MM/AAAA")&amp; "', 'DD/MM/YYYY'), " &amp;IF(ISBLANK(F22),"NULL","TO_DATE('"&amp;TEXT(F22,"DD/MM/AAAA")&amp;"', 'DD/MM/YYYY')")&amp; ");"</f>
        <v>INSERT INTO SetorCulturaInstalada(designacao, dataInicialCulturaInstalada,  nomeParcela, nomeComum, variedade, dataInicialSetorCultura, dataFinalSetorCultura) VALUES (10, TO_DATE('10/10/Monday', 'DD/MM/YYYY'), 'Campo Grande', 'Oliveira' , 'PICUAL', TO_DATE('01/05/Monday', 'DD/MM/YYYY'), NULL);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 t="str">
        <f t="shared" si="1"/>
        <v>INSERT INTO SetorCulturaInstalada(designacao, dataInicialCulturaInstalada,  nomeParcela, nomeComum, variedade, dataInicialSetorCultura, dataFinalSetorCultura) VALUES (11, TO_DATE('02/10/2016', 'DD/MM/YYYY'), 'Campo Grande', 'Oliveira' , 'ARBEQUINA', TO_DATE('01/05/2017', 'DD/MM/YYYY'), NULL);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 t="str">
        <f t="shared" si="1"/>
        <v>INSERT INTO SetorCulturaInstalada(designacao, dataInicialCulturaInstalada,  nomeParcela, nomeComum, variedade, dataInicialSetorCultura, dataFinalSetorCultura) VALUES (21, TO_DATE('07/01/Saturday', 'DD/MM/YYYY'), 'Lameiro da ponte', 'Macieira' , 'JONAGORED', TO_DATE('01/05/Monday', 'DD/MM/YYYY'), NULL);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 t="str">
        <f t="shared" si="1"/>
        <v>INSERT INTO SetorCulturaInstalada(designacao, dataInicialCulturaInstalada,  nomeParcela, nomeComum, variedade, dataInicialSetorCultura, dataFinalSetorCultura) VALUES (21, TO_DATE('08/01/Sunday', 'DD/MM/YYYY'), 'Lameiro da ponte', 'Macieira' , 'FUJI', TO_DATE('01/05/Monday', 'DD/MM/YYYY'), NULL);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 t="str">
        <f t="shared" si="1"/>
        <v>INSERT INTO SetorCulturaInstalada(designacao, dataInicialCulturaInstalada,  nomeParcela, nomeComum, variedade, dataInicialSetorCultura, dataFinalSetorCultura) VALUES (21, TO_DATE('08/01/Sunday', 'DD/MM/YYYY'), 'Lameiro da ponte', 'Macieira' , 'ROYAL GALA', TO_DATE('01/05/Monday', 'DD/MM/YYYY'), NULL);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 t="str">
        <f t="shared" ref="A47:A55" si="2">"INSERT INTO " &amp;$C$40&amp; "(designacao, dataInicialCulturaInstalada,  nomeParcela, nomeComum, variedade, dataInicialSetorCultura, dataFinalSetorCultura) VALUES (" &amp;A28&amp; ", TO_DATE('"&amp;TEXT(J28,"DD/MM/AAAA")&amp;"', 'DD/MM/YYYY'), '" &amp;B28&amp; "', '" &amp;C28 &amp; "' , '" &amp;UPPER(D28)&amp;  "', TO_DATE('" &amp;TEXT(E28, "DD/MM/AAAA")&amp; "', 'DD/MM/YYYY'), " &amp;IF(ISBLANK(F28),"NULL","TO_DATE('"&amp;TEXT(F28,"DD/MM/AAAA")&amp;"', 'DD/MM/YYYY')")&amp; ");"</f>
        <v>INSERT INTO SetorCulturaInstalada(designacao, dataInicialCulturaInstalada,  nomeParcela, nomeComum, variedade, dataInicialSetorCultura, dataFinalSetorCultura) VALUES (21, TO_DATE('10/01/2019', 'DD/MM/YYYY'), 'Lameiro do moinho', 'Macieira' , 'PIPO DE BASTO', TO_DATE('01/05/2019', 'DD/MM/YYYY'), NULL);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 t="str">
        <f t="shared" si="2"/>
        <v>INSERT INTO SetorCulturaInstalada(designacao, dataInicialCulturaInstalada,  nomeParcela, nomeComum, variedade, dataInicialSetorCultura, dataFinalSetorCultura) VALUES (22, TO_DATE('09/01/2019', 'DD/MM/YYYY'), 'Lameiro do moinho', 'Macieira' , 'PORTA DA LOJA', TO_DATE('01/05/2019', 'DD/MM/YYYY'), NULL);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 t="str">
        <f t="shared" si="2"/>
        <v>INSERT INTO SetorCulturaInstalada(designacao, dataInicialCulturaInstalada,  nomeParcela, nomeComum, variedade, dataInicialSetorCultura, dataFinalSetorCultura) VALUES (22, TO_DATE('09/01/2019', 'DD/MM/YYYY'), 'Lameiro do moinho', 'Macieira' , 'MALÁPIO', TO_DATE('01/05/2019', 'DD/MM/YYYY'), NULL);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 t="str">
        <f t="shared" si="2"/>
        <v>INSERT INTO SetorCulturaInstalada(designacao, dataInicialCulturaInstalada,  nomeParcela, nomeComum, variedade, dataInicialSetorCultura, dataFinalSetorCultura) VALUES (22, TO_DATE('10/01/2019', 'DD/MM/YYYY'), 'Lameiro do moinho', 'Macieira' , 'CANADA', TO_DATE('01/05/2019', 'DD/MM/YYYY'), NULL);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 t="str">
        <f t="shared" si="2"/>
        <v>INSERT INTO SetorCulturaInstalada(designacao, dataInicialCulturaInstalada,  nomeParcela, nomeComum, variedade, dataInicialSetorCultura, dataFinalSetorCultura) VALUES (22, TO_DATE('11/01/2019', 'DD/MM/YYYY'), 'Lameiro do moinho', 'Macieira' , 'GRAND FAY', TO_DATE('01/05/2019', 'DD/MM/YYYY'), NULL);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 t="str">
        <f t="shared" si="2"/>
        <v>INSERT INTO SetorCulturaInstalada(designacao, dataInicialCulturaInstalada,  nomeParcela, nomeComum, variedade, dataInicialSetorCultura, dataFinalSetorCultura) VALUES (22, TO_DATE('11/01/2019', 'DD/MM/YYYY'), 'Lameiro do moinho', 'Macieira' , 'GRONHO DOCE', TO_DATE('01/05/2019', 'DD/MM/YYYY'), NULL);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 t="str">
        <f t="shared" si="2"/>
        <v>INSERT INTO SetorCulturaInstalada(designacao, dataInicialCulturaInstalada,  nomeParcela, nomeComum, variedade, dataInicialSetorCultura, dataFinalSetorCultura) VALUES (41, TO_DATE('05/04/2023', 'DD/MM/YYYY'), 'Campo Novo', 'Cenoura' , 'SUGARSNAX HYBRID', TO_DATE('05/04/2023', 'DD/MM/YYYY'), TO_DATE(' 31/05/2023', 'DD/MM/YYYY'));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 t="str">
        <f t="shared" si="2"/>
        <v>INSERT INTO SetorCulturaInstalada(designacao, dataInicialCulturaInstalada,  nomeParcela, nomeComum, variedade, dataInicialSetorCultura, dataFinalSetorCultura) VALUES (41, TO_DATE('05/07/2023', 'DD/MM/YYYY'), 'Campo Novo', 'Cenoura' , 'DANVERS HALF LONG', TO_DATE('05/07/2023', 'DD/MM/YYYY'), TO_DATE(' 08/10/2023', 'DD/MM/YYYY'));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 t="str">
        <f t="shared" si="2"/>
        <v>INSERT INTO SetorCulturaInstalada(designacao, dataInicialCulturaInstalada,  nomeParcela, nomeComum, variedade, dataInicialSetorCultura, dataFinalSetorCultura) VALUES (42, TO_DATE('06/04/2023', 'DD/MM/YYYY'), 'Campo Novo', 'Abóbora Manteiga' , 'BUTTERNUT', TO_DATE('06/04/2023', 'DD/MM/YYYY'), TO_DATE(' 10/09/2023', 'DD/MM/YYYY'));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9" spans="1:13">
      <c r="A59" s="16" t="s">
        <v>8</v>
      </c>
      <c r="B59" s="16" t="s">
        <v>9</v>
      </c>
      <c r="C59" s="16" t="s">
        <v>298</v>
      </c>
      <c r="D59" s="16"/>
    </row>
    <row r="60" spans="1:13">
      <c r="A60" s="46" t="str">
        <f xml:space="preserve"> "INSERT INTO " &amp;$C$59&amp;  "(designacaoOperacaoAgricola) VALUES ('" &amp;$B$179&amp; "');"</f>
        <v>INSERT INTO TipoOperacaoAgricola(designacaoOperacaoAgricola) VALUES ('Aplicação de fator de produção');</v>
      </c>
      <c r="B60" s="46"/>
      <c r="C60" s="46"/>
      <c r="D60" s="46"/>
    </row>
    <row r="61" spans="1:13">
      <c r="A61" s="46" t="str">
        <f xml:space="preserve"> "INSERT INTO " &amp;$C$59&amp;  "(designacaoOperacaoAgricola) VALUES ('" &amp;$B$228&amp; "');"</f>
        <v>INSERT INTO TipoOperacaoAgricola(designacaoOperacaoAgricola) VALUES ('Monda');</v>
      </c>
      <c r="B61" s="46"/>
      <c r="C61" s="46"/>
      <c r="D61" s="46"/>
    </row>
    <row r="62" spans="1:13">
      <c r="A62" s="46" t="str">
        <f xml:space="preserve"> "INSERT INTO " &amp;$C$59&amp;  "(designacaoOperacaoAgricola) VALUES ('" &amp;$B$237&amp; "');"</f>
        <v>INSERT INTO TipoOperacaoAgricola(designacaoOperacaoAgricola) VALUES ('Mobilização do solo');</v>
      </c>
      <c r="B62" s="46"/>
      <c r="C62" s="46"/>
      <c r="D62" s="46"/>
    </row>
    <row r="63" spans="1:13">
      <c r="A63" s="46" t="str">
        <f xml:space="preserve"> "INSERT INTO " &amp;$C$59&amp;  "(designacaoOperacaoAgricola) VALUES ('" &amp;$B$220&amp; "');"</f>
        <v>INSERT INTO TipoOperacaoAgricola(designacaoOperacaoAgricola) VALUES ('Semeadura');</v>
      </c>
      <c r="B63" s="46"/>
      <c r="C63" s="46"/>
      <c r="D63" s="46"/>
    </row>
    <row r="66" spans="1:75">
      <c r="A66" s="125" t="s">
        <v>336</v>
      </c>
      <c r="B66" s="126" t="s">
        <v>343</v>
      </c>
      <c r="C66" s="126" t="s">
        <v>372</v>
      </c>
      <c r="D66" s="126" t="s">
        <v>373</v>
      </c>
      <c r="E66" s="126" t="s">
        <v>340</v>
      </c>
      <c r="F66" s="126" t="s">
        <v>374</v>
      </c>
      <c r="G66" s="126" t="s">
        <v>375</v>
      </c>
      <c r="H66" s="131" t="s">
        <v>285</v>
      </c>
      <c r="J66" s="51" t="s">
        <v>8</v>
      </c>
      <c r="K66" s="51" t="s">
        <v>9</v>
      </c>
      <c r="L66" s="51" t="s">
        <v>234</v>
      </c>
      <c r="M66" s="51"/>
      <c r="N66" s="51"/>
      <c r="O66" s="51"/>
      <c r="P66" s="51"/>
      <c r="S66" s="9" t="s">
        <v>8</v>
      </c>
      <c r="T66" s="9" t="s">
        <v>9</v>
      </c>
      <c r="U66" s="9" t="s">
        <v>287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BJ66" s="93" t="s">
        <v>8</v>
      </c>
      <c r="BK66" s="93" t="s">
        <v>9</v>
      </c>
      <c r="BL66" s="93" t="s">
        <v>295</v>
      </c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</row>
    <row r="67" spans="1:75">
      <c r="A67" s="127">
        <v>21</v>
      </c>
      <c r="B67" s="128" t="s">
        <v>220</v>
      </c>
      <c r="C67" s="128" t="s">
        <v>234</v>
      </c>
      <c r="D67" s="128">
        <v>120</v>
      </c>
      <c r="E67" s="128" t="s">
        <v>376</v>
      </c>
      <c r="F67" s="153">
        <v>0.29166666666666669</v>
      </c>
      <c r="G67" s="129">
        <v>45060</v>
      </c>
      <c r="H67" s="131">
        <f>Operações!L266 + 1</f>
        <v>266</v>
      </c>
      <c r="J67" s="66" t="str">
        <f>"INSERT INTO "&amp;$L$66&amp;"(idOperacao, designacaoSetor) VALUES ("&amp;H67&amp;", "&amp;A67&amp;");"</f>
        <v>INSERT INTO Rega(idOperacao, designacaoSetor) VALUES (266, 21);</v>
      </c>
      <c r="K67" s="66"/>
      <c r="L67" s="66"/>
      <c r="M67" s="66"/>
      <c r="N67" s="66"/>
      <c r="O67" s="124"/>
      <c r="P67" s="124"/>
      <c r="S67" s="10" t="str">
        <f xml:space="preserve"> "INSERT INTO " &amp;$U$66&amp; " (idOperacao, designacaoOperacaoAgricola, designacaoUnidade, quantidade, dataOperacao) VALUES (" &amp;H67&amp; ", '" &amp;C67&amp; "', " &amp;IF(ISBLANK(E67), "NULL", "'" &amp;E67&amp; "'" )&amp; ",  "&amp;IF(ISBLANK(D67), "NULL",TEXT(SUBSTITUTE(D67, "%", "") * 10, "0.0"))&amp;",  TO_DATE('"&amp;TEXT(G67,"DD/MM/AAAA")  &amp; " - " &amp;TEXT(F67,"hh:mm")&amp;"', 'DD/MM/YYYY - HH24:MI'));"</f>
        <v>INSERT INTO Operacao (idOperacao, designacaoOperacaoAgricola, designacaoUnidade, quantidade, dataOperacao) VALUES (266, 'Rega', 'min',  1200.0,  TO_DATE('14/05/Sunday - 07:00', 'DD/MM/YYYY - HH24:MI'));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BJ67" s="90" t="str">
        <f t="shared" ref="BJ67:BJ98" si="3" xml:space="preserve"> "INSERT INTO " &amp;$BL$66&amp; " (idOperacao, nomeParcela) VALUES (" &amp;H67&amp; ", '" &amp;B67&amp; "');"</f>
        <v>INSERT INTO OperacaoParcela (idOperacao, nomeParcela) VALUES (266, 'Lameiro da ponte');</v>
      </c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</row>
    <row r="68" spans="1:75">
      <c r="A68" s="127">
        <v>21</v>
      </c>
      <c r="B68" s="128" t="s">
        <v>220</v>
      </c>
      <c r="C68" s="128" t="s">
        <v>234</v>
      </c>
      <c r="D68" s="128">
        <v>120</v>
      </c>
      <c r="E68" s="128" t="s">
        <v>376</v>
      </c>
      <c r="F68" s="153">
        <v>0.29166666666666669</v>
      </c>
      <c r="G68" s="129">
        <v>45078</v>
      </c>
      <c r="H68" s="131">
        <f t="shared" ref="H68:H99" si="4">H67 + 1</f>
        <v>267</v>
      </c>
      <c r="J68" s="66" t="str">
        <f t="shared" ref="J68:J127" si="5">"INSERT INTO "&amp;$L$66&amp;"(idOperacao, designacaoSetor) VALUES ("&amp;H68&amp;", "&amp;A68&amp;");"</f>
        <v>INSERT INTO Rega(idOperacao, designacaoSetor) VALUES (267, 21);</v>
      </c>
      <c r="K68" s="66"/>
      <c r="L68" s="66"/>
      <c r="M68" s="66"/>
      <c r="N68" s="66"/>
      <c r="O68" s="66"/>
      <c r="P68" s="66"/>
      <c r="S68" s="10" t="str">
        <f t="shared" ref="S68:S127" si="6" xml:space="preserve"> "INSERT INTO " &amp;$U$66&amp; " (idOperacao, designacaoOperacaoAgricola, designacaoUnidade, quantidade, dataOperacao) VALUES (" &amp;H68&amp; ", '" &amp;C68&amp; "', " &amp;IF(ISBLANK(E68), "NULL", "'" &amp;E68&amp; "'" )&amp; ",  "&amp;IF(ISBLANK(D68), "NULL",TEXT(SUBSTITUTE(D68, "%", "") * 10, "0.0"))&amp;",  TO_DATE('"&amp;TEXT(G68,"DD/MM/AAAA")  &amp; " - " &amp;TEXT(F68,"hh:mm")&amp;"', 'DD/MM/YYYY - HH24:MI'));"</f>
        <v>INSERT INTO Operacao (idOperacao, designacaoOperacaoAgricola, designacaoUnidade, quantidade, dataOperacao) VALUES (267, 'Rega', 'min',  1200.0,  TO_DATE('01/06/Thursday - 07:00', 'DD/MM/YYYY - HH24:MI'));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BJ68" s="90" t="str">
        <f t="shared" si="3"/>
        <v>INSERT INTO OperacaoParcela (idOperacao, nomeParcela) VALUES (267, 'Lameiro da ponte');</v>
      </c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</row>
    <row r="69" spans="1:75">
      <c r="A69" s="127">
        <v>21</v>
      </c>
      <c r="B69" s="128" t="s">
        <v>220</v>
      </c>
      <c r="C69" s="128" t="s">
        <v>234</v>
      </c>
      <c r="D69" s="128">
        <v>120</v>
      </c>
      <c r="E69" s="128" t="s">
        <v>376</v>
      </c>
      <c r="F69" s="153">
        <v>0.29166666666666669</v>
      </c>
      <c r="G69" s="129">
        <v>45092</v>
      </c>
      <c r="H69" s="131">
        <f t="shared" si="4"/>
        <v>268</v>
      </c>
      <c r="J69" s="66" t="str">
        <f t="shared" si="5"/>
        <v>INSERT INTO Rega(idOperacao, designacaoSetor) VALUES (268, 21);</v>
      </c>
      <c r="K69" s="66"/>
      <c r="L69" s="66"/>
      <c r="M69" s="66"/>
      <c r="N69" s="66"/>
      <c r="O69" s="66"/>
      <c r="P69" s="66"/>
      <c r="S69" s="10" t="str">
        <f t="shared" si="6"/>
        <v>INSERT INTO Operacao (idOperacao, designacaoOperacaoAgricola, designacaoUnidade, quantidade, dataOperacao) VALUES (268, 'Rega', 'min',  1200.0,  TO_DATE('15/06/Thursday - 07:00', 'DD/MM/YYYY - HH24:MI'));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BJ69" s="90" t="str">
        <f t="shared" si="3"/>
        <v>INSERT INTO OperacaoParcela (idOperacao, nomeParcela) VALUES (268, 'Lameiro da ponte');</v>
      </c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</row>
    <row r="70" spans="1:75">
      <c r="A70" s="127">
        <v>21</v>
      </c>
      <c r="B70" s="128" t="s">
        <v>220</v>
      </c>
      <c r="C70" s="128" t="s">
        <v>234</v>
      </c>
      <c r="D70" s="128">
        <v>120</v>
      </c>
      <c r="E70" s="128" t="s">
        <v>376</v>
      </c>
      <c r="F70" s="153">
        <v>0.29166666666666669</v>
      </c>
      <c r="G70" s="129">
        <v>45107</v>
      </c>
      <c r="H70" s="131">
        <f t="shared" si="4"/>
        <v>269</v>
      </c>
      <c r="J70" s="66" t="str">
        <f t="shared" si="5"/>
        <v>INSERT INTO Rega(idOperacao, designacaoSetor) VALUES (269, 21);</v>
      </c>
      <c r="K70" s="66"/>
      <c r="L70" s="66"/>
      <c r="M70" s="66"/>
      <c r="N70" s="66"/>
      <c r="O70" s="66"/>
      <c r="P70" s="66"/>
      <c r="S70" s="10" t="str">
        <f t="shared" si="6"/>
        <v>INSERT INTO Operacao (idOperacao, designacaoOperacaoAgricola, designacaoUnidade, quantidade, dataOperacao) VALUES (269, 'Rega', 'min',  1200.0,  TO_DATE('30/06/Friday - 07:00', 'DD/MM/YYYY - HH24:MI'));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BJ70" s="90" t="str">
        <f t="shared" si="3"/>
        <v>INSERT INTO OperacaoParcela (idOperacao, nomeParcela) VALUES (269, 'Lameiro da ponte');</v>
      </c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</row>
    <row r="71" spans="1:75">
      <c r="A71" s="127">
        <v>21</v>
      </c>
      <c r="B71" s="128" t="s">
        <v>220</v>
      </c>
      <c r="C71" s="128" t="s">
        <v>234</v>
      </c>
      <c r="D71" s="128">
        <v>180</v>
      </c>
      <c r="E71" s="128" t="s">
        <v>376</v>
      </c>
      <c r="F71" s="153">
        <v>0.29166666666666669</v>
      </c>
      <c r="G71" s="129">
        <v>45114</v>
      </c>
      <c r="H71" s="131">
        <f t="shared" si="4"/>
        <v>270</v>
      </c>
      <c r="J71" s="66" t="str">
        <f t="shared" si="5"/>
        <v>INSERT INTO Rega(idOperacao, designacaoSetor) VALUES (270, 21);</v>
      </c>
      <c r="K71" s="66"/>
      <c r="L71" s="66"/>
      <c r="M71" s="66"/>
      <c r="N71" s="66"/>
      <c r="O71" s="66"/>
      <c r="P71" s="66"/>
      <c r="S71" s="10" t="str">
        <f t="shared" si="6"/>
        <v>INSERT INTO Operacao (idOperacao, designacaoOperacaoAgricola, designacaoUnidade, quantidade, dataOperacao) VALUES (270, 'Rega', 'min',  1800.0,  TO_DATE('07/07/Friday - 07:00', 'DD/MM/YYYY - HH24:MI'));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BJ71" s="90" t="str">
        <f t="shared" si="3"/>
        <v>INSERT INTO OperacaoParcela (idOperacao, nomeParcela) VALUES (270, 'Lameiro da ponte');</v>
      </c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</row>
    <row r="72" spans="1:75">
      <c r="A72" s="127">
        <v>21</v>
      </c>
      <c r="B72" s="128" t="s">
        <v>220</v>
      </c>
      <c r="C72" s="128" t="s">
        <v>234</v>
      </c>
      <c r="D72" s="128">
        <v>180</v>
      </c>
      <c r="E72" s="128" t="s">
        <v>376</v>
      </c>
      <c r="F72" s="153">
        <v>0.91666666666666663</v>
      </c>
      <c r="G72" s="129">
        <v>45121</v>
      </c>
      <c r="H72" s="131">
        <f t="shared" si="4"/>
        <v>271</v>
      </c>
      <c r="J72" s="66" t="str">
        <f t="shared" si="5"/>
        <v>INSERT INTO Rega(idOperacao, designacaoSetor) VALUES (271, 21);</v>
      </c>
      <c r="K72" s="66"/>
      <c r="L72" s="66"/>
      <c r="M72" s="66"/>
      <c r="N72" s="66"/>
      <c r="O72" s="66"/>
      <c r="P72" s="66"/>
      <c r="S72" s="10" t="str">
        <f t="shared" si="6"/>
        <v>INSERT INTO Operacao (idOperacao, designacaoOperacaoAgricola, designacaoUnidade, quantidade, dataOperacao) VALUES (271, 'Rega', 'min',  1800.0,  TO_DATE('14/07/Friday - 22:00', 'DD/MM/YYYY - HH24:MI'));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BJ72" s="90" t="str">
        <f t="shared" si="3"/>
        <v>INSERT INTO OperacaoParcela (idOperacao, nomeParcela) VALUES (271, 'Lameiro da ponte');</v>
      </c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</row>
    <row r="73" spans="1:75">
      <c r="A73" s="127">
        <v>21</v>
      </c>
      <c r="B73" s="128" t="s">
        <v>220</v>
      </c>
      <c r="C73" s="128" t="s">
        <v>234</v>
      </c>
      <c r="D73" s="128">
        <v>180</v>
      </c>
      <c r="E73" s="128" t="s">
        <v>376</v>
      </c>
      <c r="F73" s="153">
        <v>0.91666666666666663</v>
      </c>
      <c r="G73" s="129">
        <v>45128</v>
      </c>
      <c r="H73" s="131">
        <f t="shared" si="4"/>
        <v>272</v>
      </c>
      <c r="J73" s="66" t="str">
        <f t="shared" si="5"/>
        <v>INSERT INTO Rega(idOperacao, designacaoSetor) VALUES (272, 21);</v>
      </c>
      <c r="K73" s="66"/>
      <c r="L73" s="66"/>
      <c r="M73" s="66"/>
      <c r="N73" s="66"/>
      <c r="O73" s="66"/>
      <c r="P73" s="66"/>
      <c r="S73" s="10" t="str">
        <f t="shared" si="6"/>
        <v>INSERT INTO Operacao (idOperacao, designacaoOperacaoAgricola, designacaoUnidade, quantidade, dataOperacao) VALUES (272, 'Rega', 'min',  1800.0,  TO_DATE('21/07/Friday - 22:00', 'DD/MM/YYYY - HH24:MI'));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BJ73" s="90" t="str">
        <f t="shared" si="3"/>
        <v>INSERT INTO OperacaoParcela (idOperacao, nomeParcela) VALUES (272, 'Lameiro da ponte');</v>
      </c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</row>
    <row r="74" spans="1:75">
      <c r="A74" s="127">
        <v>21</v>
      </c>
      <c r="B74" s="128" t="s">
        <v>220</v>
      </c>
      <c r="C74" s="128" t="s">
        <v>234</v>
      </c>
      <c r="D74" s="128">
        <v>180</v>
      </c>
      <c r="E74" s="128" t="s">
        <v>376</v>
      </c>
      <c r="F74" s="153">
        <v>0.91666666666666663</v>
      </c>
      <c r="G74" s="129">
        <v>45135</v>
      </c>
      <c r="H74" s="131">
        <f t="shared" si="4"/>
        <v>273</v>
      </c>
      <c r="J74" s="66" t="str">
        <f t="shared" si="5"/>
        <v>INSERT INTO Rega(idOperacao, designacaoSetor) VALUES (273, 21);</v>
      </c>
      <c r="K74" s="66"/>
      <c r="L74" s="66"/>
      <c r="M74" s="66"/>
      <c r="N74" s="66"/>
      <c r="O74" s="66"/>
      <c r="P74" s="66"/>
      <c r="S74" s="10" t="str">
        <f t="shared" si="6"/>
        <v>INSERT INTO Operacao (idOperacao, designacaoOperacaoAgricola, designacaoUnidade, quantidade, dataOperacao) VALUES (273, 'Rega', 'min',  1800.0,  TO_DATE('28/07/Friday - 22:00', 'DD/MM/YYYY - HH24:MI'));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BJ74" s="90" t="str">
        <f t="shared" si="3"/>
        <v>INSERT INTO OperacaoParcela (idOperacao, nomeParcela) VALUES (273, 'Lameiro da ponte');</v>
      </c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</row>
    <row r="75" spans="1:75">
      <c r="A75" s="127">
        <v>21</v>
      </c>
      <c r="B75" s="128" t="s">
        <v>220</v>
      </c>
      <c r="C75" s="128" t="s">
        <v>234</v>
      </c>
      <c r="D75" s="128">
        <v>150</v>
      </c>
      <c r="E75" s="128" t="s">
        <v>376</v>
      </c>
      <c r="F75" s="153">
        <v>0.91666666666666663</v>
      </c>
      <c r="G75" s="129">
        <v>45142</v>
      </c>
      <c r="H75" s="131">
        <f t="shared" si="4"/>
        <v>274</v>
      </c>
      <c r="J75" s="66" t="str">
        <f t="shared" si="5"/>
        <v>INSERT INTO Rega(idOperacao, designacaoSetor) VALUES (274, 21);</v>
      </c>
      <c r="K75" s="66"/>
      <c r="L75" s="66"/>
      <c r="M75" s="66"/>
      <c r="N75" s="66"/>
      <c r="O75" s="66"/>
      <c r="P75" s="66"/>
      <c r="S75" s="10" t="str">
        <f t="shared" si="6"/>
        <v>INSERT INTO Operacao (idOperacao, designacaoOperacaoAgricola, designacaoUnidade, quantidade, dataOperacao) VALUES (274, 'Rega', 'min',  1500.0,  TO_DATE('04/08/Friday - 22:00', 'DD/MM/YYYY - HH24:MI'));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BJ75" s="90" t="str">
        <f t="shared" si="3"/>
        <v>INSERT INTO OperacaoParcela (idOperacao, nomeParcela) VALUES (274, 'Lameiro da ponte');</v>
      </c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</row>
    <row r="76" spans="1:75">
      <c r="A76" s="127">
        <v>21</v>
      </c>
      <c r="B76" s="128" t="s">
        <v>220</v>
      </c>
      <c r="C76" s="128" t="s">
        <v>234</v>
      </c>
      <c r="D76" s="128">
        <v>150</v>
      </c>
      <c r="E76" s="128" t="s">
        <v>376</v>
      </c>
      <c r="F76" s="153">
        <v>0.91666666666666663</v>
      </c>
      <c r="G76" s="129">
        <v>45149</v>
      </c>
      <c r="H76" s="131">
        <f t="shared" si="4"/>
        <v>275</v>
      </c>
      <c r="J76" s="66" t="str">
        <f t="shared" si="5"/>
        <v>INSERT INTO Rega(idOperacao, designacaoSetor) VALUES (275, 21);</v>
      </c>
      <c r="K76" s="66"/>
      <c r="L76" s="66"/>
      <c r="M76" s="66"/>
      <c r="N76" s="66"/>
      <c r="O76" s="66"/>
      <c r="P76" s="66"/>
      <c r="S76" s="10" t="str">
        <f t="shared" si="6"/>
        <v>INSERT INTO Operacao (idOperacao, designacaoOperacaoAgricola, designacaoUnidade, quantidade, dataOperacao) VALUES (275, 'Rega', 'min',  1500.0,  TO_DATE('11/08/Friday - 22:00', 'DD/MM/YYYY - HH24:MI'));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BJ76" s="90" t="str">
        <f t="shared" si="3"/>
        <v>INSERT INTO OperacaoParcela (idOperacao, nomeParcela) VALUES (275, 'Lameiro da ponte');</v>
      </c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</row>
    <row r="77" spans="1:75">
      <c r="A77" s="127">
        <v>21</v>
      </c>
      <c r="B77" s="128" t="s">
        <v>220</v>
      </c>
      <c r="C77" s="128" t="s">
        <v>234</v>
      </c>
      <c r="D77" s="128">
        <v>150</v>
      </c>
      <c r="E77" s="128" t="s">
        <v>376</v>
      </c>
      <c r="F77" s="153">
        <v>0.91666666666666663</v>
      </c>
      <c r="G77" s="129">
        <v>45156</v>
      </c>
      <c r="H77" s="131">
        <f t="shared" si="4"/>
        <v>276</v>
      </c>
      <c r="J77" s="66" t="str">
        <f t="shared" si="5"/>
        <v>INSERT INTO Rega(idOperacao, designacaoSetor) VALUES (276, 21);</v>
      </c>
      <c r="K77" s="66"/>
      <c r="L77" s="66"/>
      <c r="M77" s="66"/>
      <c r="N77" s="66"/>
      <c r="O77" s="66"/>
      <c r="P77" s="66"/>
      <c r="S77" s="10" t="str">
        <f t="shared" si="6"/>
        <v>INSERT INTO Operacao (idOperacao, designacaoOperacaoAgricola, designacaoUnidade, quantidade, dataOperacao) VALUES (276, 'Rega', 'min',  1500.0,  TO_DATE('18/08/Friday - 22:00', 'DD/MM/YYYY - HH24:MI'));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BJ77" s="90" t="str">
        <f t="shared" si="3"/>
        <v>INSERT INTO OperacaoParcela (idOperacao, nomeParcela) VALUES (276, 'Lameiro da ponte');</v>
      </c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</row>
    <row r="78" spans="1:75">
      <c r="A78" s="127">
        <v>21</v>
      </c>
      <c r="B78" s="128" t="s">
        <v>220</v>
      </c>
      <c r="C78" s="128" t="s">
        <v>234</v>
      </c>
      <c r="D78" s="128">
        <v>120</v>
      </c>
      <c r="E78" s="128" t="s">
        <v>376</v>
      </c>
      <c r="F78" s="153">
        <v>0.91666666666666663</v>
      </c>
      <c r="G78" s="129">
        <v>45163</v>
      </c>
      <c r="H78" s="131">
        <f t="shared" si="4"/>
        <v>277</v>
      </c>
      <c r="J78" s="66" t="str">
        <f t="shared" si="5"/>
        <v>INSERT INTO Rega(idOperacao, designacaoSetor) VALUES (277, 21);</v>
      </c>
      <c r="K78" s="66"/>
      <c r="L78" s="66"/>
      <c r="M78" s="66"/>
      <c r="N78" s="66"/>
      <c r="O78" s="66"/>
      <c r="P78" s="66"/>
      <c r="S78" s="10" t="str">
        <f t="shared" si="6"/>
        <v>INSERT INTO Operacao (idOperacao, designacaoOperacaoAgricola, designacaoUnidade, quantidade, dataOperacao) VALUES (277, 'Rega', 'min',  1200.0,  TO_DATE('25/08/Friday - 22:00', 'DD/MM/YYYY - HH24:MI'));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BJ78" s="90" t="str">
        <f t="shared" si="3"/>
        <v>INSERT INTO OperacaoParcela (idOperacao, nomeParcela) VALUES (277, 'Lameiro da ponte');</v>
      </c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</row>
    <row r="79" spans="1:75">
      <c r="A79" s="127">
        <v>21</v>
      </c>
      <c r="B79" s="128" t="s">
        <v>220</v>
      </c>
      <c r="C79" s="128" t="s">
        <v>234</v>
      </c>
      <c r="D79" s="128">
        <v>120</v>
      </c>
      <c r="E79" s="128" t="s">
        <v>376</v>
      </c>
      <c r="F79" s="153">
        <v>0.91666666666666663</v>
      </c>
      <c r="G79" s="129">
        <v>45170</v>
      </c>
      <c r="H79" s="131">
        <f t="shared" si="4"/>
        <v>278</v>
      </c>
      <c r="J79" s="66" t="str">
        <f t="shared" si="5"/>
        <v>INSERT INTO Rega(idOperacao, designacaoSetor) VALUES (278, 21);</v>
      </c>
      <c r="K79" s="66"/>
      <c r="L79" s="66"/>
      <c r="M79" s="66"/>
      <c r="N79" s="66"/>
      <c r="O79" s="66"/>
      <c r="P79" s="66"/>
      <c r="S79" s="10" t="str">
        <f t="shared" si="6"/>
        <v>INSERT INTO Operacao (idOperacao, designacaoOperacaoAgricola, designacaoUnidade, quantidade, dataOperacao) VALUES (278, 'Rega', 'min',  1200.0,  TO_DATE('01/09/Friday - 22:00', 'DD/MM/YYYY - HH24:MI'));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BJ79" s="90" t="str">
        <f t="shared" si="3"/>
        <v>INSERT INTO OperacaoParcela (idOperacao, nomeParcela) VALUES (278, 'Lameiro da ponte');</v>
      </c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</row>
    <row r="80" spans="1:75">
      <c r="A80" s="127">
        <v>21</v>
      </c>
      <c r="B80" s="128" t="s">
        <v>220</v>
      </c>
      <c r="C80" s="128" t="s">
        <v>234</v>
      </c>
      <c r="D80" s="128">
        <v>120</v>
      </c>
      <c r="E80" s="128" t="s">
        <v>376</v>
      </c>
      <c r="F80" s="153">
        <v>0.91666666666666663</v>
      </c>
      <c r="G80" s="129">
        <v>45177</v>
      </c>
      <c r="H80" s="131">
        <f t="shared" si="4"/>
        <v>279</v>
      </c>
      <c r="J80" s="66" t="str">
        <f t="shared" si="5"/>
        <v>INSERT INTO Rega(idOperacao, designacaoSetor) VALUES (279, 21);</v>
      </c>
      <c r="K80" s="66"/>
      <c r="L80" s="66"/>
      <c r="M80" s="66"/>
      <c r="N80" s="66"/>
      <c r="O80" s="66"/>
      <c r="P80" s="66"/>
      <c r="S80" s="10" t="str">
        <f t="shared" si="6"/>
        <v>INSERT INTO Operacao (idOperacao, designacaoOperacaoAgricola, designacaoUnidade, quantidade, dataOperacao) VALUES (279, 'Rega', 'min',  1200.0,  TO_DATE('08/09/Friday - 22:00', 'DD/MM/YYYY - HH24:MI'));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BJ80" s="90" t="str">
        <f t="shared" si="3"/>
        <v>INSERT INTO OperacaoParcela (idOperacao, nomeParcela) VALUES (279, 'Lameiro da ponte');</v>
      </c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</row>
    <row r="81" spans="1:75">
      <c r="A81" s="127">
        <v>22</v>
      </c>
      <c r="B81" s="128" t="s">
        <v>221</v>
      </c>
      <c r="C81" s="128" t="s">
        <v>234</v>
      </c>
      <c r="D81" s="128">
        <v>120</v>
      </c>
      <c r="E81" s="128" t="s">
        <v>376</v>
      </c>
      <c r="F81" s="153">
        <v>0.95833333333333337</v>
      </c>
      <c r="G81" s="129">
        <v>45059</v>
      </c>
      <c r="H81" s="131">
        <f t="shared" si="4"/>
        <v>280</v>
      </c>
      <c r="J81" s="66" t="str">
        <f t="shared" si="5"/>
        <v>INSERT INTO Rega(idOperacao, designacaoSetor) VALUES (280, 22);</v>
      </c>
      <c r="K81" s="66"/>
      <c r="L81" s="66"/>
      <c r="M81" s="66"/>
      <c r="N81" s="66"/>
      <c r="O81" s="66"/>
      <c r="P81" s="66"/>
      <c r="S81" s="10" t="str">
        <f t="shared" si="6"/>
        <v>INSERT INTO Operacao (idOperacao, designacaoOperacaoAgricola, designacaoUnidade, quantidade, dataOperacao) VALUES (280, 'Rega', 'min',  1200.0,  TO_DATE('13/05/Saturday - 23:00', 'DD/MM/YYYY - HH24:MI'));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BJ81" s="90" t="str">
        <f t="shared" si="3"/>
        <v>INSERT INTO OperacaoParcela (idOperacao, nomeParcela) VALUES (280, 'Lameiro do moinho');</v>
      </c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</row>
    <row r="82" spans="1:75">
      <c r="A82" s="127">
        <v>22</v>
      </c>
      <c r="B82" s="128" t="s">
        <v>221</v>
      </c>
      <c r="C82" s="128" t="s">
        <v>234</v>
      </c>
      <c r="D82" s="128">
        <v>120</v>
      </c>
      <c r="E82" s="128" t="s">
        <v>376</v>
      </c>
      <c r="F82" s="153">
        <v>0.95833333333333337</v>
      </c>
      <c r="G82" s="129">
        <v>45079</v>
      </c>
      <c r="H82" s="131">
        <f t="shared" si="4"/>
        <v>281</v>
      </c>
      <c r="J82" s="66" t="str">
        <f t="shared" si="5"/>
        <v>INSERT INTO Rega(idOperacao, designacaoSetor) VALUES (281, 22);</v>
      </c>
      <c r="K82" s="66"/>
      <c r="L82" s="66"/>
      <c r="M82" s="66"/>
      <c r="N82" s="66"/>
      <c r="O82" s="66"/>
      <c r="P82" s="66"/>
      <c r="S82" s="10" t="str">
        <f t="shared" si="6"/>
        <v>INSERT INTO Operacao (idOperacao, designacaoOperacaoAgricola, designacaoUnidade, quantidade, dataOperacao) VALUES (281, 'Rega', 'min',  1200.0,  TO_DATE('02/06/Friday - 23:00', 'DD/MM/YYYY - HH24:MI'));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BJ82" s="90" t="str">
        <f t="shared" si="3"/>
        <v>INSERT INTO OperacaoParcela (idOperacao, nomeParcela) VALUES (281, 'Lameiro do moinho');</v>
      </c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</row>
    <row r="83" spans="1:75">
      <c r="A83" s="127">
        <v>22</v>
      </c>
      <c r="B83" s="128" t="s">
        <v>221</v>
      </c>
      <c r="C83" s="128" t="s">
        <v>234</v>
      </c>
      <c r="D83" s="128">
        <v>120</v>
      </c>
      <c r="E83" s="128" t="s">
        <v>376</v>
      </c>
      <c r="F83" s="153">
        <v>0.95833333333333337</v>
      </c>
      <c r="G83" s="129">
        <v>45093</v>
      </c>
      <c r="H83" s="131">
        <f t="shared" si="4"/>
        <v>282</v>
      </c>
      <c r="J83" s="66" t="str">
        <f t="shared" si="5"/>
        <v>INSERT INTO Rega(idOperacao, designacaoSetor) VALUES (282, 22);</v>
      </c>
      <c r="K83" s="66"/>
      <c r="L83" s="66"/>
      <c r="M83" s="66"/>
      <c r="N83" s="66"/>
      <c r="O83" s="66"/>
      <c r="P83" s="66"/>
      <c r="S83" s="10" t="str">
        <f t="shared" si="6"/>
        <v>INSERT INTO Operacao (idOperacao, designacaoOperacaoAgricola, designacaoUnidade, quantidade, dataOperacao) VALUES (282, 'Rega', 'min',  1200.0,  TO_DATE('16/06/Friday - 23:00', 'DD/MM/YYYY - HH24:MI'));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BJ83" s="90" t="str">
        <f t="shared" si="3"/>
        <v>INSERT INTO OperacaoParcela (idOperacao, nomeParcela) VALUES (282, 'Lameiro do moinho');</v>
      </c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</row>
    <row r="84" spans="1:75">
      <c r="A84" s="127">
        <v>22</v>
      </c>
      <c r="B84" s="128" t="s">
        <v>221</v>
      </c>
      <c r="C84" s="128" t="s">
        <v>234</v>
      </c>
      <c r="D84" s="128">
        <v>120</v>
      </c>
      <c r="E84" s="128" t="s">
        <v>376</v>
      </c>
      <c r="F84" s="153">
        <v>0.95833333333333337</v>
      </c>
      <c r="G84" s="129">
        <v>45108</v>
      </c>
      <c r="H84" s="131">
        <f t="shared" si="4"/>
        <v>283</v>
      </c>
      <c r="J84" s="66" t="str">
        <f t="shared" si="5"/>
        <v>INSERT INTO Rega(idOperacao, designacaoSetor) VALUES (283, 22);</v>
      </c>
      <c r="K84" s="66"/>
      <c r="L84" s="66"/>
      <c r="M84" s="66"/>
      <c r="N84" s="66"/>
      <c r="O84" s="66"/>
      <c r="P84" s="66"/>
      <c r="S84" s="10" t="str">
        <f t="shared" si="6"/>
        <v>INSERT INTO Operacao (idOperacao, designacaoOperacaoAgricola, designacaoUnidade, quantidade, dataOperacao) VALUES (283, 'Rega', 'min',  1200.0,  TO_DATE('01/07/Saturday - 23:00', 'DD/MM/YYYY - HH24:MI'));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BJ84" s="90" t="str">
        <f t="shared" si="3"/>
        <v>INSERT INTO OperacaoParcela (idOperacao, nomeParcela) VALUES (283, 'Lameiro do moinho');</v>
      </c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</row>
    <row r="85" spans="1:75">
      <c r="A85" s="127">
        <v>22</v>
      </c>
      <c r="B85" s="128" t="s">
        <v>221</v>
      </c>
      <c r="C85" s="128" t="s">
        <v>234</v>
      </c>
      <c r="D85" s="128">
        <v>180</v>
      </c>
      <c r="E85" s="128" t="s">
        <v>376</v>
      </c>
      <c r="F85" s="153">
        <v>0.95833333333333337</v>
      </c>
      <c r="G85" s="129">
        <v>45115</v>
      </c>
      <c r="H85" s="131">
        <f t="shared" si="4"/>
        <v>284</v>
      </c>
      <c r="J85" s="66" t="str">
        <f t="shared" si="5"/>
        <v>INSERT INTO Rega(idOperacao, designacaoSetor) VALUES (284, 22);</v>
      </c>
      <c r="K85" s="66"/>
      <c r="L85" s="66"/>
      <c r="M85" s="66"/>
      <c r="N85" s="66"/>
      <c r="O85" s="66"/>
      <c r="P85" s="66"/>
      <c r="S85" s="10" t="str">
        <f t="shared" si="6"/>
        <v>INSERT INTO Operacao (idOperacao, designacaoOperacaoAgricola, designacaoUnidade, quantidade, dataOperacao) VALUES (284, 'Rega', 'min',  1800.0,  TO_DATE('08/07/Saturday - 23:00', 'DD/MM/YYYY - HH24:MI'));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BJ85" s="90" t="str">
        <f t="shared" si="3"/>
        <v>INSERT INTO OperacaoParcela (idOperacao, nomeParcela) VALUES (284, 'Lameiro do moinho');</v>
      </c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</row>
    <row r="86" spans="1:75">
      <c r="A86" s="127">
        <v>22</v>
      </c>
      <c r="B86" s="128" t="s">
        <v>221</v>
      </c>
      <c r="C86" s="128" t="s">
        <v>234</v>
      </c>
      <c r="D86" s="128">
        <v>180</v>
      </c>
      <c r="E86" s="128" t="s">
        <v>376</v>
      </c>
      <c r="F86" s="153">
        <v>0.95833333333333337</v>
      </c>
      <c r="G86" s="129">
        <v>45122</v>
      </c>
      <c r="H86" s="131">
        <f t="shared" si="4"/>
        <v>285</v>
      </c>
      <c r="J86" s="66" t="str">
        <f t="shared" si="5"/>
        <v>INSERT INTO Rega(idOperacao, designacaoSetor) VALUES (285, 22);</v>
      </c>
      <c r="K86" s="66"/>
      <c r="L86" s="66"/>
      <c r="M86" s="66"/>
      <c r="N86" s="66"/>
      <c r="O86" s="66"/>
      <c r="P86" s="66"/>
      <c r="S86" s="10" t="str">
        <f t="shared" si="6"/>
        <v>INSERT INTO Operacao (idOperacao, designacaoOperacaoAgricola, designacaoUnidade, quantidade, dataOperacao) VALUES (285, 'Rega', 'min',  1800.0,  TO_DATE('15/07/Saturday - 23:00', 'DD/MM/YYYY - HH24:MI'));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BJ86" s="90" t="str">
        <f t="shared" si="3"/>
        <v>INSERT INTO OperacaoParcela (idOperacao, nomeParcela) VALUES (285, 'Lameiro do moinho');</v>
      </c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</row>
    <row r="87" spans="1:75">
      <c r="A87" s="127">
        <v>22</v>
      </c>
      <c r="B87" s="128" t="s">
        <v>221</v>
      </c>
      <c r="C87" s="128" t="s">
        <v>234</v>
      </c>
      <c r="D87" s="128">
        <v>180</v>
      </c>
      <c r="E87" s="128" t="s">
        <v>376</v>
      </c>
      <c r="F87" s="153">
        <v>0.95833333333333337</v>
      </c>
      <c r="G87" s="129">
        <v>45129</v>
      </c>
      <c r="H87" s="131">
        <f t="shared" si="4"/>
        <v>286</v>
      </c>
      <c r="J87" s="66" t="str">
        <f t="shared" si="5"/>
        <v>INSERT INTO Rega(idOperacao, designacaoSetor) VALUES (286, 22);</v>
      </c>
      <c r="K87" s="66"/>
      <c r="L87" s="66"/>
      <c r="M87" s="66"/>
      <c r="N87" s="66"/>
      <c r="O87" s="66"/>
      <c r="P87" s="66"/>
      <c r="S87" s="10" t="str">
        <f t="shared" si="6"/>
        <v>INSERT INTO Operacao (idOperacao, designacaoOperacaoAgricola, designacaoUnidade, quantidade, dataOperacao) VALUES (286, 'Rega', 'min',  1800.0,  TO_DATE('22/07/Saturday - 23:00', 'DD/MM/YYYY - HH24:MI'));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BJ87" s="90" t="str">
        <f t="shared" si="3"/>
        <v>INSERT INTO OperacaoParcela (idOperacao, nomeParcela) VALUES (286, 'Lameiro do moinho');</v>
      </c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</row>
    <row r="88" spans="1:75">
      <c r="A88" s="127">
        <v>22</v>
      </c>
      <c r="B88" s="128" t="s">
        <v>221</v>
      </c>
      <c r="C88" s="128" t="s">
        <v>234</v>
      </c>
      <c r="D88" s="128">
        <v>180</v>
      </c>
      <c r="E88" s="128" t="s">
        <v>376</v>
      </c>
      <c r="F88" s="153">
        <v>0.95833333333333337</v>
      </c>
      <c r="G88" s="129">
        <v>45136</v>
      </c>
      <c r="H88" s="131">
        <f t="shared" si="4"/>
        <v>287</v>
      </c>
      <c r="J88" s="66" t="str">
        <f t="shared" si="5"/>
        <v>INSERT INTO Rega(idOperacao, designacaoSetor) VALUES (287, 22);</v>
      </c>
      <c r="K88" s="66"/>
      <c r="L88" s="66"/>
      <c r="M88" s="66"/>
      <c r="N88" s="66"/>
      <c r="O88" s="66"/>
      <c r="P88" s="66"/>
      <c r="S88" s="10" t="str">
        <f t="shared" si="6"/>
        <v>INSERT INTO Operacao (idOperacao, designacaoOperacaoAgricola, designacaoUnidade, quantidade, dataOperacao) VALUES (287, 'Rega', 'min',  1800.0,  TO_DATE('29/07/Saturday - 23:00', 'DD/MM/YYYY - HH24:MI'));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BJ88" s="90" t="str">
        <f t="shared" si="3"/>
        <v>INSERT INTO OperacaoParcela (idOperacao, nomeParcela) VALUES (287, 'Lameiro do moinho');</v>
      </c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</row>
    <row r="89" spans="1:75">
      <c r="A89" s="127">
        <v>22</v>
      </c>
      <c r="B89" s="128" t="s">
        <v>221</v>
      </c>
      <c r="C89" s="128" t="s">
        <v>234</v>
      </c>
      <c r="D89" s="128">
        <v>150</v>
      </c>
      <c r="E89" s="128" t="s">
        <v>376</v>
      </c>
      <c r="F89" s="153">
        <v>0.95833333333333337</v>
      </c>
      <c r="G89" s="129">
        <v>45143</v>
      </c>
      <c r="H89" s="131">
        <f t="shared" si="4"/>
        <v>288</v>
      </c>
      <c r="J89" s="66" t="str">
        <f t="shared" si="5"/>
        <v>INSERT INTO Rega(idOperacao, designacaoSetor) VALUES (288, 22);</v>
      </c>
      <c r="K89" s="66"/>
      <c r="L89" s="66"/>
      <c r="M89" s="66"/>
      <c r="N89" s="66"/>
      <c r="O89" s="66"/>
      <c r="P89" s="66"/>
      <c r="S89" s="10" t="str">
        <f t="shared" si="6"/>
        <v>INSERT INTO Operacao (idOperacao, designacaoOperacaoAgricola, designacaoUnidade, quantidade, dataOperacao) VALUES (288, 'Rega', 'min',  1500.0,  TO_DATE('05/08/Saturday - 23:00', 'DD/MM/YYYY - HH24:MI'));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BJ89" s="90" t="str">
        <f t="shared" si="3"/>
        <v>INSERT INTO OperacaoParcela (idOperacao, nomeParcela) VALUES (288, 'Lameiro do moinho');</v>
      </c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</row>
    <row r="90" spans="1:75">
      <c r="A90" s="127">
        <v>22</v>
      </c>
      <c r="B90" s="128" t="s">
        <v>221</v>
      </c>
      <c r="C90" s="128" t="s">
        <v>234</v>
      </c>
      <c r="D90" s="128">
        <v>150</v>
      </c>
      <c r="E90" s="128" t="s">
        <v>376</v>
      </c>
      <c r="F90" s="153">
        <v>0.95833333333333337</v>
      </c>
      <c r="G90" s="129">
        <v>45148</v>
      </c>
      <c r="H90" s="131">
        <f t="shared" si="4"/>
        <v>289</v>
      </c>
      <c r="J90" s="66" t="str">
        <f t="shared" si="5"/>
        <v>INSERT INTO Rega(idOperacao, designacaoSetor) VALUES (289, 22);</v>
      </c>
      <c r="K90" s="66"/>
      <c r="L90" s="66"/>
      <c r="M90" s="66"/>
      <c r="N90" s="66"/>
      <c r="O90" s="66"/>
      <c r="P90" s="66"/>
      <c r="S90" s="10" t="str">
        <f t="shared" si="6"/>
        <v>INSERT INTO Operacao (idOperacao, designacaoOperacaoAgricola, designacaoUnidade, quantidade, dataOperacao) VALUES (289, 'Rega', 'min',  1500.0,  TO_DATE('10/08/Thursday - 23:00', 'DD/MM/YYYY - HH24:MI'));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BJ90" s="90" t="str">
        <f t="shared" si="3"/>
        <v>INSERT INTO OperacaoParcela (idOperacao, nomeParcela) VALUES (289, 'Lameiro do moinho');</v>
      </c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</row>
    <row r="91" spans="1:75">
      <c r="A91" s="127">
        <v>22</v>
      </c>
      <c r="B91" s="128" t="s">
        <v>221</v>
      </c>
      <c r="C91" s="128" t="s">
        <v>234</v>
      </c>
      <c r="D91" s="128">
        <v>150</v>
      </c>
      <c r="E91" s="128" t="s">
        <v>376</v>
      </c>
      <c r="F91" s="153">
        <v>0.95833333333333337</v>
      </c>
      <c r="G91" s="129">
        <v>45155</v>
      </c>
      <c r="H91" s="131">
        <f t="shared" si="4"/>
        <v>290</v>
      </c>
      <c r="J91" s="66" t="str">
        <f t="shared" si="5"/>
        <v>INSERT INTO Rega(idOperacao, designacaoSetor) VALUES (290, 22);</v>
      </c>
      <c r="K91" s="66"/>
      <c r="L91" s="66"/>
      <c r="M91" s="66"/>
      <c r="N91" s="66"/>
      <c r="O91" s="66"/>
      <c r="P91" s="66"/>
      <c r="S91" s="10" t="str">
        <f t="shared" si="6"/>
        <v>INSERT INTO Operacao (idOperacao, designacaoOperacaoAgricola, designacaoUnidade, quantidade, dataOperacao) VALUES (290, 'Rega', 'min',  1500.0,  TO_DATE('17/08/Thursday - 23:00', 'DD/MM/YYYY - HH24:MI'));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BJ91" s="90" t="str">
        <f t="shared" si="3"/>
        <v>INSERT INTO OperacaoParcela (idOperacao, nomeParcela) VALUES (290, 'Lameiro do moinho');</v>
      </c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</row>
    <row r="92" spans="1:75">
      <c r="A92" s="127">
        <v>22</v>
      </c>
      <c r="B92" s="128" t="s">
        <v>221</v>
      </c>
      <c r="C92" s="128" t="s">
        <v>234</v>
      </c>
      <c r="D92" s="128">
        <v>120</v>
      </c>
      <c r="E92" s="128" t="s">
        <v>376</v>
      </c>
      <c r="F92" s="153">
        <v>0.95833333333333337</v>
      </c>
      <c r="G92" s="129">
        <v>45162</v>
      </c>
      <c r="H92" s="131">
        <f t="shared" si="4"/>
        <v>291</v>
      </c>
      <c r="J92" s="66" t="str">
        <f t="shared" si="5"/>
        <v>INSERT INTO Rega(idOperacao, designacaoSetor) VALUES (291, 22);</v>
      </c>
      <c r="K92" s="66"/>
      <c r="L92" s="66"/>
      <c r="M92" s="66"/>
      <c r="N92" s="66"/>
      <c r="O92" s="66"/>
      <c r="P92" s="66"/>
      <c r="S92" s="10" t="str">
        <f t="shared" si="6"/>
        <v>INSERT INTO Operacao (idOperacao, designacaoOperacaoAgricola, designacaoUnidade, quantidade, dataOperacao) VALUES (291, 'Rega', 'min',  1200.0,  TO_DATE('24/08/Thursday - 23:00', 'DD/MM/YYYY - HH24:MI'));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BJ92" s="90" t="str">
        <f t="shared" si="3"/>
        <v>INSERT INTO OperacaoParcela (idOperacao, nomeParcela) VALUES (291, 'Lameiro do moinho');</v>
      </c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</row>
    <row r="93" spans="1:75">
      <c r="A93" s="127">
        <v>22</v>
      </c>
      <c r="B93" s="128" t="s">
        <v>221</v>
      </c>
      <c r="C93" s="128" t="s">
        <v>234</v>
      </c>
      <c r="D93" s="128">
        <v>120</v>
      </c>
      <c r="E93" s="128" t="s">
        <v>376</v>
      </c>
      <c r="F93" s="153">
        <v>0.95833333333333337</v>
      </c>
      <c r="G93" s="129">
        <v>45171</v>
      </c>
      <c r="H93" s="131">
        <f t="shared" si="4"/>
        <v>292</v>
      </c>
      <c r="J93" s="66" t="str">
        <f t="shared" si="5"/>
        <v>INSERT INTO Rega(idOperacao, designacaoSetor) VALUES (292, 22);</v>
      </c>
      <c r="K93" s="66"/>
      <c r="L93" s="66"/>
      <c r="M93" s="66"/>
      <c r="N93" s="66"/>
      <c r="O93" s="66"/>
      <c r="P93" s="66"/>
      <c r="S93" s="10" t="str">
        <f t="shared" si="6"/>
        <v>INSERT INTO Operacao (idOperacao, designacaoOperacaoAgricola, designacaoUnidade, quantidade, dataOperacao) VALUES (292, 'Rega', 'min',  1200.0,  TO_DATE('02/09/Saturday - 23:00', 'DD/MM/YYYY - HH24:MI'));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BJ93" s="90" t="str">
        <f t="shared" si="3"/>
        <v>INSERT INTO OperacaoParcela (idOperacao, nomeParcela) VALUES (292, 'Lameiro do moinho');</v>
      </c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</row>
    <row r="94" spans="1:75">
      <c r="A94" s="127">
        <v>22</v>
      </c>
      <c r="B94" s="128" t="s">
        <v>221</v>
      </c>
      <c r="C94" s="128" t="s">
        <v>234</v>
      </c>
      <c r="D94" s="128">
        <v>120</v>
      </c>
      <c r="E94" s="128" t="s">
        <v>376</v>
      </c>
      <c r="F94" s="153">
        <v>0.95833333333333337</v>
      </c>
      <c r="G94" s="129">
        <v>45178</v>
      </c>
      <c r="H94" s="131">
        <f t="shared" si="4"/>
        <v>293</v>
      </c>
      <c r="J94" s="66" t="str">
        <f t="shared" si="5"/>
        <v>INSERT INTO Rega(idOperacao, designacaoSetor) VALUES (293, 22);</v>
      </c>
      <c r="K94" s="66"/>
      <c r="L94" s="66"/>
      <c r="M94" s="66"/>
      <c r="N94" s="66"/>
      <c r="O94" s="66"/>
      <c r="P94" s="66"/>
      <c r="S94" s="10" t="str">
        <f t="shared" si="6"/>
        <v>INSERT INTO Operacao (idOperacao, designacaoOperacaoAgricola, designacaoUnidade, quantidade, dataOperacao) VALUES (293, 'Rega', 'min',  1200.0,  TO_DATE('09/09/Saturday - 23:00', 'DD/MM/YYYY - HH24:MI'));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BJ94" s="90" t="str">
        <f t="shared" si="3"/>
        <v>INSERT INTO OperacaoParcela (idOperacao, nomeParcela) VALUES (293, 'Lameiro do moinho');</v>
      </c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</row>
    <row r="95" spans="1:75">
      <c r="A95" s="127">
        <v>22</v>
      </c>
      <c r="B95" s="128" t="s">
        <v>221</v>
      </c>
      <c r="C95" s="128" t="s">
        <v>234</v>
      </c>
      <c r="D95" s="128">
        <v>120</v>
      </c>
      <c r="E95" s="128" t="s">
        <v>376</v>
      </c>
      <c r="F95" s="153">
        <v>0.95833333333333337</v>
      </c>
      <c r="G95" s="129">
        <v>45187</v>
      </c>
      <c r="H95" s="131">
        <f t="shared" si="4"/>
        <v>294</v>
      </c>
      <c r="J95" s="66" t="str">
        <f t="shared" si="5"/>
        <v>INSERT INTO Rega(idOperacao, designacaoSetor) VALUES (294, 22);</v>
      </c>
      <c r="K95" s="66"/>
      <c r="L95" s="66"/>
      <c r="M95" s="66"/>
      <c r="N95" s="66"/>
      <c r="O95" s="66"/>
      <c r="P95" s="66"/>
      <c r="S95" s="10" t="str">
        <f t="shared" si="6"/>
        <v>INSERT INTO Operacao (idOperacao, designacaoOperacaoAgricola, designacaoUnidade, quantidade, dataOperacao) VALUES (294, 'Rega', 'min',  1200.0,  TO_DATE('18/09/Monday - 23:00', 'DD/MM/YYYY - HH24:MI'));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BJ95" s="90" t="str">
        <f t="shared" si="3"/>
        <v>INSERT INTO OperacaoParcela (idOperacao, nomeParcela) VALUES (294, 'Lameiro do moinho');</v>
      </c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</row>
    <row r="96" spans="1:75">
      <c r="A96" s="127">
        <v>10</v>
      </c>
      <c r="B96" s="128" t="s">
        <v>218</v>
      </c>
      <c r="C96" s="128" t="s">
        <v>234</v>
      </c>
      <c r="D96" s="128">
        <v>60</v>
      </c>
      <c r="E96" s="128" t="s">
        <v>376</v>
      </c>
      <c r="F96" s="153">
        <v>0.25</v>
      </c>
      <c r="G96" s="129">
        <v>45079</v>
      </c>
      <c r="H96" s="131">
        <f t="shared" si="4"/>
        <v>295</v>
      </c>
      <c r="J96" s="66" t="str">
        <f t="shared" si="5"/>
        <v>INSERT INTO Rega(idOperacao, designacaoSetor) VALUES (295, 10);</v>
      </c>
      <c r="K96" s="66"/>
      <c r="L96" s="66"/>
      <c r="M96" s="66"/>
      <c r="N96" s="66"/>
      <c r="O96" s="66"/>
      <c r="P96" s="66"/>
      <c r="S96" s="10" t="str">
        <f t="shared" si="6"/>
        <v>INSERT INTO Operacao (idOperacao, designacaoOperacaoAgricola, designacaoUnidade, quantidade, dataOperacao) VALUES (295, 'Rega', 'min',  600.0,  TO_DATE('02/06/Friday - 06:00', 'DD/MM/YYYY - HH24:MI'));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BJ96" s="90" t="str">
        <f t="shared" si="3"/>
        <v>INSERT INTO OperacaoParcela (idOperacao, nomeParcela) VALUES (295, 'Campo Grande');</v>
      </c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</row>
    <row r="97" spans="1:75">
      <c r="A97" s="127">
        <v>10</v>
      </c>
      <c r="B97" s="128" t="s">
        <v>218</v>
      </c>
      <c r="C97" s="128" t="s">
        <v>234</v>
      </c>
      <c r="D97" s="128">
        <v>120</v>
      </c>
      <c r="E97" s="128" t="s">
        <v>376</v>
      </c>
      <c r="F97" s="153">
        <v>0.25</v>
      </c>
      <c r="G97" s="129">
        <v>45109</v>
      </c>
      <c r="H97" s="131">
        <f t="shared" si="4"/>
        <v>296</v>
      </c>
      <c r="J97" s="66" t="str">
        <f t="shared" si="5"/>
        <v>INSERT INTO Rega(idOperacao, designacaoSetor) VALUES (296, 10);</v>
      </c>
      <c r="K97" s="66"/>
      <c r="L97" s="66"/>
      <c r="M97" s="66"/>
      <c r="N97" s="66"/>
      <c r="O97" s="66"/>
      <c r="P97" s="66"/>
      <c r="S97" s="10" t="str">
        <f t="shared" si="6"/>
        <v>INSERT INTO Operacao (idOperacao, designacaoOperacaoAgricola, designacaoUnidade, quantidade, dataOperacao) VALUES (296, 'Rega', 'min',  1200.0,  TO_DATE('02/07/Sunday - 06:00', 'DD/MM/YYYY - HH24:MI'));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BJ97" s="90" t="str">
        <f t="shared" si="3"/>
        <v>INSERT INTO OperacaoParcela (idOperacao, nomeParcela) VALUES (296, 'Campo Grande');</v>
      </c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</row>
    <row r="98" spans="1:75">
      <c r="A98" s="127">
        <v>10</v>
      </c>
      <c r="B98" s="128" t="s">
        <v>218</v>
      </c>
      <c r="C98" s="128" t="s">
        <v>234</v>
      </c>
      <c r="D98" s="128">
        <v>180</v>
      </c>
      <c r="E98" s="128" t="s">
        <v>376</v>
      </c>
      <c r="F98" s="153">
        <v>0.20833333333333334</v>
      </c>
      <c r="G98" s="129">
        <v>45140</v>
      </c>
      <c r="H98" s="131">
        <f t="shared" si="4"/>
        <v>297</v>
      </c>
      <c r="J98" s="66" t="str">
        <f t="shared" si="5"/>
        <v>INSERT INTO Rega(idOperacao, designacaoSetor) VALUES (297, 10);</v>
      </c>
      <c r="K98" s="66"/>
      <c r="L98" s="66"/>
      <c r="M98" s="66"/>
      <c r="N98" s="66"/>
      <c r="O98" s="66"/>
      <c r="P98" s="66"/>
      <c r="S98" s="10" t="str">
        <f t="shared" si="6"/>
        <v>INSERT INTO Operacao (idOperacao, designacaoOperacaoAgricola, designacaoUnidade, quantidade, dataOperacao) VALUES (297, 'Rega', 'min',  1800.0,  TO_DATE('02/08/Wednesday - 05:00', 'DD/MM/YYYY - HH24:MI'));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BJ98" s="90" t="str">
        <f t="shared" si="3"/>
        <v>INSERT INTO OperacaoParcela (idOperacao, nomeParcela) VALUES (297, 'Campo Grande');</v>
      </c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</row>
    <row r="99" spans="1:75">
      <c r="A99" s="127">
        <v>10</v>
      </c>
      <c r="B99" s="128" t="s">
        <v>218</v>
      </c>
      <c r="C99" s="128" t="s">
        <v>234</v>
      </c>
      <c r="D99" s="128">
        <v>120</v>
      </c>
      <c r="E99" s="128" t="s">
        <v>376</v>
      </c>
      <c r="F99" s="153">
        <v>0.25</v>
      </c>
      <c r="G99" s="129">
        <v>45173</v>
      </c>
      <c r="H99" s="131">
        <f t="shared" si="4"/>
        <v>298</v>
      </c>
      <c r="J99" s="66" t="str">
        <f t="shared" si="5"/>
        <v>INSERT INTO Rega(idOperacao, designacaoSetor) VALUES (298, 10);</v>
      </c>
      <c r="K99" s="66"/>
      <c r="L99" s="66"/>
      <c r="M99" s="66"/>
      <c r="N99" s="66"/>
      <c r="O99" s="66"/>
      <c r="P99" s="66"/>
      <c r="S99" s="10" t="str">
        <f t="shared" si="6"/>
        <v>INSERT INTO Operacao (idOperacao, designacaoOperacaoAgricola, designacaoUnidade, quantidade, dataOperacao) VALUES (298, 'Rega', 'min',  1200.0,  TO_DATE('04/09/Monday - 06:00', 'DD/MM/YYYY - HH24:MI'));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BJ99" s="90" t="str">
        <f t="shared" ref="BJ99:BJ127" si="7" xml:space="preserve"> "INSERT INTO " &amp;$BL$66&amp; " (idOperacao, nomeParcela) VALUES (" &amp;H99&amp; ", '" &amp;B99&amp; "');"</f>
        <v>INSERT INTO OperacaoParcela (idOperacao, nomeParcela) VALUES (298, 'Campo Grande');</v>
      </c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</row>
    <row r="100" spans="1:75">
      <c r="A100" s="127">
        <v>10</v>
      </c>
      <c r="B100" s="128" t="s">
        <v>218</v>
      </c>
      <c r="C100" s="128" t="s">
        <v>234</v>
      </c>
      <c r="D100" s="128">
        <v>60</v>
      </c>
      <c r="E100" s="128" t="s">
        <v>376</v>
      </c>
      <c r="F100" s="153">
        <v>0.25</v>
      </c>
      <c r="G100" s="129">
        <v>45201</v>
      </c>
      <c r="H100" s="131">
        <f t="shared" ref="H100:H127" si="8">H99 + 1</f>
        <v>299</v>
      </c>
      <c r="J100" s="66" t="str">
        <f t="shared" si="5"/>
        <v>INSERT INTO Rega(idOperacao, designacaoSetor) VALUES (299, 10);</v>
      </c>
      <c r="K100" s="66"/>
      <c r="L100" s="66"/>
      <c r="M100" s="66"/>
      <c r="N100" s="66"/>
      <c r="O100" s="66"/>
      <c r="P100" s="66"/>
      <c r="S100" s="10" t="str">
        <f t="shared" si="6"/>
        <v>INSERT INTO Operacao (idOperacao, designacaoOperacaoAgricola, designacaoUnidade, quantidade, dataOperacao) VALUES (299, 'Rega', 'min',  600.0,  TO_DATE('02/10/Monday - 06:00', 'DD/MM/YYYY - HH24:MI'));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BJ100" s="90" t="str">
        <f t="shared" si="7"/>
        <v>INSERT INTO OperacaoParcela (idOperacao, nomeParcela) VALUES (299, 'Campo Grande');</v>
      </c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</row>
    <row r="101" spans="1:75">
      <c r="A101" s="127">
        <v>42</v>
      </c>
      <c r="B101" s="128" t="s">
        <v>317</v>
      </c>
      <c r="C101" s="128" t="s">
        <v>234</v>
      </c>
      <c r="D101" s="128">
        <v>60</v>
      </c>
      <c r="E101" s="128" t="s">
        <v>376</v>
      </c>
      <c r="F101" s="153">
        <v>0.25</v>
      </c>
      <c r="G101" s="129">
        <v>45089</v>
      </c>
      <c r="H101" s="131">
        <f t="shared" si="8"/>
        <v>300</v>
      </c>
      <c r="J101" s="66" t="str">
        <f t="shared" si="5"/>
        <v>INSERT INTO Rega(idOperacao, designacaoSetor) VALUES (300, 42);</v>
      </c>
      <c r="K101" s="66"/>
      <c r="L101" s="66"/>
      <c r="M101" s="66"/>
      <c r="N101" s="66"/>
      <c r="O101" s="66"/>
      <c r="P101" s="66"/>
      <c r="S101" s="10" t="str">
        <f t="shared" si="6"/>
        <v>INSERT INTO Operacao (idOperacao, designacaoOperacaoAgricola, designacaoUnidade, quantidade, dataOperacao) VALUES (300, 'Rega', 'min',  600.0,  TO_DATE('12/06/Monday - 06:00', 'DD/MM/YYYY - HH24:MI'));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BJ101" s="90" t="str">
        <f t="shared" si="7"/>
        <v>INSERT INTO OperacaoParcela (idOperacao, nomeParcela) VALUES (300, 'Campo Novo');</v>
      </c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</row>
    <row r="102" spans="1:75">
      <c r="A102" s="127">
        <v>42</v>
      </c>
      <c r="B102" s="128" t="s">
        <v>317</v>
      </c>
      <c r="C102" s="128" t="s">
        <v>234</v>
      </c>
      <c r="D102" s="128">
        <v>60</v>
      </c>
      <c r="E102" s="128" t="s">
        <v>376</v>
      </c>
      <c r="F102" s="153">
        <v>0.25</v>
      </c>
      <c r="G102" s="129">
        <v>45096</v>
      </c>
      <c r="H102" s="131">
        <f t="shared" si="8"/>
        <v>301</v>
      </c>
      <c r="J102" s="66" t="str">
        <f t="shared" si="5"/>
        <v>INSERT INTO Rega(idOperacao, designacaoSetor) VALUES (301, 42);</v>
      </c>
      <c r="K102" s="66"/>
      <c r="L102" s="66"/>
      <c r="M102" s="66"/>
      <c r="N102" s="66"/>
      <c r="O102" s="66"/>
      <c r="P102" s="66"/>
      <c r="S102" s="10" t="str">
        <f t="shared" si="6"/>
        <v>INSERT INTO Operacao (idOperacao, designacaoOperacaoAgricola, designacaoUnidade, quantidade, dataOperacao) VALUES (301, 'Rega', 'min',  600.0,  TO_DATE('19/06/Monday - 06:00', 'DD/MM/YYYY - HH24:MI'));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BJ102" s="90" t="str">
        <f t="shared" si="7"/>
        <v>INSERT INTO OperacaoParcela (idOperacao, nomeParcela) VALUES (301, 'Campo Novo');</v>
      </c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</row>
    <row r="103" spans="1:75">
      <c r="A103" s="127">
        <v>42</v>
      </c>
      <c r="B103" s="128" t="s">
        <v>317</v>
      </c>
      <c r="C103" s="128" t="s">
        <v>234</v>
      </c>
      <c r="D103" s="128">
        <v>120</v>
      </c>
      <c r="E103" s="128" t="s">
        <v>376</v>
      </c>
      <c r="F103" s="153">
        <v>0.16666666666666666</v>
      </c>
      <c r="G103" s="129">
        <v>45107</v>
      </c>
      <c r="H103" s="131">
        <f t="shared" si="8"/>
        <v>302</v>
      </c>
      <c r="J103" s="66" t="str">
        <f t="shared" si="5"/>
        <v>INSERT INTO Rega(idOperacao, designacaoSetor) VALUES (302, 42);</v>
      </c>
      <c r="K103" s="66"/>
      <c r="L103" s="66"/>
      <c r="M103" s="66"/>
      <c r="N103" s="66"/>
      <c r="O103" s="66"/>
      <c r="P103" s="66"/>
      <c r="S103" s="10" t="str">
        <f t="shared" si="6"/>
        <v>INSERT INTO Operacao (idOperacao, designacaoOperacaoAgricola, designacaoUnidade, quantidade, dataOperacao) VALUES (302, 'Rega', 'min',  1200.0,  TO_DATE('30/06/Friday - 04:00', 'DD/MM/YYYY - HH24:MI'));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BJ103" s="90" t="str">
        <f t="shared" si="7"/>
        <v>INSERT INTO OperacaoParcela (idOperacao, nomeParcela) VALUES (302, 'Campo Novo');</v>
      </c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</row>
    <row r="104" spans="1:75">
      <c r="A104" s="127">
        <v>42</v>
      </c>
      <c r="B104" s="128" t="s">
        <v>317</v>
      </c>
      <c r="C104" s="128" t="s">
        <v>234</v>
      </c>
      <c r="D104" s="128">
        <v>120</v>
      </c>
      <c r="E104" s="128" t="s">
        <v>376</v>
      </c>
      <c r="F104" s="153">
        <v>0.16666666666666666</v>
      </c>
      <c r="G104" s="129">
        <v>45115</v>
      </c>
      <c r="H104" s="131">
        <f t="shared" si="8"/>
        <v>303</v>
      </c>
      <c r="J104" s="66" t="str">
        <f t="shared" si="5"/>
        <v>INSERT INTO Rega(idOperacao, designacaoSetor) VALUES (303, 42);</v>
      </c>
      <c r="K104" s="66"/>
      <c r="L104" s="66"/>
      <c r="M104" s="66"/>
      <c r="N104" s="66"/>
      <c r="O104" s="66"/>
      <c r="P104" s="66"/>
      <c r="S104" s="10" t="str">
        <f t="shared" si="6"/>
        <v>INSERT INTO Operacao (idOperacao, designacaoOperacaoAgricola, designacaoUnidade, quantidade, dataOperacao) VALUES (303, 'Rega', 'min',  1200.0,  TO_DATE('08/07/Saturday - 04:00', 'DD/MM/YYYY - HH24:MI'));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BJ104" s="90" t="str">
        <f t="shared" si="7"/>
        <v>INSERT INTO OperacaoParcela (idOperacao, nomeParcela) VALUES (303, 'Campo Novo');</v>
      </c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</row>
    <row r="105" spans="1:75">
      <c r="A105" s="127">
        <v>42</v>
      </c>
      <c r="B105" s="128" t="s">
        <v>317</v>
      </c>
      <c r="C105" s="128" t="s">
        <v>234</v>
      </c>
      <c r="D105" s="128">
        <v>120</v>
      </c>
      <c r="E105" s="128" t="s">
        <v>376</v>
      </c>
      <c r="F105" s="153">
        <v>0.16666666666666666</v>
      </c>
      <c r="G105" s="129">
        <v>45122</v>
      </c>
      <c r="H105" s="131">
        <f t="shared" si="8"/>
        <v>304</v>
      </c>
      <c r="J105" s="66" t="str">
        <f t="shared" si="5"/>
        <v>INSERT INTO Rega(idOperacao, designacaoSetor) VALUES (304, 42);</v>
      </c>
      <c r="K105" s="66"/>
      <c r="L105" s="66"/>
      <c r="M105" s="66"/>
      <c r="N105" s="66"/>
      <c r="O105" s="66"/>
      <c r="P105" s="66"/>
      <c r="S105" s="10" t="str">
        <f t="shared" si="6"/>
        <v>INSERT INTO Operacao (idOperacao, designacaoOperacaoAgricola, designacaoUnidade, quantidade, dataOperacao) VALUES (304, 'Rega', 'min',  1200.0,  TO_DATE('15/07/Saturday - 04:00', 'DD/MM/YYYY - HH24:MI'));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BJ105" s="90" t="str">
        <f t="shared" si="7"/>
        <v>INSERT INTO OperacaoParcela (idOperacao, nomeParcela) VALUES (304, 'Campo Novo');</v>
      </c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</row>
    <row r="106" spans="1:75">
      <c r="A106" s="127">
        <v>42</v>
      </c>
      <c r="B106" s="128" t="s">
        <v>317</v>
      </c>
      <c r="C106" s="128" t="s">
        <v>234</v>
      </c>
      <c r="D106" s="128">
        <v>150</v>
      </c>
      <c r="E106" s="128" t="s">
        <v>376</v>
      </c>
      <c r="F106" s="153">
        <v>0.16666666666666666</v>
      </c>
      <c r="G106" s="129">
        <v>45129</v>
      </c>
      <c r="H106" s="131">
        <f t="shared" si="8"/>
        <v>305</v>
      </c>
      <c r="J106" s="66" t="str">
        <f t="shared" si="5"/>
        <v>INSERT INTO Rega(idOperacao, designacaoSetor) VALUES (305, 42);</v>
      </c>
      <c r="K106" s="66"/>
      <c r="L106" s="66"/>
      <c r="M106" s="66"/>
      <c r="N106" s="66"/>
      <c r="O106" s="66"/>
      <c r="P106" s="66"/>
      <c r="S106" s="10" t="str">
        <f t="shared" si="6"/>
        <v>INSERT INTO Operacao (idOperacao, designacaoOperacaoAgricola, designacaoUnidade, quantidade, dataOperacao) VALUES (305, 'Rega', 'min',  1500.0,  TO_DATE('22/07/Saturday - 04:00', 'DD/MM/YYYY - HH24:MI'));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BJ106" s="90" t="str">
        <f t="shared" si="7"/>
        <v>INSERT INTO OperacaoParcela (idOperacao, nomeParcela) VALUES (305, 'Campo Novo');</v>
      </c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</row>
    <row r="107" spans="1:75">
      <c r="A107" s="127">
        <v>42</v>
      </c>
      <c r="B107" s="128" t="s">
        <v>317</v>
      </c>
      <c r="C107" s="128" t="s">
        <v>234</v>
      </c>
      <c r="D107" s="128">
        <v>150</v>
      </c>
      <c r="E107" s="128" t="s">
        <v>376</v>
      </c>
      <c r="F107" s="153">
        <v>0.16666666666666666</v>
      </c>
      <c r="G107" s="129">
        <v>45136</v>
      </c>
      <c r="H107" s="131">
        <f t="shared" si="8"/>
        <v>306</v>
      </c>
      <c r="J107" s="66" t="str">
        <f t="shared" si="5"/>
        <v>INSERT INTO Rega(idOperacao, designacaoSetor) VALUES (306, 42);</v>
      </c>
      <c r="K107" s="66"/>
      <c r="L107" s="66"/>
      <c r="M107" s="66"/>
      <c r="N107" s="66"/>
      <c r="O107" s="66"/>
      <c r="P107" s="66"/>
      <c r="S107" s="10" t="str">
        <f t="shared" si="6"/>
        <v>INSERT INTO Operacao (idOperacao, designacaoOperacaoAgricola, designacaoUnidade, quantidade, dataOperacao) VALUES (306, 'Rega', 'min',  1500.0,  TO_DATE('29/07/Saturday - 04:00', 'DD/MM/YYYY - HH24:MI'));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BJ107" s="90" t="str">
        <f t="shared" si="7"/>
        <v>INSERT INTO OperacaoParcela (idOperacao, nomeParcela) VALUES (306, 'Campo Novo');</v>
      </c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</row>
    <row r="108" spans="1:75">
      <c r="A108" s="127">
        <v>42</v>
      </c>
      <c r="B108" s="128" t="s">
        <v>317</v>
      </c>
      <c r="C108" s="128" t="s">
        <v>234</v>
      </c>
      <c r="D108" s="128">
        <v>120</v>
      </c>
      <c r="E108" s="128" t="s">
        <v>376</v>
      </c>
      <c r="F108" s="153">
        <v>0.89583333333333337</v>
      </c>
      <c r="G108" s="129">
        <v>45143</v>
      </c>
      <c r="H108" s="131">
        <f t="shared" si="8"/>
        <v>307</v>
      </c>
      <c r="J108" s="66" t="str">
        <f t="shared" si="5"/>
        <v>INSERT INTO Rega(idOperacao, designacaoSetor) VALUES (307, 42);</v>
      </c>
      <c r="K108" s="66"/>
      <c r="L108" s="66"/>
      <c r="M108" s="66"/>
      <c r="N108" s="66"/>
      <c r="O108" s="66"/>
      <c r="P108" s="66"/>
      <c r="S108" s="10" t="str">
        <f t="shared" si="6"/>
        <v>INSERT INTO Operacao (idOperacao, designacaoOperacaoAgricola, designacaoUnidade, quantidade, dataOperacao) VALUES (307, 'Rega', 'min',  1200.0,  TO_DATE('05/08/Saturday - 21:30', 'DD/MM/YYYY - HH24:MI'));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BJ108" s="90" t="str">
        <f t="shared" si="7"/>
        <v>INSERT INTO OperacaoParcela (idOperacao, nomeParcela) VALUES (307, 'Campo Novo');</v>
      </c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</row>
    <row r="109" spans="1:75">
      <c r="A109" s="127">
        <v>42</v>
      </c>
      <c r="B109" s="128" t="s">
        <v>317</v>
      </c>
      <c r="C109" s="128" t="s">
        <v>234</v>
      </c>
      <c r="D109" s="128">
        <v>120</v>
      </c>
      <c r="E109" s="128" t="s">
        <v>376</v>
      </c>
      <c r="F109" s="153">
        <v>0.89583333333333337</v>
      </c>
      <c r="G109" s="129">
        <v>45150</v>
      </c>
      <c r="H109" s="131">
        <f t="shared" si="8"/>
        <v>308</v>
      </c>
      <c r="J109" s="66" t="str">
        <f t="shared" si="5"/>
        <v>INSERT INTO Rega(idOperacao, designacaoSetor) VALUES (308, 42);</v>
      </c>
      <c r="K109" s="66"/>
      <c r="L109" s="66"/>
      <c r="M109" s="66"/>
      <c r="N109" s="66"/>
      <c r="O109" s="66"/>
      <c r="P109" s="66"/>
      <c r="S109" s="10" t="str">
        <f t="shared" si="6"/>
        <v>INSERT INTO Operacao (idOperacao, designacaoOperacaoAgricola, designacaoUnidade, quantidade, dataOperacao) VALUES (308, 'Rega', 'min',  1200.0,  TO_DATE('12/08/Saturday - 21:30', 'DD/MM/YYYY - HH24:MI'));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BJ109" s="90" t="str">
        <f t="shared" si="7"/>
        <v>INSERT INTO OperacaoParcela (idOperacao, nomeParcela) VALUES (308, 'Campo Novo');</v>
      </c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</row>
    <row r="110" spans="1:75">
      <c r="A110" s="127">
        <v>42</v>
      </c>
      <c r="B110" s="128" t="s">
        <v>317</v>
      </c>
      <c r="C110" s="128" t="s">
        <v>234</v>
      </c>
      <c r="D110" s="128">
        <v>120</v>
      </c>
      <c r="E110" s="128" t="s">
        <v>376</v>
      </c>
      <c r="F110" s="153">
        <v>0.89583333333333337</v>
      </c>
      <c r="G110" s="129">
        <v>45157</v>
      </c>
      <c r="H110" s="131">
        <f t="shared" si="8"/>
        <v>309</v>
      </c>
      <c r="J110" s="66" t="str">
        <f t="shared" si="5"/>
        <v>INSERT INTO Rega(idOperacao, designacaoSetor) VALUES (309, 42);</v>
      </c>
      <c r="K110" s="66"/>
      <c r="L110" s="66"/>
      <c r="M110" s="66"/>
      <c r="N110" s="66"/>
      <c r="O110" s="66"/>
      <c r="P110" s="66"/>
      <c r="S110" s="10" t="str">
        <f t="shared" si="6"/>
        <v>INSERT INTO Operacao (idOperacao, designacaoOperacaoAgricola, designacaoUnidade, quantidade, dataOperacao) VALUES (309, 'Rega', 'min',  1200.0,  TO_DATE('19/08/Saturday - 21:30', 'DD/MM/YYYY - HH24:MI'));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BJ110" s="90" t="str">
        <f t="shared" si="7"/>
        <v>INSERT INTO OperacaoParcela (idOperacao, nomeParcela) VALUES (309, 'Campo Novo');</v>
      </c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</row>
    <row r="111" spans="1:75">
      <c r="A111" s="127">
        <v>42</v>
      </c>
      <c r="B111" s="128" t="s">
        <v>317</v>
      </c>
      <c r="C111" s="128" t="s">
        <v>234</v>
      </c>
      <c r="D111" s="128">
        <v>120</v>
      </c>
      <c r="E111" s="128" t="s">
        <v>376</v>
      </c>
      <c r="F111" s="153">
        <v>0.89583333333333337</v>
      </c>
      <c r="G111" s="129">
        <v>45164</v>
      </c>
      <c r="H111" s="131">
        <f t="shared" si="8"/>
        <v>310</v>
      </c>
      <c r="J111" s="66" t="str">
        <f t="shared" si="5"/>
        <v>INSERT INTO Rega(idOperacao, designacaoSetor) VALUES (310, 42);</v>
      </c>
      <c r="K111" s="66"/>
      <c r="L111" s="66"/>
      <c r="M111" s="66"/>
      <c r="N111" s="66"/>
      <c r="O111" s="66"/>
      <c r="P111" s="66"/>
      <c r="S111" s="10" t="str">
        <f t="shared" si="6"/>
        <v>INSERT INTO Operacao (idOperacao, designacaoOperacaoAgricola, designacaoUnidade, quantidade, dataOperacao) VALUES (310, 'Rega', 'min',  1200.0,  TO_DATE('26/08/Saturday - 21:30', 'DD/MM/YYYY - HH24:MI'));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BJ111" s="90" t="str">
        <f t="shared" si="7"/>
        <v>INSERT INTO OperacaoParcela (idOperacao, nomeParcela) VALUES (310, 'Campo Novo');</v>
      </c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</row>
    <row r="112" spans="1:75">
      <c r="A112" s="127">
        <v>42</v>
      </c>
      <c r="B112" s="128" t="s">
        <v>317</v>
      </c>
      <c r="C112" s="128" t="s">
        <v>234</v>
      </c>
      <c r="D112" s="128">
        <v>120</v>
      </c>
      <c r="E112" s="128" t="s">
        <v>376</v>
      </c>
      <c r="F112" s="153">
        <v>0.89583333333333337</v>
      </c>
      <c r="G112" s="129">
        <v>45169</v>
      </c>
      <c r="H112" s="131">
        <f t="shared" si="8"/>
        <v>311</v>
      </c>
      <c r="J112" s="66" t="str">
        <f t="shared" si="5"/>
        <v>INSERT INTO Rega(idOperacao, designacaoSetor) VALUES (311, 42);</v>
      </c>
      <c r="K112" s="66"/>
      <c r="L112" s="66"/>
      <c r="M112" s="66"/>
      <c r="N112" s="66"/>
      <c r="O112" s="66"/>
      <c r="P112" s="66"/>
      <c r="S112" s="10" t="str">
        <f t="shared" si="6"/>
        <v>INSERT INTO Operacao (idOperacao, designacaoOperacaoAgricola, designacaoUnidade, quantidade, dataOperacao) VALUES (311, 'Rega', 'min',  1200.0,  TO_DATE('31/08/Thursday - 21:30', 'DD/MM/YYYY - HH24:MI'));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BJ112" s="90" t="str">
        <f t="shared" si="7"/>
        <v>INSERT INTO OperacaoParcela (idOperacao, nomeParcela) VALUES (311, 'Campo Novo');</v>
      </c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</row>
    <row r="113" spans="1:75">
      <c r="A113" s="127">
        <v>42</v>
      </c>
      <c r="B113" s="128" t="s">
        <v>317</v>
      </c>
      <c r="C113" s="128" t="s">
        <v>234</v>
      </c>
      <c r="D113" s="128">
        <v>120</v>
      </c>
      <c r="E113" s="128" t="s">
        <v>376</v>
      </c>
      <c r="F113" s="153">
        <v>0.89583333333333337</v>
      </c>
      <c r="G113" s="129">
        <v>45174</v>
      </c>
      <c r="H113" s="131">
        <f t="shared" si="8"/>
        <v>312</v>
      </c>
      <c r="J113" s="66" t="str">
        <f t="shared" si="5"/>
        <v>INSERT INTO Rega(idOperacao, designacaoSetor) VALUES (312, 42);</v>
      </c>
      <c r="K113" s="66"/>
      <c r="L113" s="66"/>
      <c r="M113" s="66"/>
      <c r="N113" s="66"/>
      <c r="O113" s="66"/>
      <c r="P113" s="66"/>
      <c r="S113" s="10" t="str">
        <f t="shared" si="6"/>
        <v>INSERT INTO Operacao (idOperacao, designacaoOperacaoAgricola, designacaoUnidade, quantidade, dataOperacao) VALUES (312, 'Rega', 'min',  1200.0,  TO_DATE('05/09/Tuesday - 21:30', 'DD/MM/YYYY - HH24:MI'));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BJ113" s="90" t="str">
        <f t="shared" si="7"/>
        <v>INSERT INTO OperacaoParcela (idOperacao, nomeParcela) VALUES (312, 'Campo Novo');</v>
      </c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</row>
    <row r="114" spans="1:75">
      <c r="A114" s="127">
        <v>41</v>
      </c>
      <c r="B114" s="128" t="s">
        <v>317</v>
      </c>
      <c r="C114" s="128" t="s">
        <v>234</v>
      </c>
      <c r="D114" s="128">
        <v>120</v>
      </c>
      <c r="E114" s="128" t="s">
        <v>376</v>
      </c>
      <c r="F114" s="153">
        <v>0.3125</v>
      </c>
      <c r="G114" s="129">
        <v>45066</v>
      </c>
      <c r="H114" s="131">
        <f t="shared" si="8"/>
        <v>313</v>
      </c>
      <c r="J114" s="66" t="str">
        <f t="shared" si="5"/>
        <v>INSERT INTO Rega(idOperacao, designacaoSetor) VALUES (313, 41);</v>
      </c>
      <c r="K114" s="66"/>
      <c r="L114" s="66"/>
      <c r="M114" s="66"/>
      <c r="N114" s="66"/>
      <c r="O114" s="66"/>
      <c r="P114" s="66"/>
      <c r="S114" s="10" t="str">
        <f t="shared" si="6"/>
        <v>INSERT INTO Operacao (idOperacao, designacaoOperacaoAgricola, designacaoUnidade, quantidade, dataOperacao) VALUES (313, 'Rega', 'min',  1200.0,  TO_DATE('20/05/Saturday - 07:30', 'DD/MM/YYYY - HH24:MI'));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BJ114" s="90" t="str">
        <f t="shared" si="7"/>
        <v>INSERT INTO OperacaoParcela (idOperacao, nomeParcela) VALUES (313, 'Campo Novo');</v>
      </c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</row>
    <row r="115" spans="1:75">
      <c r="A115" s="127">
        <v>41</v>
      </c>
      <c r="B115" s="128" t="s">
        <v>317</v>
      </c>
      <c r="C115" s="128" t="s">
        <v>234</v>
      </c>
      <c r="D115" s="128">
        <v>120</v>
      </c>
      <c r="E115" s="128" t="s">
        <v>376</v>
      </c>
      <c r="F115" s="153">
        <v>0.3125</v>
      </c>
      <c r="G115" s="129">
        <v>45079</v>
      </c>
      <c r="H115" s="131">
        <f t="shared" si="8"/>
        <v>314</v>
      </c>
      <c r="J115" s="66" t="str">
        <f t="shared" si="5"/>
        <v>INSERT INTO Rega(idOperacao, designacaoSetor) VALUES (314, 41);</v>
      </c>
      <c r="K115" s="66"/>
      <c r="L115" s="66"/>
      <c r="M115" s="66"/>
      <c r="N115" s="66"/>
      <c r="O115" s="66"/>
      <c r="P115" s="66"/>
      <c r="S115" s="10" t="str">
        <f t="shared" si="6"/>
        <v>INSERT INTO Operacao (idOperacao, designacaoOperacaoAgricola, designacaoUnidade, quantidade, dataOperacao) VALUES (314, 'Rega', 'min',  1200.0,  TO_DATE('02/06/Friday - 07:30', 'DD/MM/YYYY - HH24:MI'));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BJ115" s="90" t="str">
        <f t="shared" si="7"/>
        <v>INSERT INTO OperacaoParcela (idOperacao, nomeParcela) VALUES (314, 'Campo Novo');</v>
      </c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</row>
    <row r="116" spans="1:75">
      <c r="A116" s="127">
        <v>41</v>
      </c>
      <c r="B116" s="128" t="s">
        <v>317</v>
      </c>
      <c r="C116" s="128" t="s">
        <v>234</v>
      </c>
      <c r="D116" s="128">
        <v>120</v>
      </c>
      <c r="E116" s="128" t="s">
        <v>376</v>
      </c>
      <c r="F116" s="153">
        <v>0.2638888888888889</v>
      </c>
      <c r="G116" s="129">
        <v>45086</v>
      </c>
      <c r="H116" s="131">
        <f t="shared" si="8"/>
        <v>315</v>
      </c>
      <c r="J116" s="66" t="str">
        <f t="shared" si="5"/>
        <v>INSERT INTO Rega(idOperacao, designacaoSetor) VALUES (315, 41);</v>
      </c>
      <c r="K116" s="66"/>
      <c r="L116" s="66"/>
      <c r="M116" s="66"/>
      <c r="N116" s="66"/>
      <c r="O116" s="66"/>
      <c r="P116" s="66"/>
      <c r="S116" s="10" t="str">
        <f t="shared" si="6"/>
        <v>INSERT INTO Operacao (idOperacao, designacaoOperacaoAgricola, designacaoUnidade, quantidade, dataOperacao) VALUES (315, 'Rega', 'min',  1200.0,  TO_DATE('09/06/Friday - 06:20', 'DD/MM/YYYY - HH24:MI'));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BJ116" s="90" t="str">
        <f t="shared" si="7"/>
        <v>INSERT INTO OperacaoParcela (idOperacao, nomeParcela) VALUES (315, 'Campo Novo');</v>
      </c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</row>
    <row r="117" spans="1:75">
      <c r="A117" s="127">
        <v>41</v>
      </c>
      <c r="B117" s="128" t="s">
        <v>317</v>
      </c>
      <c r="C117" s="128" t="s">
        <v>234</v>
      </c>
      <c r="D117" s="128">
        <v>120</v>
      </c>
      <c r="E117" s="128" t="s">
        <v>376</v>
      </c>
      <c r="F117" s="153">
        <v>0.2638888888888889</v>
      </c>
      <c r="G117" s="129">
        <v>45116</v>
      </c>
      <c r="H117" s="131">
        <f t="shared" si="8"/>
        <v>316</v>
      </c>
      <c r="J117" s="66" t="str">
        <f t="shared" si="5"/>
        <v>INSERT INTO Rega(idOperacao, designacaoSetor) VALUES (316, 41);</v>
      </c>
      <c r="K117" s="66"/>
      <c r="L117" s="66"/>
      <c r="M117" s="66"/>
      <c r="N117" s="66"/>
      <c r="O117" s="66"/>
      <c r="P117" s="66"/>
      <c r="S117" s="10" t="str">
        <f t="shared" si="6"/>
        <v>INSERT INTO Operacao (idOperacao, designacaoOperacaoAgricola, designacaoUnidade, quantidade, dataOperacao) VALUES (316, 'Rega', 'min',  1200.0,  TO_DATE('09/07/Sunday - 06:20', 'DD/MM/YYYY - HH24:MI'));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BJ117" s="90" t="str">
        <f t="shared" si="7"/>
        <v>INSERT INTO OperacaoParcela (idOperacao, nomeParcela) VALUES (316, 'Campo Novo');</v>
      </c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</row>
    <row r="118" spans="1:75">
      <c r="A118" s="127">
        <v>41</v>
      </c>
      <c r="B118" s="128" t="s">
        <v>317</v>
      </c>
      <c r="C118" s="128" t="s">
        <v>234</v>
      </c>
      <c r="D118" s="128">
        <v>120</v>
      </c>
      <c r="E118" s="128" t="s">
        <v>376</v>
      </c>
      <c r="F118" s="153">
        <v>0.2638888888888889</v>
      </c>
      <c r="G118" s="129">
        <v>45123</v>
      </c>
      <c r="H118" s="131">
        <f t="shared" si="8"/>
        <v>317</v>
      </c>
      <c r="J118" s="66" t="str">
        <f t="shared" si="5"/>
        <v>INSERT INTO Rega(idOperacao, designacaoSetor) VALUES (317, 41);</v>
      </c>
      <c r="K118" s="66"/>
      <c r="L118" s="66"/>
      <c r="M118" s="66"/>
      <c r="N118" s="66"/>
      <c r="O118" s="66"/>
      <c r="P118" s="66"/>
      <c r="S118" s="10" t="str">
        <f t="shared" si="6"/>
        <v>INSERT INTO Operacao (idOperacao, designacaoOperacaoAgricola, designacaoUnidade, quantidade, dataOperacao) VALUES (317, 'Rega', 'min',  1200.0,  TO_DATE('16/07/Sunday - 06:20', 'DD/MM/YYYY - HH24:MI'));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BJ118" s="90" t="str">
        <f t="shared" si="7"/>
        <v>INSERT INTO OperacaoParcela (idOperacao, nomeParcela) VALUES (317, 'Campo Novo');</v>
      </c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</row>
    <row r="119" spans="1:75">
      <c r="A119" s="127">
        <v>41</v>
      </c>
      <c r="B119" s="128" t="s">
        <v>317</v>
      </c>
      <c r="C119" s="128" t="s">
        <v>234</v>
      </c>
      <c r="D119" s="128">
        <v>120</v>
      </c>
      <c r="E119" s="128" t="s">
        <v>376</v>
      </c>
      <c r="F119" s="153">
        <v>0.2638888888888889</v>
      </c>
      <c r="G119" s="129">
        <v>45130</v>
      </c>
      <c r="H119" s="131">
        <f t="shared" si="8"/>
        <v>318</v>
      </c>
      <c r="J119" s="66" t="str">
        <f t="shared" si="5"/>
        <v>INSERT INTO Rega(idOperacao, designacaoSetor) VALUES (318, 41);</v>
      </c>
      <c r="K119" s="66"/>
      <c r="L119" s="66"/>
      <c r="M119" s="66"/>
      <c r="N119" s="66"/>
      <c r="O119" s="66"/>
      <c r="P119" s="66"/>
      <c r="S119" s="10" t="str">
        <f t="shared" si="6"/>
        <v>INSERT INTO Operacao (idOperacao, designacaoOperacaoAgricola, designacaoUnidade, quantidade, dataOperacao) VALUES (318, 'Rega', 'min',  1200.0,  TO_DATE('23/07/Sunday - 06:20', 'DD/MM/YYYY - HH24:MI'));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BJ119" s="90" t="str">
        <f t="shared" si="7"/>
        <v>INSERT INTO OperacaoParcela (idOperacao, nomeParcela) VALUES (318, 'Campo Novo');</v>
      </c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</row>
    <row r="120" spans="1:75">
      <c r="A120" s="127">
        <v>41</v>
      </c>
      <c r="B120" s="128" t="s">
        <v>317</v>
      </c>
      <c r="C120" s="128" t="s">
        <v>234</v>
      </c>
      <c r="D120" s="128">
        <v>120</v>
      </c>
      <c r="E120" s="128" t="s">
        <v>376</v>
      </c>
      <c r="F120" s="153">
        <v>0.2638888888888889</v>
      </c>
      <c r="G120" s="129">
        <v>45137</v>
      </c>
      <c r="H120" s="131">
        <f t="shared" si="8"/>
        <v>319</v>
      </c>
      <c r="J120" s="66" t="str">
        <f t="shared" si="5"/>
        <v>INSERT INTO Rega(idOperacao, designacaoSetor) VALUES (319, 41);</v>
      </c>
      <c r="K120" s="66"/>
      <c r="L120" s="66"/>
      <c r="M120" s="66"/>
      <c r="N120" s="66"/>
      <c r="O120" s="66"/>
      <c r="P120" s="66"/>
      <c r="S120" s="10" t="str">
        <f t="shared" si="6"/>
        <v>INSERT INTO Operacao (idOperacao, designacaoOperacaoAgricola, designacaoUnidade, quantidade, dataOperacao) VALUES (319, 'Rega', 'min',  1200.0,  TO_DATE('30/07/Sunday - 06:20', 'DD/MM/YYYY - HH24:MI'));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BJ120" s="90" t="str">
        <f t="shared" si="7"/>
        <v>INSERT INTO OperacaoParcela (idOperacao, nomeParcela) VALUES (319, 'Campo Novo');</v>
      </c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</row>
    <row r="121" spans="1:75">
      <c r="A121" s="127">
        <v>41</v>
      </c>
      <c r="B121" s="128" t="s">
        <v>317</v>
      </c>
      <c r="C121" s="128" t="s">
        <v>234</v>
      </c>
      <c r="D121" s="128">
        <v>120</v>
      </c>
      <c r="E121" s="128" t="s">
        <v>376</v>
      </c>
      <c r="F121" s="153">
        <v>0.2638888888888889</v>
      </c>
      <c r="G121" s="129">
        <v>45145</v>
      </c>
      <c r="H121" s="131">
        <f t="shared" si="8"/>
        <v>320</v>
      </c>
      <c r="J121" s="66" t="str">
        <f t="shared" si="5"/>
        <v>INSERT INTO Rega(idOperacao, designacaoSetor) VALUES (320, 41);</v>
      </c>
      <c r="K121" s="66"/>
      <c r="L121" s="66"/>
      <c r="M121" s="66"/>
      <c r="N121" s="66"/>
      <c r="O121" s="66"/>
      <c r="P121" s="66"/>
      <c r="S121" s="10" t="str">
        <f t="shared" si="6"/>
        <v>INSERT INTO Operacao (idOperacao, designacaoOperacaoAgricola, designacaoUnidade, quantidade, dataOperacao) VALUES (320, 'Rega', 'min',  1200.0,  TO_DATE('07/08/Monday - 06:20', 'DD/MM/YYYY - HH24:MI'));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BJ121" s="90" t="str">
        <f t="shared" si="7"/>
        <v>INSERT INTO OperacaoParcela (idOperacao, nomeParcela) VALUES (320, 'Campo Novo');</v>
      </c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</row>
    <row r="122" spans="1:75">
      <c r="A122" s="127">
        <v>41</v>
      </c>
      <c r="B122" s="128" t="s">
        <v>317</v>
      </c>
      <c r="C122" s="128" t="s">
        <v>234</v>
      </c>
      <c r="D122" s="128">
        <v>120</v>
      </c>
      <c r="E122" s="128" t="s">
        <v>376</v>
      </c>
      <c r="F122" s="153">
        <v>0.2638888888888889</v>
      </c>
      <c r="G122" s="129">
        <v>45152</v>
      </c>
      <c r="H122" s="131">
        <f t="shared" si="8"/>
        <v>321</v>
      </c>
      <c r="J122" s="66" t="str">
        <f t="shared" si="5"/>
        <v>INSERT INTO Rega(idOperacao, designacaoSetor) VALUES (321, 41);</v>
      </c>
      <c r="K122" s="66"/>
      <c r="L122" s="66"/>
      <c r="M122" s="66"/>
      <c r="N122" s="66"/>
      <c r="O122" s="66"/>
      <c r="P122" s="66"/>
      <c r="S122" s="10" t="str">
        <f t="shared" si="6"/>
        <v>INSERT INTO Operacao (idOperacao, designacaoOperacaoAgricola, designacaoUnidade, quantidade, dataOperacao) VALUES (321, 'Rega', 'min',  1200.0,  TO_DATE('14/08/Monday - 06:20', 'DD/MM/YYYY - HH24:MI'));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BJ122" s="90" t="str">
        <f t="shared" si="7"/>
        <v>INSERT INTO OperacaoParcela (idOperacao, nomeParcela) VALUES (321, 'Campo Novo');</v>
      </c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</row>
    <row r="123" spans="1:75">
      <c r="A123" s="127">
        <v>41</v>
      </c>
      <c r="B123" s="128" t="s">
        <v>317</v>
      </c>
      <c r="C123" s="128" t="s">
        <v>234</v>
      </c>
      <c r="D123" s="128">
        <v>120</v>
      </c>
      <c r="E123" s="128" t="s">
        <v>376</v>
      </c>
      <c r="F123" s="153">
        <v>0.2638888888888889</v>
      </c>
      <c r="G123" s="129">
        <v>45159</v>
      </c>
      <c r="H123" s="131">
        <f t="shared" si="8"/>
        <v>322</v>
      </c>
      <c r="J123" s="66" t="str">
        <f t="shared" si="5"/>
        <v>INSERT INTO Rega(idOperacao, designacaoSetor) VALUES (322, 41);</v>
      </c>
      <c r="K123" s="66"/>
      <c r="L123" s="66"/>
      <c r="M123" s="66"/>
      <c r="N123" s="66"/>
      <c r="O123" s="66"/>
      <c r="P123" s="66"/>
      <c r="S123" s="10" t="str">
        <f t="shared" si="6"/>
        <v>INSERT INTO Operacao (idOperacao, designacaoOperacaoAgricola, designacaoUnidade, quantidade, dataOperacao) VALUES (322, 'Rega', 'min',  1200.0,  TO_DATE('21/08/Monday - 06:20', 'DD/MM/YYYY - HH24:MI'));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BJ123" s="90" t="str">
        <f t="shared" si="7"/>
        <v>INSERT INTO OperacaoParcela (idOperacao, nomeParcela) VALUES (322, 'Campo Novo');</v>
      </c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</row>
    <row r="124" spans="1:75">
      <c r="A124" s="127">
        <v>41</v>
      </c>
      <c r="B124" s="128" t="s">
        <v>317</v>
      </c>
      <c r="C124" s="128" t="s">
        <v>234</v>
      </c>
      <c r="D124" s="128">
        <v>120</v>
      </c>
      <c r="E124" s="128" t="s">
        <v>376</v>
      </c>
      <c r="F124" s="153">
        <v>0.2638888888888889</v>
      </c>
      <c r="G124" s="129">
        <v>45166</v>
      </c>
      <c r="H124" s="131">
        <f t="shared" si="8"/>
        <v>323</v>
      </c>
      <c r="J124" s="66" t="str">
        <f t="shared" si="5"/>
        <v>INSERT INTO Rega(idOperacao, designacaoSetor) VALUES (323, 41);</v>
      </c>
      <c r="K124" s="66"/>
      <c r="L124" s="66"/>
      <c r="M124" s="66"/>
      <c r="N124" s="66"/>
      <c r="O124" s="66"/>
      <c r="P124" s="66"/>
      <c r="S124" s="10" t="str">
        <f t="shared" si="6"/>
        <v>INSERT INTO Operacao (idOperacao, designacaoOperacaoAgricola, designacaoUnidade, quantidade, dataOperacao) VALUES (323, 'Rega', 'min',  1200.0,  TO_DATE('28/08/Monday - 06:20', 'DD/MM/YYYY - HH24:MI'));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BJ124" s="90" t="str">
        <f t="shared" si="7"/>
        <v>INSERT INTO OperacaoParcela (idOperacao, nomeParcela) VALUES (323, 'Campo Novo');</v>
      </c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</row>
    <row r="125" spans="1:75">
      <c r="A125" s="127">
        <v>41</v>
      </c>
      <c r="B125" s="128" t="s">
        <v>317</v>
      </c>
      <c r="C125" s="128" t="s">
        <v>234</v>
      </c>
      <c r="D125" s="128">
        <v>120</v>
      </c>
      <c r="E125" s="128" t="s">
        <v>376</v>
      </c>
      <c r="F125" s="153">
        <v>0.2638888888888889</v>
      </c>
      <c r="G125" s="129">
        <v>45175</v>
      </c>
      <c r="H125" s="131">
        <f t="shared" si="8"/>
        <v>324</v>
      </c>
      <c r="J125" s="66" t="str">
        <f t="shared" si="5"/>
        <v>INSERT INTO Rega(idOperacao, designacaoSetor) VALUES (324, 41);</v>
      </c>
      <c r="K125" s="66"/>
      <c r="L125" s="66"/>
      <c r="M125" s="66"/>
      <c r="N125" s="66"/>
      <c r="O125" s="66"/>
      <c r="P125" s="66"/>
      <c r="S125" s="10" t="str">
        <f t="shared" si="6"/>
        <v>INSERT INTO Operacao (idOperacao, designacaoOperacaoAgricola, designacaoUnidade, quantidade, dataOperacao) VALUES (324, 'Rega', 'min',  1200.0,  TO_DATE('06/09/Wednesday - 06:20', 'DD/MM/YYYY - HH24:MI'));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BJ125" s="90" t="str">
        <f t="shared" si="7"/>
        <v>INSERT INTO OperacaoParcela (idOperacao, nomeParcela) VALUES (324, 'Campo Novo');</v>
      </c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</row>
    <row r="126" spans="1:75">
      <c r="A126" s="127">
        <v>41</v>
      </c>
      <c r="B126" s="128" t="s">
        <v>317</v>
      </c>
      <c r="C126" s="128" t="s">
        <v>234</v>
      </c>
      <c r="D126" s="128">
        <v>120</v>
      </c>
      <c r="E126" s="128" t="s">
        <v>376</v>
      </c>
      <c r="F126" s="153">
        <v>0.29166666666666669</v>
      </c>
      <c r="G126" s="129">
        <v>45182</v>
      </c>
      <c r="H126" s="131">
        <f t="shared" si="8"/>
        <v>325</v>
      </c>
      <c r="J126" s="66" t="str">
        <f t="shared" si="5"/>
        <v>INSERT INTO Rega(idOperacao, designacaoSetor) VALUES (325, 41);</v>
      </c>
      <c r="K126" s="66"/>
      <c r="L126" s="66"/>
      <c r="M126" s="66"/>
      <c r="N126" s="66"/>
      <c r="O126" s="66"/>
      <c r="P126" s="66"/>
      <c r="S126" s="10" t="str">
        <f t="shared" si="6"/>
        <v>INSERT INTO Operacao (idOperacao, designacaoOperacaoAgricola, designacaoUnidade, quantidade, dataOperacao) VALUES (325, 'Rega', 'min',  1200.0,  TO_DATE('13/09/Wednesday - 07:00', 'DD/MM/YYYY - HH24:MI'));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BJ126" s="90" t="str">
        <f t="shared" si="7"/>
        <v>INSERT INTO OperacaoParcela (idOperacao, nomeParcela) VALUES (325, 'Campo Novo');</v>
      </c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</row>
    <row r="127" spans="1:75">
      <c r="A127" s="127">
        <v>41</v>
      </c>
      <c r="B127" s="128" t="s">
        <v>317</v>
      </c>
      <c r="C127" s="128" t="s">
        <v>234</v>
      </c>
      <c r="D127" s="128">
        <v>120</v>
      </c>
      <c r="E127" s="128" t="s">
        <v>376</v>
      </c>
      <c r="F127" s="153">
        <v>0.29166666666666669</v>
      </c>
      <c r="G127" s="129">
        <v>45189</v>
      </c>
      <c r="H127" s="131">
        <f t="shared" si="8"/>
        <v>326</v>
      </c>
      <c r="J127" s="66" t="str">
        <f t="shared" si="5"/>
        <v>INSERT INTO Rega(idOperacao, designacaoSetor) VALUES (326, 41);</v>
      </c>
      <c r="K127" s="66"/>
      <c r="L127" s="66"/>
      <c r="M127" s="66"/>
      <c r="N127" s="66"/>
      <c r="O127" s="66"/>
      <c r="P127" s="66"/>
      <c r="S127" s="10" t="str">
        <f t="shared" si="6"/>
        <v>INSERT INTO Operacao (idOperacao, designacaoOperacaoAgricola, designacaoUnidade, quantidade, dataOperacao) VALUES (326, 'Rega', 'min',  1200.0,  TO_DATE('20/09/Wednesday - 07:00', 'DD/MM/YYYY - HH24:MI'));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BJ127" s="90" t="str">
        <f t="shared" si="7"/>
        <v>INSERT INTO OperacaoParcela (idOperacao, nomeParcela) VALUES (326, 'Campo Novo');</v>
      </c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</row>
    <row r="132" spans="1:70">
      <c r="G132" s="16" t="s">
        <v>377</v>
      </c>
      <c r="H132" s="16"/>
    </row>
    <row r="134" spans="1:70">
      <c r="A134" s="126" t="s">
        <v>343</v>
      </c>
      <c r="B134" s="126" t="s">
        <v>372</v>
      </c>
      <c r="C134" s="126" t="s">
        <v>378</v>
      </c>
      <c r="D134" s="126" t="s">
        <v>379</v>
      </c>
      <c r="E134" s="126" t="s">
        <v>373</v>
      </c>
      <c r="F134" s="126" t="s">
        <v>340</v>
      </c>
      <c r="G134" s="126" t="s">
        <v>375</v>
      </c>
      <c r="H134" s="131" t="s">
        <v>285</v>
      </c>
      <c r="I134" s="132" t="s">
        <v>284</v>
      </c>
      <c r="K134" s="121" t="s">
        <v>214</v>
      </c>
      <c r="L134" s="121" t="s">
        <v>239</v>
      </c>
      <c r="M134" s="121" t="s">
        <v>348</v>
      </c>
      <c r="N134" s="121" t="s">
        <v>258</v>
      </c>
      <c r="S134" s="9" t="s">
        <v>8</v>
      </c>
      <c r="T134" s="9" t="s">
        <v>9</v>
      </c>
      <c r="U134" s="9" t="s">
        <v>287</v>
      </c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O134" s="93" t="s">
        <v>9</v>
      </c>
      <c r="AP134" s="93" t="s">
        <v>288</v>
      </c>
      <c r="AQ134" s="93" t="s">
        <v>8</v>
      </c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J134" s="19" t="s">
        <v>8</v>
      </c>
      <c r="BK134" s="19" t="s">
        <v>277</v>
      </c>
      <c r="BL134" s="19" t="s">
        <v>7</v>
      </c>
      <c r="BM134" s="19"/>
      <c r="BN134" s="19"/>
      <c r="BO134" s="19"/>
      <c r="BP134" s="19"/>
      <c r="BQ134" s="19"/>
      <c r="BR134" s="19"/>
    </row>
    <row r="135" spans="1:70">
      <c r="A135" s="128" t="s">
        <v>317</v>
      </c>
      <c r="B135" s="128" t="s">
        <v>7</v>
      </c>
      <c r="C135" s="128" t="s">
        <v>248</v>
      </c>
      <c r="D135" s="128" t="s">
        <v>248</v>
      </c>
      <c r="E135" s="128">
        <v>1500</v>
      </c>
      <c r="F135" s="128" t="s">
        <v>292</v>
      </c>
      <c r="G135" s="129">
        <v>45091</v>
      </c>
      <c r="H135" s="131">
        <f>H127 + 1</f>
        <v>327</v>
      </c>
      <c r="I135" s="132" cm="1">
        <f t="array" ref="I135">INDEX($M$135:$M$145,MATCH((A135)&amp;(C135),($K$135:$K$145)&amp;($L$135:$L$145),0))</f>
        <v>45021</v>
      </c>
      <c r="K135" s="117" t="s">
        <v>221</v>
      </c>
      <c r="L135" s="117" t="s">
        <v>359</v>
      </c>
      <c r="M135" s="118">
        <v>43474</v>
      </c>
      <c r="N135" s="118"/>
      <c r="S135" s="10" t="str">
        <f xml:space="preserve"> "INSERT INTO " &amp;$U$134&amp; " (idOperacao, designacaoOperacaoAgricola, designacaoUnidade, quantidade, dataOperacao) VALUES (" &amp;H135&amp; ", '" &amp;B135&amp; "', " &amp;IF(ISBLANK(F135), "null", "'" &amp;F135&amp; "'" )&amp; ",   "&amp;IF(ISBLANK(E135), "null",TEXT(SUBSTITUTE(E135, "%", "") * 10, "0.0"))&amp;",  TO_DATE('"&amp;TEXT(G135,"DD/MM/AAAA")&amp;"', 'DD/MM/YYYY'));"</f>
        <v>INSERT INTO Operacao (idOperacao, designacaoOperacaoAgricola, designacaoUnidade, quantidade, dataOperacao) VALUES (327, 'Colheita', 'kg',   15000.0,  TO_DATE('14/06/Wednesday', 'DD/MM/YYYY'));</v>
      </c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O135" s="90" t="str">
        <f xml:space="preserve"> "INSERT INTO " &amp;$AP$134&amp; " (idOperacao, nomeParcela, dataInicial, nomeComum, variedade) VALUES (" &amp;H135&amp; ", '" &amp;A135&amp; "', TO_DATE('"&amp;TEXT(I135,"DD/MM/AAAA")&amp;"', 'DD/MM/YYYY'), '"  &amp;INDEX($L$149:$L$173,MATCH(C135,$K$149:$K$173,0))&amp; "', UPPER('" &amp;INDEX($M$149:$M$173,MATCH(C135,$K$149:$K$173,0))&amp;  "') );"</f>
        <v>INSERT INTO OperacaoCultura (idOperacao, nomeParcela, dataInicial, nomeComum, variedade) VALUES (327, 'Campo Novo', TO_DATE('05/04/Wednesday', 'DD/MM/YYYY'), 'Cenoura', UPPER('Sugarsnax Hybrid') );</v>
      </c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J135" s="15" t="str">
        <f t="shared" ref="BJ135:BJ159" si="9">"INSERT INTO "&amp;$BL$134&amp;"(idOperacao, nomeProduto) VALUES (" &amp;H135&amp; ", '"&amp;INDEX($N$149:$N$173,MATCH(C135,$K$149:$K$173,0))&amp;"');"</f>
        <v>INSERT INTO Colheita(idOperacao, nomeProduto) VALUES (327, 'Cenoura');</v>
      </c>
      <c r="BK135" s="15"/>
      <c r="BL135" s="15"/>
      <c r="BM135" s="15"/>
      <c r="BN135" s="15"/>
      <c r="BO135" s="15"/>
      <c r="BP135" s="15"/>
      <c r="BQ135" s="15"/>
      <c r="BR135" s="15"/>
    </row>
    <row r="136" spans="1:70">
      <c r="A136" s="128" t="s">
        <v>317</v>
      </c>
      <c r="B136" s="128" t="s">
        <v>7</v>
      </c>
      <c r="C136" s="128" t="s">
        <v>248</v>
      </c>
      <c r="D136" s="128" t="s">
        <v>248</v>
      </c>
      <c r="E136" s="128">
        <v>2500</v>
      </c>
      <c r="F136" s="128" t="s">
        <v>292</v>
      </c>
      <c r="G136" s="129">
        <v>45105</v>
      </c>
      <c r="H136" s="131">
        <f t="shared" ref="H136:H141" si="10">H135 + 1</f>
        <v>328</v>
      </c>
      <c r="I136" s="132" cm="1">
        <f t="array" ref="I136">INDEX($M$135:$M$145,MATCH((A136)&amp;(C136),($K$135:$K$145)&amp;($L$135:$L$145),0))</f>
        <v>45021</v>
      </c>
      <c r="K136" s="117" t="s">
        <v>221</v>
      </c>
      <c r="L136" s="117" t="s">
        <v>361</v>
      </c>
      <c r="M136" s="118">
        <v>43474</v>
      </c>
      <c r="N136" s="118"/>
      <c r="S136" s="10" t="str">
        <f t="shared" ref="S136:S159" si="11" xml:space="preserve"> "INSERT INTO " &amp;$U$134&amp; " (idOperacao, designacaoOperacaoAgricola, designacaoUnidade, quantidade, dataOperacao) VALUES (" &amp;H136&amp; ", '" &amp;B136&amp; "', " &amp;IF(ISBLANK(F136), "null", "'" &amp;F136&amp; "'" )&amp; ",   "&amp;IF(ISBLANK(E136), "null",TEXT(SUBSTITUTE(E136, "%", "") * 10, "0.0"))&amp;",  TO_DATE('"&amp;TEXT(G136,"DD/MM/AAAA")&amp;"', 'DD/MM/YYYY'));"</f>
        <v>INSERT INTO Operacao (idOperacao, designacaoOperacaoAgricola, designacaoUnidade, quantidade, dataOperacao) VALUES (328, 'Colheita', 'kg',   25000.0,  TO_DATE('28/06/Wednesday', 'DD/MM/YYYY'));</v>
      </c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O136" s="90" t="str">
        <f t="shared" ref="AO136:AO158" si="12" xml:space="preserve"> "INSERT INTO " &amp;$AP$134&amp; " (idOperacao, nomeParcela, dataInicial, nomeComum, variedade) VALUES (" &amp;H136&amp; ", '" &amp;A136&amp; "', TO_DATE('"&amp;TEXT(I136,"DD/MM/AAAA")&amp;"', 'DD/MM/YYYY'), '"  &amp;INDEX($L$149:$L$173,MATCH(C136,$K$149:$K$173,0))&amp; "', UPPER('" &amp;INDEX($M$149:$M$173,MATCH(C136,$K$149:$K$173,0))&amp;  "') );"</f>
        <v>INSERT INTO OperacaoCultura (idOperacao, nomeParcela, dataInicial, nomeComum, variedade) VALUES (328, 'Campo Novo', TO_DATE('05/04/Wednesday', 'DD/MM/YYYY'), 'Cenoura', UPPER('Sugarsnax Hybrid') );</v>
      </c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J136" s="15" t="str">
        <f t="shared" si="9"/>
        <v>INSERT INTO Colheita(idOperacao, nomeProduto) VALUES (328, 'Cenoura');</v>
      </c>
      <c r="BK136" s="15"/>
      <c r="BL136" s="15"/>
      <c r="BM136" s="15"/>
      <c r="BN136" s="15"/>
      <c r="BO136" s="15"/>
      <c r="BP136" s="15"/>
      <c r="BQ136" s="15"/>
      <c r="BR136" s="15"/>
    </row>
    <row r="137" spans="1:70">
      <c r="A137" s="128" t="s">
        <v>317</v>
      </c>
      <c r="B137" s="128" t="s">
        <v>7</v>
      </c>
      <c r="C137" s="128" t="s">
        <v>268</v>
      </c>
      <c r="D137" s="128" t="s">
        <v>268</v>
      </c>
      <c r="E137" s="128">
        <v>8000</v>
      </c>
      <c r="F137" s="128" t="s">
        <v>292</v>
      </c>
      <c r="G137" s="129">
        <v>45184</v>
      </c>
      <c r="H137" s="131">
        <f t="shared" si="10"/>
        <v>329</v>
      </c>
      <c r="I137" s="132" cm="1">
        <f t="array" ref="I137">INDEX($M$135:$M$145,MATCH((A137)&amp;(C137),($K$135:$K$145)&amp;($L$135:$L$145),0))</f>
        <v>45022</v>
      </c>
      <c r="K137" s="117" t="s">
        <v>221</v>
      </c>
      <c r="L137" s="117" t="s">
        <v>357</v>
      </c>
      <c r="M137" s="118">
        <v>43475</v>
      </c>
      <c r="N137" s="118"/>
      <c r="S137" s="10" t="str">
        <f t="shared" si="11"/>
        <v>INSERT INTO Operacao (idOperacao, designacaoOperacaoAgricola, designacaoUnidade, quantidade, dataOperacao) VALUES (329, 'Colheita', 'kg',   80000.0,  TO_DATE('15/09/Friday', 'DD/MM/YYYY'));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O137" s="90" t="str">
        <f t="shared" si="12"/>
        <v>INSERT INTO OperacaoCultura (idOperacao, nomeParcela, dataInicial, nomeComum, variedade) VALUES (329, 'Campo Novo', TO_DATE('06/04/Thursday', 'DD/MM/YYYY'), 'Abóbora Manteiga', UPPER('Butternut') );</v>
      </c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J137" s="15" t="str">
        <f t="shared" si="9"/>
        <v>INSERT INTO Colheita(idOperacao, nomeProduto) VALUES (329, 'Abóbora');</v>
      </c>
      <c r="BK137" s="15"/>
      <c r="BL137" s="15"/>
      <c r="BM137" s="15"/>
      <c r="BN137" s="15"/>
      <c r="BO137" s="15"/>
      <c r="BP137" s="15"/>
      <c r="BQ137" s="15"/>
      <c r="BR137" s="15"/>
    </row>
    <row r="138" spans="1:70">
      <c r="A138" s="128" t="s">
        <v>317</v>
      </c>
      <c r="B138" s="128" t="s">
        <v>7</v>
      </c>
      <c r="C138" s="128" t="s">
        <v>268</v>
      </c>
      <c r="D138" s="128" t="s">
        <v>268</v>
      </c>
      <c r="E138" s="128">
        <v>5000</v>
      </c>
      <c r="F138" s="128" t="s">
        <v>292</v>
      </c>
      <c r="G138" s="129">
        <v>45194</v>
      </c>
      <c r="H138" s="131">
        <f t="shared" si="10"/>
        <v>330</v>
      </c>
      <c r="I138" s="132" cm="1">
        <f t="array" ref="I138">INDEX($M$135:$M$145,MATCH((A138)&amp;(C138),($K$135:$K$145)&amp;($L$135:$L$145),0))</f>
        <v>45022</v>
      </c>
      <c r="K138" s="117" t="s">
        <v>221</v>
      </c>
      <c r="L138" s="117" t="s">
        <v>363</v>
      </c>
      <c r="M138" s="118">
        <v>43475</v>
      </c>
      <c r="N138" s="118"/>
      <c r="S138" s="10" t="str">
        <f t="shared" si="11"/>
        <v>INSERT INTO Operacao (idOperacao, designacaoOperacaoAgricola, designacaoUnidade, quantidade, dataOperacao) VALUES (330, 'Colheita', 'kg',   50000.0,  TO_DATE('25/09/Monday', 'DD/MM/YYYY'));</v>
      </c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O138" s="90" t="str">
        <f t="shared" si="12"/>
        <v>INSERT INTO OperacaoCultura (idOperacao, nomeParcela, dataInicial, nomeComum, variedade) VALUES (330, 'Campo Novo', TO_DATE('06/04/Thursday', 'DD/MM/YYYY'), 'Abóbora Manteiga', UPPER('Butternut') );</v>
      </c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J138" s="15" t="str">
        <f t="shared" si="9"/>
        <v>INSERT INTO Colheita(idOperacao, nomeProduto) VALUES (330, 'Abóbora');</v>
      </c>
      <c r="BK138" s="15"/>
      <c r="BL138" s="15"/>
      <c r="BM138" s="15"/>
      <c r="BN138" s="15"/>
      <c r="BO138" s="15"/>
      <c r="BP138" s="15"/>
      <c r="BQ138" s="15"/>
      <c r="BR138" s="15"/>
    </row>
    <row r="139" spans="1:70">
      <c r="A139" s="128" t="s">
        <v>317</v>
      </c>
      <c r="B139" s="128" t="s">
        <v>7</v>
      </c>
      <c r="C139" s="128" t="s">
        <v>249</v>
      </c>
      <c r="D139" s="128" t="s">
        <v>249</v>
      </c>
      <c r="E139" s="128">
        <v>900</v>
      </c>
      <c r="F139" s="128" t="s">
        <v>292</v>
      </c>
      <c r="G139" s="129">
        <v>45187</v>
      </c>
      <c r="H139" s="131">
        <f t="shared" si="10"/>
        <v>331</v>
      </c>
      <c r="I139" s="132" cm="1">
        <f t="array" ref="I139">INDEX($M$135:$M$145,MATCH((A139)&amp;(C139),($K$135:$K$145)&amp;($L$135:$L$145),0))</f>
        <v>45112</v>
      </c>
      <c r="K139" s="117" t="s">
        <v>221</v>
      </c>
      <c r="L139" s="117" t="s">
        <v>365</v>
      </c>
      <c r="M139" s="118">
        <v>43476</v>
      </c>
      <c r="N139" s="118"/>
      <c r="S139" s="10" t="str">
        <f t="shared" si="11"/>
        <v>INSERT INTO Operacao (idOperacao, designacaoOperacaoAgricola, designacaoUnidade, quantidade, dataOperacao) VALUES (331, 'Colheita', 'kg',   9000.0,  TO_DATE('18/09/Monday', 'DD/MM/YYYY'));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O139" s="90" t="str">
        <f t="shared" si="12"/>
        <v>INSERT INTO OperacaoCultura (idOperacao, nomeParcela, dataInicial, nomeComum, variedade) VALUES (331, 'Campo Novo', TO_DATE('05/07/Wednesday', 'DD/MM/YYYY'), 'Cenoura', UPPER('Danvers Half Long') );</v>
      </c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J139" s="15" t="str">
        <f t="shared" si="9"/>
        <v>INSERT INTO Colheita(idOperacao, nomeProduto) VALUES (331, 'Cenoura');</v>
      </c>
      <c r="BK139" s="15"/>
      <c r="BL139" s="15"/>
      <c r="BM139" s="15"/>
      <c r="BN139" s="15"/>
      <c r="BO139" s="15"/>
      <c r="BP139" s="15"/>
      <c r="BQ139" s="15"/>
      <c r="BR139" s="15"/>
    </row>
    <row r="140" spans="1:70">
      <c r="A140" s="128" t="s">
        <v>317</v>
      </c>
      <c r="B140" s="128" t="s">
        <v>7</v>
      </c>
      <c r="C140" s="128" t="s">
        <v>249</v>
      </c>
      <c r="D140" s="128" t="s">
        <v>249</v>
      </c>
      <c r="E140" s="128">
        <v>1500</v>
      </c>
      <c r="F140" s="128" t="s">
        <v>292</v>
      </c>
      <c r="G140" s="129">
        <v>45191</v>
      </c>
      <c r="H140" s="131">
        <f t="shared" si="10"/>
        <v>332</v>
      </c>
      <c r="I140" s="132" cm="1">
        <f t="array" ref="I140">INDEX($M$135:$M$145,MATCH((A140)&amp;(C140),($K$135:$K$145)&amp;($L$135:$L$145),0))</f>
        <v>45112</v>
      </c>
      <c r="K140" s="117" t="s">
        <v>221</v>
      </c>
      <c r="L140" s="117" t="s">
        <v>367</v>
      </c>
      <c r="M140" s="118">
        <v>43476</v>
      </c>
      <c r="N140" s="118"/>
      <c r="S140" s="10" t="str">
        <f t="shared" si="11"/>
        <v>INSERT INTO Operacao (idOperacao, designacaoOperacaoAgricola, designacaoUnidade, quantidade, dataOperacao) VALUES (332, 'Colheita', 'kg',   15000.0,  TO_DATE('22/09/Friday', 'DD/MM/YYYY'));</v>
      </c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O140" s="90" t="str">
        <f t="shared" si="12"/>
        <v>INSERT INTO OperacaoCultura (idOperacao, nomeParcela, dataInicial, nomeComum, variedade) VALUES (332, 'Campo Novo', TO_DATE('05/07/Wednesday', 'DD/MM/YYYY'), 'Cenoura', UPPER('Danvers Half Long') );</v>
      </c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J140" s="15" t="str">
        <f t="shared" si="9"/>
        <v>INSERT INTO Colheita(idOperacao, nomeProduto) VALUES (332, 'Cenoura');</v>
      </c>
      <c r="BK140" s="15"/>
      <c r="BL140" s="15"/>
      <c r="BM140" s="15"/>
      <c r="BN140" s="15"/>
      <c r="BO140" s="15"/>
      <c r="BP140" s="15"/>
      <c r="BQ140" s="15"/>
      <c r="BR140" s="15"/>
    </row>
    <row r="141" spans="1:70">
      <c r="A141" s="128" t="s">
        <v>317</v>
      </c>
      <c r="B141" s="128" t="s">
        <v>7</v>
      </c>
      <c r="C141" s="128" t="s">
        <v>249</v>
      </c>
      <c r="D141" s="128" t="s">
        <v>249</v>
      </c>
      <c r="E141" s="128">
        <v>1200</v>
      </c>
      <c r="F141" s="128" t="s">
        <v>292</v>
      </c>
      <c r="G141" s="129">
        <v>45204</v>
      </c>
      <c r="H141" s="131">
        <f t="shared" si="10"/>
        <v>333</v>
      </c>
      <c r="I141" s="132" cm="1">
        <f t="array" ref="I141">INDEX($M$135:$M$145,MATCH((A141)&amp;(C141),($K$135:$K$145)&amp;($L$135:$L$145),0))</f>
        <v>45112</v>
      </c>
      <c r="K141" s="117" t="s">
        <v>218</v>
      </c>
      <c r="L141" s="117" t="s">
        <v>352</v>
      </c>
      <c r="M141" s="118">
        <v>42645</v>
      </c>
      <c r="N141" s="118"/>
      <c r="S141" s="10" t="str">
        <f t="shared" si="11"/>
        <v>INSERT INTO Operacao (idOperacao, designacaoOperacaoAgricola, designacaoUnidade, quantidade, dataOperacao) VALUES (333, 'Colheita', 'kg',   12000.0,  TO_DATE('05/10/Thursday', 'DD/MM/YYYY'));</v>
      </c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O141" s="90" t="str">
        <f t="shared" si="12"/>
        <v>INSERT INTO OperacaoCultura (idOperacao, nomeParcela, dataInicial, nomeComum, variedade) VALUES (333, 'Campo Novo', TO_DATE('05/07/Wednesday', 'DD/MM/YYYY'), 'Cenoura', UPPER('Danvers Half Long') );</v>
      </c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J141" s="15" t="str">
        <f t="shared" si="9"/>
        <v>INSERT INTO Colheita(idOperacao, nomeProduto) VALUES (333, 'Cenoura');</v>
      </c>
      <c r="BK141" s="15"/>
      <c r="BL141" s="15"/>
      <c r="BM141" s="15"/>
      <c r="BN141" s="15"/>
      <c r="BO141" s="15"/>
      <c r="BP141" s="15"/>
      <c r="BQ141" s="15"/>
      <c r="BR141" s="15"/>
    </row>
    <row r="142" spans="1:70">
      <c r="A142" s="117" t="s">
        <v>218</v>
      </c>
      <c r="B142" s="128" t="s">
        <v>7</v>
      </c>
      <c r="C142" s="117" t="s">
        <v>352</v>
      </c>
      <c r="D142" s="117" t="s">
        <v>380</v>
      </c>
      <c r="E142" s="128">
        <v>400</v>
      </c>
      <c r="F142" s="128" t="s">
        <v>292</v>
      </c>
      <c r="G142" s="118">
        <v>45232</v>
      </c>
      <c r="H142" s="131">
        <f t="shared" ref="H142:H159" si="13">H141 + 1</f>
        <v>334</v>
      </c>
      <c r="I142" s="132" cm="1">
        <f t="array" ref="I142">INDEX($M$135:$M$145,MATCH((A142)&amp;(C142),($K$135:$K$145)&amp;($L$135:$L$145),0))</f>
        <v>42645</v>
      </c>
      <c r="K142" s="128" t="s">
        <v>317</v>
      </c>
      <c r="L142" s="128" t="s">
        <v>248</v>
      </c>
      <c r="M142" s="118">
        <v>45021</v>
      </c>
      <c r="N142" s="118">
        <f>_xlfn.MAXIFS($G$135:$G$141,$C$135:$C$141,L142)</f>
        <v>45105</v>
      </c>
      <c r="S142" s="10" t="str">
        <f t="shared" si="11"/>
        <v>INSERT INTO Operacao (idOperacao, designacaoOperacaoAgricola, designacaoUnidade, quantidade, dataOperacao) VALUES (334, 'Colheita', 'kg',   4000.0,  TO_DATE('02/11/Thursday', 'DD/MM/YYYY'));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O142" s="90" t="str">
        <f t="shared" si="12"/>
        <v>INSERT INTO OperacaoCultura (idOperacao, nomeParcela, dataInicial, nomeComum, variedade) VALUES (334, 'Campo Grande', TO_DATE('02/10/Sunday', 'DD/MM/YYYY'), 'Oliveira', UPPER('Arbequina') );</v>
      </c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J142" s="15" t="str">
        <f t="shared" si="9"/>
        <v>INSERT INTO Colheita(idOperacao, nomeProduto) VALUES (334, 'Azeitona');</v>
      </c>
      <c r="BK142" s="15"/>
      <c r="BL142" s="15"/>
      <c r="BM142" s="15"/>
      <c r="BN142" s="15"/>
      <c r="BO142" s="15"/>
      <c r="BP142" s="15"/>
      <c r="BQ142" s="15"/>
      <c r="BR142" s="15"/>
    </row>
    <row r="143" spans="1:70">
      <c r="A143" s="117" t="s">
        <v>218</v>
      </c>
      <c r="B143" s="128" t="s">
        <v>7</v>
      </c>
      <c r="C143" s="117" t="s">
        <v>244</v>
      </c>
      <c r="D143" s="117" t="s">
        <v>381</v>
      </c>
      <c r="E143" s="128">
        <v>300</v>
      </c>
      <c r="F143" s="128" t="s">
        <v>292</v>
      </c>
      <c r="G143" s="118">
        <v>45235</v>
      </c>
      <c r="H143" s="131">
        <f t="shared" si="13"/>
        <v>335</v>
      </c>
      <c r="I143" s="133" cm="1">
        <f t="array" ref="I143">INDEX(Operações!$K$2:$K$266,MATCH((A143)&amp;(C143)&amp;($B$167),(Operações!$B$2:$B$266)&amp;(Operações!$E$2:$E$266)&amp;(Operações!$C$2:$C$266),0))</f>
        <v>42653</v>
      </c>
      <c r="K143" s="128" t="s">
        <v>317</v>
      </c>
      <c r="L143" s="128" t="s">
        <v>268</v>
      </c>
      <c r="M143" s="118">
        <v>45022</v>
      </c>
      <c r="N143" s="118">
        <f t="shared" ref="N143:N144" si="14">_xlfn.MAXIFS($G$135:$G$141,$C$135:$C$141,L143)</f>
        <v>45194</v>
      </c>
      <c r="S143" s="10" t="str">
        <f t="shared" si="11"/>
        <v>INSERT INTO Operacao (idOperacao, designacaoOperacaoAgricola, designacaoUnidade, quantidade, dataOperacao) VALUES (335, 'Colheita', 'kg',   3000.0,  TO_DATE('05/11/Sunday', 'DD/MM/YYYY'));</v>
      </c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O143" s="90" t="str">
        <f t="shared" si="12"/>
        <v>INSERT INTO OperacaoCultura (idOperacao, nomeParcela, dataInicial, nomeComum, variedade) VALUES (335, 'Campo Grande', TO_DATE('10/10/Monday', 'DD/MM/YYYY'), 'Oliveira', UPPER('Picual') );</v>
      </c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J143" s="15" t="str">
        <f t="shared" si="9"/>
        <v>INSERT INTO Colheita(idOperacao, nomeProduto) VALUES (335, 'Azeitona');</v>
      </c>
      <c r="BK143" s="15"/>
      <c r="BL143" s="15"/>
      <c r="BM143" s="15"/>
      <c r="BN143" s="15"/>
      <c r="BO143" s="15"/>
      <c r="BP143" s="15"/>
      <c r="BQ143" s="15"/>
      <c r="BR143" s="15"/>
    </row>
    <row r="144" spans="1:70">
      <c r="A144" s="117" t="s">
        <v>218</v>
      </c>
      <c r="B144" s="128" t="s">
        <v>7</v>
      </c>
      <c r="C144" s="117" t="s">
        <v>243</v>
      </c>
      <c r="D144" s="117" t="s">
        <v>382</v>
      </c>
      <c r="E144" s="128">
        <v>500</v>
      </c>
      <c r="F144" s="128" t="s">
        <v>292</v>
      </c>
      <c r="G144" s="118">
        <v>45238</v>
      </c>
      <c r="H144" s="131">
        <f t="shared" si="13"/>
        <v>336</v>
      </c>
      <c r="I144" s="133" cm="1">
        <f t="array" ref="I144">INDEX(Operações!$K$2:$K$266,MATCH((A144)&amp;(C144)&amp;($B$167),(Operações!$B$2:$B$266)&amp;(Operações!$E$2:$E$266)&amp;(Operações!$C$2:$C$266),0))</f>
        <v>42649</v>
      </c>
      <c r="K144" s="128" t="s">
        <v>317</v>
      </c>
      <c r="L144" s="128" t="s">
        <v>249</v>
      </c>
      <c r="M144" s="118">
        <v>45112</v>
      </c>
      <c r="N144" s="118">
        <f t="shared" si="14"/>
        <v>45204</v>
      </c>
      <c r="S144" s="10" t="str">
        <f t="shared" si="11"/>
        <v>INSERT INTO Operacao (idOperacao, designacaoOperacaoAgricola, designacaoUnidade, quantidade, dataOperacao) VALUES (336, 'Colheita', 'kg',   5000.0,  TO_DATE('08/11/Wednesday', 'DD/MM/YYYY'));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O144" s="90" t="str">
        <f t="shared" si="12"/>
        <v>INSERT INTO OperacaoCultura (idOperacao, nomeParcela, dataInicial, nomeComum, variedade) VALUES (336, 'Campo Grande', TO_DATE('06/10/Thursday', 'DD/MM/YYYY'), 'Oliveira', UPPER('Galega') );</v>
      </c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J144" s="15" t="str">
        <f t="shared" si="9"/>
        <v>INSERT INTO Colheita(idOperacao, nomeProduto) VALUES (336, 'Azeitona');</v>
      </c>
      <c r="BK144" s="15"/>
      <c r="BL144" s="15"/>
      <c r="BM144" s="15"/>
      <c r="BN144" s="15"/>
      <c r="BO144" s="15"/>
      <c r="BP144" s="15"/>
      <c r="BQ144" s="15"/>
      <c r="BR144" s="15"/>
    </row>
    <row r="145" spans="1:70">
      <c r="A145" s="117" t="s">
        <v>221</v>
      </c>
      <c r="B145" s="128" t="s">
        <v>7</v>
      </c>
      <c r="C145" s="117" t="s">
        <v>363</v>
      </c>
      <c r="D145" s="117" t="s">
        <v>383</v>
      </c>
      <c r="E145" s="128">
        <v>700</v>
      </c>
      <c r="F145" s="128" t="s">
        <v>292</v>
      </c>
      <c r="G145" s="118">
        <v>45184</v>
      </c>
      <c r="H145" s="131">
        <f t="shared" si="13"/>
        <v>337</v>
      </c>
      <c r="I145" s="132" cm="1">
        <f t="array" ref="I145">INDEX($M$135:$M$145,MATCH((A145)&amp;(C145),($K$135:$K$145)&amp;($L$135:$L$145),0))</f>
        <v>43475</v>
      </c>
      <c r="K145" s="128" t="s">
        <v>317</v>
      </c>
      <c r="L145" s="128" t="s">
        <v>240</v>
      </c>
      <c r="M145" s="118">
        <v>45211</v>
      </c>
      <c r="N145" s="118"/>
      <c r="S145" s="10" t="str">
        <f t="shared" si="11"/>
        <v>INSERT INTO Operacao (idOperacao, designacaoOperacaoAgricola, designacaoUnidade, quantidade, dataOperacao) VALUES (337, 'Colheita', 'kg',   7000.0,  TO_DATE('15/09/Friday', 'DD/MM/YYYY'));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O145" s="90" t="str">
        <f t="shared" si="12"/>
        <v>INSERT INTO OperacaoCultura (idOperacao, nomeParcela, dataInicial, nomeComum, variedade) VALUES (337, 'Lameiro do moinho', TO_DATE('10/01/Thursday', 'DD/MM/YYYY'), 'Macieira', UPPER('Canada') );</v>
      </c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J145" s="15" t="str">
        <f t="shared" si="9"/>
        <v>INSERT INTO Colheita(idOperacao, nomeProduto) VALUES (337, 'Maçã');</v>
      </c>
      <c r="BK145" s="15"/>
      <c r="BL145" s="15"/>
      <c r="BM145" s="15"/>
      <c r="BN145" s="15"/>
      <c r="BO145" s="15"/>
      <c r="BP145" s="15"/>
      <c r="BQ145" s="15"/>
      <c r="BR145" s="15"/>
    </row>
    <row r="146" spans="1:70">
      <c r="A146" s="117" t="s">
        <v>221</v>
      </c>
      <c r="B146" s="128" t="s">
        <v>7</v>
      </c>
      <c r="C146" s="117" t="s">
        <v>365</v>
      </c>
      <c r="D146" s="117" t="s">
        <v>384</v>
      </c>
      <c r="E146" s="128">
        <v>600</v>
      </c>
      <c r="F146" s="128" t="s">
        <v>292</v>
      </c>
      <c r="G146" s="118">
        <v>45185</v>
      </c>
      <c r="H146" s="131">
        <f t="shared" si="13"/>
        <v>338</v>
      </c>
      <c r="I146" s="132" cm="1">
        <f t="array" ref="I146">INDEX($M$135:$M$145,MATCH((A146)&amp;(C146),($K$135:$K$145)&amp;($L$135:$L$145),0))</f>
        <v>43476</v>
      </c>
      <c r="S146" s="10" t="str">
        <f t="shared" si="11"/>
        <v>INSERT INTO Operacao (idOperacao, designacaoOperacaoAgricola, designacaoUnidade, quantidade, dataOperacao) VALUES (338, 'Colheita', 'kg',   6000.0,  TO_DATE('16/09/Saturday', 'DD/MM/YYYY'));</v>
      </c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O146" s="90" t="str">
        <f t="shared" si="12"/>
        <v>INSERT INTO OperacaoCultura (idOperacao, nomeParcela, dataInicial, nomeComum, variedade) VALUES (338, 'Lameiro do moinho', TO_DATE('11/01/Friday', 'DD/MM/YYYY'), 'Macieira', UPPER('Grand Fay') );</v>
      </c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J146" s="15" t="str">
        <f t="shared" si="9"/>
        <v>INSERT INTO Colheita(idOperacao, nomeProduto) VALUES (338, 'Maçã');</v>
      </c>
      <c r="BK146" s="15"/>
      <c r="BL146" s="15"/>
      <c r="BM146" s="15"/>
      <c r="BN146" s="15"/>
      <c r="BO146" s="15"/>
      <c r="BP146" s="15"/>
      <c r="BQ146" s="15"/>
      <c r="BR146" s="15"/>
    </row>
    <row r="147" spans="1:70">
      <c r="A147" s="117" t="s">
        <v>221</v>
      </c>
      <c r="B147" s="128" t="s">
        <v>7</v>
      </c>
      <c r="C147" s="117" t="s">
        <v>365</v>
      </c>
      <c r="D147" s="117" t="s">
        <v>384</v>
      </c>
      <c r="E147" s="128">
        <v>700</v>
      </c>
      <c r="F147" s="128" t="s">
        <v>292</v>
      </c>
      <c r="G147" s="118">
        <v>45189</v>
      </c>
      <c r="H147" s="131">
        <f t="shared" si="13"/>
        <v>339</v>
      </c>
      <c r="I147" s="132" cm="1">
        <f t="array" ref="I147">INDEX($M$135:$M$145,MATCH((A147)&amp;(C147),($K$135:$K$145)&amp;($L$135:$L$145),0))</f>
        <v>43476</v>
      </c>
      <c r="S147" s="10" t="str">
        <f t="shared" si="11"/>
        <v>INSERT INTO Operacao (idOperacao, designacaoOperacaoAgricola, designacaoUnidade, quantidade, dataOperacao) VALUES (339, 'Colheita', 'kg',   7000.0,  TO_DATE('20/09/Wednesday', 'DD/MM/YYYY'));</v>
      </c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O147" s="90" t="str">
        <f t="shared" si="12"/>
        <v>INSERT INTO OperacaoCultura (idOperacao, nomeParcela, dataInicial, nomeComum, variedade) VALUES (339, 'Lameiro do moinho', TO_DATE('11/01/Friday', 'DD/MM/YYYY'), 'Macieira', UPPER('Grand Fay') );</v>
      </c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J147" s="15" t="str">
        <f t="shared" si="9"/>
        <v>INSERT INTO Colheita(idOperacao, nomeProduto) VALUES (339, 'Maçã');</v>
      </c>
      <c r="BK147" s="15"/>
      <c r="BL147" s="15"/>
      <c r="BM147" s="15"/>
      <c r="BN147" s="15"/>
      <c r="BO147" s="15"/>
      <c r="BP147" s="15"/>
      <c r="BQ147" s="15"/>
      <c r="BR147" s="15"/>
    </row>
    <row r="148" spans="1:70">
      <c r="A148" s="117" t="s">
        <v>221</v>
      </c>
      <c r="B148" s="128" t="s">
        <v>7</v>
      </c>
      <c r="C148" s="117" t="s">
        <v>357</v>
      </c>
      <c r="D148" s="117" t="s">
        <v>385</v>
      </c>
      <c r="E148" s="128">
        <v>600</v>
      </c>
      <c r="F148" s="128" t="s">
        <v>292</v>
      </c>
      <c r="G148" s="118">
        <v>45196</v>
      </c>
      <c r="H148" s="131">
        <f t="shared" si="13"/>
        <v>340</v>
      </c>
      <c r="I148" s="132" cm="1">
        <f t="array" ref="I148">INDEX($M$135:$M$145,MATCH((A148)&amp;(C148),($K$135:$K$145)&amp;($L$135:$L$145),0))</f>
        <v>43475</v>
      </c>
      <c r="K148" s="136" t="s">
        <v>239</v>
      </c>
      <c r="L148" s="136" t="s">
        <v>270</v>
      </c>
      <c r="M148" s="136" t="s">
        <v>2</v>
      </c>
      <c r="N148" s="136" t="s">
        <v>271</v>
      </c>
      <c r="O148" s="136" t="s">
        <v>269</v>
      </c>
      <c r="S148" s="10" t="str">
        <f t="shared" si="11"/>
        <v>INSERT INTO Operacao (idOperacao, designacaoOperacaoAgricola, designacaoUnidade, quantidade, dataOperacao) VALUES (340, 'Colheita', 'kg',   6000.0,  TO_DATE('27/09/Wednesday', 'DD/MM/YYYY'));</v>
      </c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O148" s="90" t="str">
        <f t="shared" si="12"/>
        <v>INSERT INTO OperacaoCultura (idOperacao, nomeParcela, dataInicial, nomeComum, variedade) VALUES (340, 'Lameiro do moinho', TO_DATE('10/01/Thursday', 'DD/MM/YYYY'), 'Macieira', UPPER('Pipo de Basto') );</v>
      </c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J148" s="15" t="str">
        <f t="shared" si="9"/>
        <v>INSERT INTO Colheita(idOperacao, nomeProduto) VALUES (340, 'Maçã');</v>
      </c>
      <c r="BK148" s="15"/>
      <c r="BL148" s="15"/>
      <c r="BM148" s="15"/>
      <c r="BN148" s="15"/>
      <c r="BO148" s="15"/>
      <c r="BP148" s="15"/>
      <c r="BQ148" s="15"/>
      <c r="BR148" s="15"/>
    </row>
    <row r="149" spans="1:70">
      <c r="A149" s="117" t="s">
        <v>221</v>
      </c>
      <c r="B149" s="128" t="s">
        <v>7</v>
      </c>
      <c r="C149" s="117" t="s">
        <v>357</v>
      </c>
      <c r="D149" s="117" t="s">
        <v>385</v>
      </c>
      <c r="E149" s="128">
        <v>700</v>
      </c>
      <c r="F149" s="128" t="s">
        <v>292</v>
      </c>
      <c r="G149" s="118">
        <v>45204</v>
      </c>
      <c r="H149" s="131">
        <f t="shared" si="13"/>
        <v>341</v>
      </c>
      <c r="I149" s="132" cm="1">
        <f t="array" ref="I149">INDEX($M$135:$M$145,MATCH((A149)&amp;(C149),($K$135:$K$145)&amp;($L$135:$L$145),0))</f>
        <v>43475</v>
      </c>
      <c r="K149" s="131" t="s">
        <v>243</v>
      </c>
      <c r="L149" s="131" t="str">
        <f t="shared" ref="L149:L165" si="15">_xlfn.TEXTBEFORE(K149," ")</f>
        <v>Oliveira</v>
      </c>
      <c r="M149" s="131" t="str">
        <f t="shared" ref="M149:M165" si="16">_xlfn.TEXTAFTER(K149," ")</f>
        <v>Galega</v>
      </c>
      <c r="N149" s="131" t="s">
        <v>272</v>
      </c>
      <c r="O149" s="131">
        <f>1</f>
        <v>1</v>
      </c>
      <c r="S149" s="10" t="str">
        <f t="shared" si="11"/>
        <v>INSERT INTO Operacao (idOperacao, designacaoOperacaoAgricola, designacaoUnidade, quantidade, dataOperacao) VALUES (341, 'Colheita', 'kg',   7000.0,  TO_DATE('05/10/Thursday', 'DD/MM/YYYY'));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O149" s="90" t="str">
        <f t="shared" si="12"/>
        <v>INSERT INTO OperacaoCultura (idOperacao, nomeParcela, dataInicial, nomeComum, variedade) VALUES (341, 'Lameiro do moinho', TO_DATE('10/01/Thursday', 'DD/MM/YYYY'), 'Macieira', UPPER('Pipo de Basto') );</v>
      </c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J149" s="15" t="str">
        <f t="shared" si="9"/>
        <v>INSERT INTO Colheita(idOperacao, nomeProduto) VALUES (341, 'Maçã');</v>
      </c>
      <c r="BK149" s="15"/>
      <c r="BL149" s="15"/>
      <c r="BM149" s="15"/>
      <c r="BN149" s="15"/>
      <c r="BO149" s="15"/>
      <c r="BP149" s="15"/>
      <c r="BQ149" s="15"/>
      <c r="BR149" s="15"/>
    </row>
    <row r="150" spans="1:70">
      <c r="A150" s="117" t="s">
        <v>221</v>
      </c>
      <c r="B150" s="128" t="s">
        <v>7</v>
      </c>
      <c r="C150" s="117" t="s">
        <v>367</v>
      </c>
      <c r="D150" s="117" t="s">
        <v>386</v>
      </c>
      <c r="E150" s="128">
        <v>1200</v>
      </c>
      <c r="F150" s="128" t="s">
        <v>292</v>
      </c>
      <c r="G150" s="118">
        <v>45214</v>
      </c>
      <c r="H150" s="131">
        <f t="shared" si="13"/>
        <v>342</v>
      </c>
      <c r="I150" s="132" cm="1">
        <f t="array" ref="I150">INDEX($M$135:$M$145,MATCH((A150)&amp;(C150),($K$135:$K$145)&amp;($L$135:$L$145),0))</f>
        <v>43476</v>
      </c>
      <c r="K150" s="131" t="s">
        <v>244</v>
      </c>
      <c r="L150" s="131" t="str">
        <f t="shared" si="15"/>
        <v>Oliveira</v>
      </c>
      <c r="M150" s="131" t="str">
        <f t="shared" si="16"/>
        <v>Picual</v>
      </c>
      <c r="N150" s="131" t="s">
        <v>272</v>
      </c>
      <c r="O150" s="131">
        <f t="shared" ref="O150:O166" si="17">O149+1</f>
        <v>2</v>
      </c>
      <c r="S150" s="10" t="str">
        <f t="shared" si="11"/>
        <v>INSERT INTO Operacao (idOperacao, designacaoOperacaoAgricola, designacaoUnidade, quantidade, dataOperacao) VALUES (342, 'Colheita', 'kg',   12000.0,  TO_DATE('15/10/Sunday', 'DD/MM/YYYY'));</v>
      </c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O150" s="90" t="str">
        <f t="shared" si="12"/>
        <v>INSERT INTO OperacaoCultura (idOperacao, nomeParcela, dataInicial, nomeComum, variedade) VALUES (342, 'Lameiro do moinho', TO_DATE('11/01/Friday', 'DD/MM/YYYY'), 'Macieira', UPPER('Gronho Doce') );</v>
      </c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J150" s="15" t="str">
        <f t="shared" si="9"/>
        <v>INSERT INTO Colheita(idOperacao, nomeProduto) VALUES (342, 'Maçã');</v>
      </c>
      <c r="BK150" s="15"/>
      <c r="BL150" s="15"/>
      <c r="BM150" s="15"/>
      <c r="BN150" s="15"/>
      <c r="BO150" s="15"/>
      <c r="BP150" s="15"/>
      <c r="BQ150" s="15"/>
      <c r="BR150" s="15"/>
    </row>
    <row r="151" spans="1:70">
      <c r="A151" s="117" t="s">
        <v>221</v>
      </c>
      <c r="B151" s="128" t="s">
        <v>7</v>
      </c>
      <c r="C151" s="117" t="s">
        <v>361</v>
      </c>
      <c r="D151" s="117" t="s">
        <v>387</v>
      </c>
      <c r="E151" s="128">
        <v>700</v>
      </c>
      <c r="F151" s="128" t="s">
        <v>292</v>
      </c>
      <c r="G151" s="118">
        <v>45214</v>
      </c>
      <c r="H151" s="131">
        <f t="shared" si="13"/>
        <v>343</v>
      </c>
      <c r="I151" s="132" cm="1">
        <f t="array" ref="I151">INDEX($M$135:$M$145,MATCH((A151)&amp;(C151),($K$135:$K$145)&amp;($L$135:$L$145),0))</f>
        <v>43474</v>
      </c>
      <c r="K151" s="131" t="s">
        <v>251</v>
      </c>
      <c r="L151" s="131" t="str">
        <f t="shared" si="15"/>
        <v>Macieira</v>
      </c>
      <c r="M151" s="131" t="str">
        <f t="shared" si="16"/>
        <v>Jonagored</v>
      </c>
      <c r="N151" s="131" t="s">
        <v>273</v>
      </c>
      <c r="O151" s="131">
        <f t="shared" si="17"/>
        <v>3</v>
      </c>
      <c r="S151" s="10" t="str">
        <f t="shared" si="11"/>
        <v>INSERT INTO Operacao (idOperacao, designacaoOperacaoAgricola, designacaoUnidade, quantidade, dataOperacao) VALUES (343, 'Colheita', 'kg',   7000.0,  TO_DATE('15/10/Sunday', 'DD/MM/YYYY'));</v>
      </c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O151" s="90" t="str">
        <f t="shared" si="12"/>
        <v>INSERT INTO OperacaoCultura (idOperacao, nomeParcela, dataInicial, nomeComum, variedade) VALUES (343, 'Lameiro do moinho', TO_DATE('09/01/Wednesday', 'DD/MM/YYYY'), 'Macieira', UPPER('Malápio') );</v>
      </c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J151" s="15" t="str">
        <f t="shared" si="9"/>
        <v>INSERT INTO Colheita(idOperacao, nomeProduto) VALUES (343, 'Maçã');</v>
      </c>
      <c r="BK151" s="15"/>
      <c r="BL151" s="15"/>
      <c r="BM151" s="15"/>
      <c r="BN151" s="15"/>
      <c r="BO151" s="15"/>
      <c r="BP151" s="15"/>
      <c r="BQ151" s="15"/>
      <c r="BR151" s="15"/>
    </row>
    <row r="152" spans="1:70">
      <c r="A152" s="117" t="s">
        <v>221</v>
      </c>
      <c r="B152" s="128" t="s">
        <v>7</v>
      </c>
      <c r="C152" s="117" t="s">
        <v>359</v>
      </c>
      <c r="D152" s="117" t="s">
        <v>388</v>
      </c>
      <c r="E152" s="128">
        <v>700</v>
      </c>
      <c r="F152" s="128" t="s">
        <v>292</v>
      </c>
      <c r="G152" s="118">
        <v>45242</v>
      </c>
      <c r="H152" s="131">
        <f t="shared" si="13"/>
        <v>344</v>
      </c>
      <c r="I152" s="132" cm="1">
        <f t="array" ref="I152">INDEX($M$135:$M$145,MATCH((A152)&amp;(C152),($K$135:$K$145)&amp;($L$135:$L$145),0))</f>
        <v>43474</v>
      </c>
      <c r="K152" s="131" t="s">
        <v>252</v>
      </c>
      <c r="L152" s="131" t="str">
        <f t="shared" si="15"/>
        <v>Macieira</v>
      </c>
      <c r="M152" s="131" t="str">
        <f t="shared" si="16"/>
        <v>Fuji</v>
      </c>
      <c r="N152" s="131" t="s">
        <v>273</v>
      </c>
      <c r="O152" s="131">
        <f t="shared" si="17"/>
        <v>4</v>
      </c>
      <c r="S152" s="10" t="str">
        <f t="shared" si="11"/>
        <v>INSERT INTO Operacao (idOperacao, designacaoOperacaoAgricola, designacaoUnidade, quantidade, dataOperacao) VALUES (344, 'Colheita', 'kg',   7000.0,  TO_DATE('12/11/Sunday', 'DD/MM/YYYY'));</v>
      </c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O152" s="90" t="str">
        <f t="shared" si="12"/>
        <v>INSERT INTO OperacaoCultura (idOperacao, nomeParcela, dataInicial, nomeComum, variedade) VALUES (344, 'Lameiro do moinho', TO_DATE('09/01/Wednesday', 'DD/MM/YYYY'), 'Macieira', UPPER('Porta da Loja') );</v>
      </c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J152" s="15" t="str">
        <f t="shared" si="9"/>
        <v>INSERT INTO Colheita(idOperacao, nomeProduto) VALUES (344, 'Maçã');</v>
      </c>
      <c r="BK152" s="15"/>
      <c r="BL152" s="15"/>
      <c r="BM152" s="15"/>
      <c r="BN152" s="15"/>
      <c r="BO152" s="15"/>
      <c r="BP152" s="15"/>
      <c r="BQ152" s="15"/>
      <c r="BR152" s="15"/>
    </row>
    <row r="153" spans="1:70">
      <c r="A153" s="117" t="s">
        <v>221</v>
      </c>
      <c r="B153" s="128" t="s">
        <v>7</v>
      </c>
      <c r="C153" s="117" t="s">
        <v>359</v>
      </c>
      <c r="D153" s="117" t="s">
        <v>388</v>
      </c>
      <c r="E153" s="128">
        <v>800</v>
      </c>
      <c r="F153" s="128" t="s">
        <v>292</v>
      </c>
      <c r="G153" s="118">
        <v>45245</v>
      </c>
      <c r="H153" s="131">
        <f t="shared" si="13"/>
        <v>345</v>
      </c>
      <c r="I153" s="132" cm="1">
        <f t="array" ref="I153">INDEX($M$135:$M$145,MATCH((A153)&amp;(C153),($K$135:$K$145)&amp;($L$135:$L$145),0))</f>
        <v>43474</v>
      </c>
      <c r="K153" s="131" t="s">
        <v>253</v>
      </c>
      <c r="L153" s="131" t="str">
        <f t="shared" si="15"/>
        <v>Macieira</v>
      </c>
      <c r="M153" s="131" t="str">
        <f t="shared" si="16"/>
        <v>Royal Gala</v>
      </c>
      <c r="N153" s="131" t="s">
        <v>273</v>
      </c>
      <c r="O153" s="131">
        <f t="shared" si="17"/>
        <v>5</v>
      </c>
      <c r="S153" s="10" t="str">
        <f t="shared" si="11"/>
        <v>INSERT INTO Operacao (idOperacao, designacaoOperacaoAgricola, designacaoUnidade, quantidade, dataOperacao) VALUES (345, 'Colheita', 'kg',   8000.0,  TO_DATE('15/11/Wednesday', 'DD/MM/YYYY'));</v>
      </c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O153" s="90" t="str">
        <f t="shared" si="12"/>
        <v>INSERT INTO OperacaoCultura (idOperacao, nomeParcela, dataInicial, nomeComum, variedade) VALUES (345, 'Lameiro do moinho', TO_DATE('09/01/Wednesday', 'DD/MM/YYYY'), 'Macieira', UPPER('Porta da Loja') );</v>
      </c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J153" s="15" t="str">
        <f t="shared" si="9"/>
        <v>INSERT INTO Colheita(idOperacao, nomeProduto) VALUES (345, 'Maçã');</v>
      </c>
      <c r="BK153" s="15"/>
      <c r="BL153" s="15"/>
      <c r="BM153" s="15"/>
      <c r="BN153" s="15"/>
      <c r="BO153" s="15"/>
      <c r="BP153" s="15"/>
      <c r="BQ153" s="15"/>
      <c r="BR153" s="15"/>
    </row>
    <row r="154" spans="1:70">
      <c r="A154" s="117" t="s">
        <v>220</v>
      </c>
      <c r="B154" s="128" t="s">
        <v>7</v>
      </c>
      <c r="C154" s="117" t="s">
        <v>253</v>
      </c>
      <c r="D154" s="117" t="s">
        <v>389</v>
      </c>
      <c r="E154" s="128">
        <v>700</v>
      </c>
      <c r="F154" s="128" t="s">
        <v>292</v>
      </c>
      <c r="G154" s="118">
        <v>45156</v>
      </c>
      <c r="H154" s="131">
        <f t="shared" si="13"/>
        <v>346</v>
      </c>
      <c r="I154" s="133" cm="1">
        <f t="array" ref="I154">INDEX(Operações!$K$2:$K$266,MATCH((A154)&amp;(C154)&amp;($B$167),(Operações!$B$2:$B$266)&amp;(Operações!$E$2:$E$266)&amp;(Operações!$C$2:$C$266),0))</f>
        <v>42743</v>
      </c>
      <c r="K154" s="131" t="s">
        <v>240</v>
      </c>
      <c r="L154" s="131" t="str">
        <f t="shared" si="15"/>
        <v>Tremoço</v>
      </c>
      <c r="M154" s="131" t="str">
        <f t="shared" si="16"/>
        <v>Amarelo</v>
      </c>
      <c r="N154" s="131" t="s">
        <v>116</v>
      </c>
      <c r="O154" s="131">
        <f t="shared" si="17"/>
        <v>6</v>
      </c>
      <c r="S154" s="10" t="str">
        <f t="shared" si="11"/>
        <v>INSERT INTO Operacao (idOperacao, designacaoOperacaoAgricola, designacaoUnidade, quantidade, dataOperacao) VALUES (346, 'Colheita', 'kg',   7000.0,  TO_DATE('18/08/Friday', 'DD/MM/YYYY'));</v>
      </c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O154" s="90" t="str">
        <f t="shared" si="12"/>
        <v>INSERT INTO OperacaoCultura (idOperacao, nomeParcela, dataInicial, nomeComum, variedade) VALUES (346, 'Lameiro da ponte', TO_DATE('08/01/Sunday', 'DD/MM/YYYY'), 'Macieira', UPPER('Royal Gala') );</v>
      </c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J154" s="15" t="str">
        <f t="shared" si="9"/>
        <v>INSERT INTO Colheita(idOperacao, nomeProduto) VALUES (346, 'Maçã');</v>
      </c>
      <c r="BK154" s="15"/>
      <c r="BL154" s="15"/>
      <c r="BM154" s="15"/>
      <c r="BN154" s="15"/>
      <c r="BO154" s="15"/>
      <c r="BP154" s="15"/>
      <c r="BQ154" s="15"/>
      <c r="BR154" s="15"/>
    </row>
    <row r="155" spans="1:70">
      <c r="A155" s="117" t="s">
        <v>220</v>
      </c>
      <c r="B155" s="128" t="s">
        <v>7</v>
      </c>
      <c r="C155" s="117" t="s">
        <v>253</v>
      </c>
      <c r="D155" s="117" t="s">
        <v>389</v>
      </c>
      <c r="E155" s="128">
        <v>900</v>
      </c>
      <c r="F155" s="128" t="s">
        <v>292</v>
      </c>
      <c r="G155" s="118">
        <v>45168</v>
      </c>
      <c r="H155" s="131">
        <f t="shared" si="13"/>
        <v>347</v>
      </c>
      <c r="I155" s="133" cm="1">
        <f t="array" ref="I155">INDEX(Operações!$K$2:$K$266,MATCH((A155)&amp;(C155)&amp;($B$167),(Operações!$B$2:$B$266)&amp;(Operações!$E$2:$E$266)&amp;(Operações!$C$2:$C$266),0))</f>
        <v>42743</v>
      </c>
      <c r="K155" s="131" t="s">
        <v>241</v>
      </c>
      <c r="L155" s="131" t="str">
        <f t="shared" si="15"/>
        <v>Milho</v>
      </c>
      <c r="M155" s="131" t="str">
        <f t="shared" si="16"/>
        <v>Doce Golden Bantam</v>
      </c>
      <c r="N155" s="131" t="s">
        <v>100</v>
      </c>
      <c r="O155" s="131">
        <f t="shared" si="17"/>
        <v>7</v>
      </c>
      <c r="S155" s="10" t="str">
        <f t="shared" si="11"/>
        <v>INSERT INTO Operacao (idOperacao, designacaoOperacaoAgricola, designacaoUnidade, quantidade, dataOperacao) VALUES (347, 'Colheita', 'kg',   9000.0,  TO_DATE('30/08/Wednesday', 'DD/MM/YYYY'));</v>
      </c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O155" s="90" t="str">
        <f t="shared" si="12"/>
        <v>INSERT INTO OperacaoCultura (idOperacao, nomeParcela, dataInicial, nomeComum, variedade) VALUES (347, 'Lameiro da ponte', TO_DATE('08/01/Sunday', 'DD/MM/YYYY'), 'Macieira', UPPER('Royal Gala') );</v>
      </c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J155" s="15" t="str">
        <f t="shared" si="9"/>
        <v>INSERT INTO Colheita(idOperacao, nomeProduto) VALUES (347, 'Maçã');</v>
      </c>
      <c r="BK155" s="15"/>
      <c r="BL155" s="15"/>
      <c r="BM155" s="15"/>
      <c r="BN155" s="15"/>
      <c r="BO155" s="15"/>
      <c r="BP155" s="15"/>
      <c r="BQ155" s="15"/>
      <c r="BR155" s="15"/>
    </row>
    <row r="156" spans="1:70">
      <c r="A156" s="117" t="s">
        <v>220</v>
      </c>
      <c r="B156" s="128" t="s">
        <v>7</v>
      </c>
      <c r="C156" s="117" t="s">
        <v>251</v>
      </c>
      <c r="D156" s="117" t="s">
        <v>390</v>
      </c>
      <c r="E156" s="128">
        <v>900</v>
      </c>
      <c r="F156" s="128" t="s">
        <v>292</v>
      </c>
      <c r="G156" s="118">
        <v>45174</v>
      </c>
      <c r="H156" s="131">
        <f t="shared" si="13"/>
        <v>348</v>
      </c>
      <c r="I156" s="133" cm="1">
        <f t="array" ref="I156">INDEX(Operações!$K$2:$K$266,MATCH((A156)&amp;(C156)&amp;($B$167),(Operações!$B$2:$B$266)&amp;(Operações!$E$2:$E$266)&amp;(Operações!$C$2:$C$266),0))</f>
        <v>42742</v>
      </c>
      <c r="K156" s="131" t="s">
        <v>240</v>
      </c>
      <c r="L156" s="131" t="str">
        <f t="shared" si="15"/>
        <v>Tremoço</v>
      </c>
      <c r="M156" s="131" t="str">
        <f t="shared" si="16"/>
        <v>Amarelo</v>
      </c>
      <c r="N156" s="131" t="s">
        <v>137</v>
      </c>
      <c r="O156" s="131">
        <f t="shared" si="17"/>
        <v>8</v>
      </c>
      <c r="S156" s="10" t="str">
        <f t="shared" si="11"/>
        <v>INSERT INTO Operacao (idOperacao, designacaoOperacaoAgricola, designacaoUnidade, quantidade, dataOperacao) VALUES (348, 'Colheita', 'kg',   9000.0,  TO_DATE('05/09/Tuesday', 'DD/MM/YYYY'));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O156" s="90" t="str">
        <f t="shared" si="12"/>
        <v>INSERT INTO OperacaoCultura (idOperacao, nomeParcela, dataInicial, nomeComum, variedade) VALUES (348, 'Lameiro da ponte', TO_DATE('07/01/Saturday', 'DD/MM/YYYY'), 'Macieira', UPPER('Jonagored') );</v>
      </c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J156" s="15" t="str">
        <f t="shared" si="9"/>
        <v>INSERT INTO Colheita(idOperacao, nomeProduto) VALUES (348, 'Maçã');</v>
      </c>
      <c r="BK156" s="15"/>
      <c r="BL156" s="15"/>
      <c r="BM156" s="15"/>
      <c r="BN156" s="15"/>
      <c r="BO156" s="15"/>
      <c r="BP156" s="15"/>
      <c r="BQ156" s="15"/>
      <c r="BR156" s="15"/>
    </row>
    <row r="157" spans="1:70">
      <c r="A157" s="117" t="s">
        <v>220</v>
      </c>
      <c r="B157" s="128" t="s">
        <v>7</v>
      </c>
      <c r="C157" s="117" t="s">
        <v>251</v>
      </c>
      <c r="D157" s="117" t="s">
        <v>390</v>
      </c>
      <c r="E157" s="128">
        <v>1050</v>
      </c>
      <c r="F157" s="128" t="s">
        <v>292</v>
      </c>
      <c r="G157" s="118">
        <v>45177</v>
      </c>
      <c r="H157" s="131">
        <f t="shared" si="13"/>
        <v>349</v>
      </c>
      <c r="I157" s="133" cm="1">
        <f t="array" ref="I157">INDEX(Operações!$K$2:$K$266,MATCH((A157)&amp;(C157)&amp;($B$167),(Operações!$B$2:$B$266)&amp;(Operações!$E$2:$E$266)&amp;(Operações!$C$2:$C$266),0))</f>
        <v>42742</v>
      </c>
      <c r="K157" s="131" t="s">
        <v>245</v>
      </c>
      <c r="L157" s="131" t="str">
        <f t="shared" si="15"/>
        <v>Cenoura</v>
      </c>
      <c r="M157" s="131" t="str">
        <f t="shared" si="16"/>
        <v>Scarlet Nantes</v>
      </c>
      <c r="N157" s="131" t="s">
        <v>100</v>
      </c>
      <c r="O157" s="131">
        <f t="shared" si="17"/>
        <v>9</v>
      </c>
      <c r="S157" s="10" t="str">
        <f t="shared" si="11"/>
        <v>INSERT INTO Operacao (idOperacao, designacaoOperacaoAgricola, designacaoUnidade, quantidade, dataOperacao) VALUES (349, 'Colheita', 'kg',   10500.0,  TO_DATE('08/09/Friday', 'DD/MM/YYYY'));</v>
      </c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O157" s="90" t="str">
        <f t="shared" si="12"/>
        <v>INSERT INTO OperacaoCultura (idOperacao, nomeParcela, dataInicial, nomeComum, variedade) VALUES (349, 'Lameiro da ponte', TO_DATE('07/01/Saturday', 'DD/MM/YYYY'), 'Macieira', UPPER('Jonagored') );</v>
      </c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J157" s="15" t="str">
        <f t="shared" si="9"/>
        <v>INSERT INTO Colheita(idOperacao, nomeProduto) VALUES (349, 'Maçã');</v>
      </c>
      <c r="BK157" s="15"/>
      <c r="BL157" s="15"/>
      <c r="BM157" s="15"/>
      <c r="BN157" s="15"/>
      <c r="BO157" s="15"/>
      <c r="BP157" s="15"/>
      <c r="BQ157" s="15"/>
      <c r="BR157" s="15"/>
    </row>
    <row r="158" spans="1:70">
      <c r="A158" s="117" t="s">
        <v>220</v>
      </c>
      <c r="B158" s="128" t="s">
        <v>7</v>
      </c>
      <c r="C158" s="117" t="s">
        <v>252</v>
      </c>
      <c r="D158" s="117" t="s">
        <v>391</v>
      </c>
      <c r="E158" s="128">
        <v>950</v>
      </c>
      <c r="F158" s="128" t="s">
        <v>292</v>
      </c>
      <c r="G158" s="118">
        <v>45197</v>
      </c>
      <c r="H158" s="131">
        <f t="shared" si="13"/>
        <v>350</v>
      </c>
      <c r="I158" s="133" cm="1">
        <f t="array" ref="I158">INDEX(Operações!$K$2:$K$266,MATCH((A158)&amp;(C158)&amp;($B$167),(Operações!$B$2:$B$266)&amp;(Operações!$E$2:$E$266)&amp;(Operações!$C$2:$C$266),0))</f>
        <v>42743</v>
      </c>
      <c r="K158" s="131" t="s">
        <v>246</v>
      </c>
      <c r="L158" s="131" t="str">
        <f t="shared" si="15"/>
        <v>Cenoura</v>
      </c>
      <c r="M158" s="131" t="str">
        <f t="shared" si="16"/>
        <v>Nelson Hybrid</v>
      </c>
      <c r="N158" s="131" t="s">
        <v>100</v>
      </c>
      <c r="O158" s="131">
        <f t="shared" si="17"/>
        <v>10</v>
      </c>
      <c r="S158" s="10" t="str">
        <f t="shared" si="11"/>
        <v>INSERT INTO Operacao (idOperacao, designacaoOperacaoAgricola, designacaoUnidade, quantidade, dataOperacao) VALUES (350, 'Colheita', 'kg',   9500.0,  TO_DATE('28/09/Thursday', 'DD/MM/YYYY'));</v>
      </c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O158" s="90" t="str">
        <f t="shared" si="12"/>
        <v>INSERT INTO OperacaoCultura (idOperacao, nomeParcela, dataInicial, nomeComum, variedade) VALUES (350, 'Lameiro da ponte', TO_DATE('08/01/Sunday', 'DD/MM/YYYY'), 'Macieira', UPPER('Fuji') );</v>
      </c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J158" s="15" t="str">
        <f t="shared" si="9"/>
        <v>INSERT INTO Colheita(idOperacao, nomeProduto) VALUES (350, 'Maçã');</v>
      </c>
      <c r="BK158" s="15"/>
      <c r="BL158" s="15"/>
      <c r="BM158" s="15"/>
      <c r="BN158" s="15"/>
      <c r="BO158" s="15"/>
      <c r="BP158" s="15"/>
      <c r="BQ158" s="15"/>
      <c r="BR158" s="15"/>
    </row>
    <row r="159" spans="1:70">
      <c r="A159" s="117" t="s">
        <v>220</v>
      </c>
      <c r="B159" s="128" t="s">
        <v>7</v>
      </c>
      <c r="C159" s="117" t="s">
        <v>252</v>
      </c>
      <c r="D159" s="117" t="s">
        <v>391</v>
      </c>
      <c r="E159" s="128">
        <v>800</v>
      </c>
      <c r="F159" s="128" t="s">
        <v>292</v>
      </c>
      <c r="G159" s="118">
        <v>45202</v>
      </c>
      <c r="H159" s="131">
        <f t="shared" si="13"/>
        <v>351</v>
      </c>
      <c r="I159" s="133" cm="1">
        <f t="array" ref="I159">INDEX(Operações!$K$2:$K$266,MATCH((A159)&amp;(C159)&amp;($B$167),(Operações!$B$2:$B$266)&amp;(Operações!$E$2:$E$266)&amp;(Operações!$C$2:$C$266),0))</f>
        <v>42743</v>
      </c>
      <c r="K159" s="131" t="s">
        <v>247</v>
      </c>
      <c r="L159" s="131" t="str">
        <f t="shared" si="15"/>
        <v>Nabo</v>
      </c>
      <c r="M159" s="131" t="str">
        <f t="shared" si="16"/>
        <v>S. Cosme</v>
      </c>
      <c r="N159" s="131" t="s">
        <v>273</v>
      </c>
      <c r="O159" s="131">
        <f t="shared" si="17"/>
        <v>11</v>
      </c>
      <c r="S159" s="10" t="str">
        <f t="shared" si="11"/>
        <v>INSERT INTO Operacao (idOperacao, designacaoOperacaoAgricola, designacaoUnidade, quantidade, dataOperacao) VALUES (351, 'Colheita', 'kg',   8000.0,  TO_DATE('03/10/Tuesday', 'DD/MM/YYYY'));</v>
      </c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O159" s="90" t="str">
        <f xml:space="preserve"> "INSERT INTO " &amp;$AP$134&amp; " (idOperacao, nomeParcela, dataInicial, nomeComum, variedade) VALUES (" &amp;H159&amp; ", '" &amp;A159&amp; "', TO_DATE('"&amp;TEXT(I159,"DD/MM/AAAA")&amp;"', 'DD/MM/YYYY'), '"  &amp;INDEX($L$149:$L$173,MATCH(C159,$K$149:$K$173,0))&amp; "', UPPER('" &amp;INDEX($M$149:$M$173,MATCH(C159,$K$149:$K$173,0))&amp;  "') );"</f>
        <v>INSERT INTO OperacaoCultura (idOperacao, nomeParcela, dataInicial, nomeComum, variedade) VALUES (351, 'Lameiro da ponte', TO_DATE('08/01/Sunday', 'DD/MM/YYYY'), 'Macieira', UPPER('Fuji') );</v>
      </c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J159" s="15" t="str">
        <f t="shared" si="9"/>
        <v>INSERT INTO Colheita(idOperacao, nomeProduto) VALUES (351, 'Maçã');</v>
      </c>
      <c r="BK159" s="15"/>
      <c r="BL159" s="15"/>
      <c r="BM159" s="15"/>
      <c r="BN159" s="15"/>
      <c r="BO159" s="15"/>
      <c r="BP159" s="15"/>
      <c r="BQ159" s="15"/>
      <c r="BR159" s="15"/>
    </row>
    <row r="160" spans="1:70">
      <c r="K160" s="131" t="s">
        <v>248</v>
      </c>
      <c r="L160" s="131" t="str">
        <f t="shared" si="15"/>
        <v>Cenoura</v>
      </c>
      <c r="M160" s="131" t="str">
        <f t="shared" si="16"/>
        <v>Sugarsnax Hybrid</v>
      </c>
      <c r="N160" s="131" t="s">
        <v>100</v>
      </c>
      <c r="O160" s="131">
        <f t="shared" si="17"/>
        <v>12</v>
      </c>
    </row>
    <row r="161" spans="1:95">
      <c r="K161" s="131" t="s">
        <v>249</v>
      </c>
      <c r="L161" s="131" t="str">
        <f t="shared" si="15"/>
        <v>Cenoura</v>
      </c>
      <c r="M161" s="131" t="str">
        <f t="shared" si="16"/>
        <v>Danvers Half Long</v>
      </c>
      <c r="N161" s="131" t="s">
        <v>100</v>
      </c>
      <c r="O161" s="131">
        <f t="shared" si="17"/>
        <v>13</v>
      </c>
    </row>
    <row r="162" spans="1:95">
      <c r="K162" s="131" t="s">
        <v>242</v>
      </c>
      <c r="L162" s="131" t="str">
        <f t="shared" si="15"/>
        <v>Milho</v>
      </c>
      <c r="M162" s="131" t="str">
        <f t="shared" si="16"/>
        <v>MAS 24.C</v>
      </c>
      <c r="N162" s="131" t="s">
        <v>116</v>
      </c>
      <c r="O162" s="131">
        <f t="shared" si="17"/>
        <v>14</v>
      </c>
    </row>
    <row r="163" spans="1:95">
      <c r="K163" s="131" t="s">
        <v>250</v>
      </c>
      <c r="L163" s="131" t="str">
        <f t="shared" si="15"/>
        <v>Nabo</v>
      </c>
      <c r="M163" s="131" t="str">
        <f t="shared" si="16"/>
        <v>greleiro Senhora Conceição</v>
      </c>
      <c r="N163" s="131" t="s">
        <v>137</v>
      </c>
      <c r="O163" s="131">
        <f t="shared" si="17"/>
        <v>15</v>
      </c>
    </row>
    <row r="164" spans="1:95">
      <c r="K164" s="131" t="s">
        <v>254</v>
      </c>
      <c r="L164" s="131" t="str">
        <f t="shared" si="15"/>
        <v>Videira</v>
      </c>
      <c r="M164" s="131" t="str">
        <f t="shared" si="16"/>
        <v>Dona Maria</v>
      </c>
      <c r="N164" s="131" t="s">
        <v>274</v>
      </c>
      <c r="O164" s="131">
        <f t="shared" si="17"/>
        <v>16</v>
      </c>
    </row>
    <row r="165" spans="1:95">
      <c r="K165" s="131" t="s">
        <v>255</v>
      </c>
      <c r="L165" s="131" t="str">
        <f t="shared" si="15"/>
        <v>Videira</v>
      </c>
      <c r="M165" s="131" t="str">
        <f t="shared" si="16"/>
        <v>Cardinal</v>
      </c>
      <c r="N165" s="131" t="s">
        <v>274</v>
      </c>
      <c r="O165" s="131">
        <f t="shared" si="17"/>
        <v>17</v>
      </c>
    </row>
    <row r="166" spans="1:95">
      <c r="A166" s="126" t="s">
        <v>343</v>
      </c>
      <c r="B166" s="126" t="s">
        <v>372</v>
      </c>
      <c r="C166" s="126" t="s">
        <v>378</v>
      </c>
      <c r="D166" s="126" t="s">
        <v>373</v>
      </c>
      <c r="E166" s="126" t="s">
        <v>340</v>
      </c>
      <c r="F166" s="126" t="s">
        <v>375</v>
      </c>
      <c r="G166" s="131" t="s">
        <v>285</v>
      </c>
      <c r="H166" s="131" t="s">
        <v>392</v>
      </c>
      <c r="K166" s="131" t="s">
        <v>268</v>
      </c>
      <c r="L166" s="131" t="str">
        <f>K166</f>
        <v>Abóbora Manteiga</v>
      </c>
      <c r="M166" s="131" t="s">
        <v>275</v>
      </c>
      <c r="N166" s="131" t="s">
        <v>276</v>
      </c>
      <c r="O166" s="131">
        <f t="shared" si="17"/>
        <v>18</v>
      </c>
      <c r="S166" s="9" t="s">
        <v>8</v>
      </c>
      <c r="T166" s="9" t="s">
        <v>9</v>
      </c>
      <c r="U166" s="9" t="s">
        <v>287</v>
      </c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O166" s="93" t="s">
        <v>9</v>
      </c>
      <c r="AP166" s="93" t="s">
        <v>288</v>
      </c>
      <c r="AQ166" s="93" t="s">
        <v>8</v>
      </c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J166" s="20" t="s">
        <v>8</v>
      </c>
      <c r="BK166" s="20" t="s">
        <v>9</v>
      </c>
      <c r="BL166" s="20" t="s">
        <v>265</v>
      </c>
      <c r="BM166" s="20"/>
      <c r="BN166" s="20"/>
      <c r="BO166" s="20"/>
      <c r="BP166" s="3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</row>
    <row r="167" spans="1:95">
      <c r="A167" s="117" t="s">
        <v>221</v>
      </c>
      <c r="B167" s="117" t="s">
        <v>289</v>
      </c>
      <c r="C167" s="117" t="s">
        <v>359</v>
      </c>
      <c r="D167" s="117">
        <v>50</v>
      </c>
      <c r="E167" s="117" t="s">
        <v>267</v>
      </c>
      <c r="F167" s="118">
        <v>43474</v>
      </c>
      <c r="G167" s="131">
        <f>H159 + 1</f>
        <v>352</v>
      </c>
      <c r="H167" s="132">
        <f>F167</f>
        <v>43474</v>
      </c>
      <c r="K167" s="131" t="s">
        <v>352</v>
      </c>
      <c r="L167" s="131" t="str">
        <f t="shared" ref="L167" si="18">_xlfn.TEXTBEFORE(K167," ")</f>
        <v>Oliveira</v>
      </c>
      <c r="M167" s="131" t="str">
        <f t="shared" ref="M167" si="19">_xlfn.TEXTAFTER(K167," ")</f>
        <v>Arbequina</v>
      </c>
      <c r="N167" s="131" t="s">
        <v>272</v>
      </c>
      <c r="O167" s="131">
        <f>O166+1</f>
        <v>19</v>
      </c>
      <c r="S167" s="10" t="str">
        <f xml:space="preserve"> "INSERT INTO " &amp;$U$134&amp; " (idOperacao, designacaoOperacaoAgricola, designacaoUnidade, quantidade, dataOperacao) VALUES (" &amp;G167&amp; ", '" &amp;B167&amp; "', " &amp;IF(ISBLANK(E167), "null", "'" &amp;E167&amp; "'" )&amp; ",   "&amp;IF(ISBLANK(D167), "NULL",TEXT(SUBSTITUTE(D167, "%", "") * 10, "0.0"))&amp;",  TO_DATE('"&amp;TEXT(F167,"DD/MM/AAAA")&amp;"', 'DD/MM/YYYY'));"</f>
        <v>INSERT INTO Operacao (idOperacao, designacaoOperacaoAgricola, designacaoUnidade, quantidade, dataOperacao) VALUES (352, 'Plantação', 'un',   500.0,  TO_DATE('09/01/Wednesday', 'DD/MM/YYYY'));</v>
      </c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O167" s="90" t="str">
        <f xml:space="preserve"> "INSERT INTO " &amp;$AP$166&amp; " (idOperacao, nomeParcela, dataInicial, nomeComum, variedade) VALUES (" &amp;G167&amp; ", '" &amp;A167&amp; "', TO_DATE('"&amp;TEXT(H167,"DD/MM/AAAA")&amp;"', 'DD/MM/YYYY'), '"  &amp;INDEX($L$149:$L$173,MATCH(C167,$K$149:$K$173,0))&amp; "', '" &amp;UPPER(INDEX($M$149:$M$173,MATCH(C167,$K$149:$K$173,0)))&amp;  "' );"</f>
        <v>INSERT INTO OperacaoCultura (idOperacao, nomeParcela, dataInicial, nomeComum, variedade) VALUES (352, 'Lameiro do moinho', TO_DATE('09/01/Wednesday', 'DD/MM/YYYY'), 'Macieira', 'PORTA DA LOJA' );</v>
      </c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J167" s="31" t="str">
        <f>"INSERT INTO "&amp;$BL$219&amp;" (dataInicial, nomeParcela, variedade, nomeComum, designacaoUnidade, quantidade,  dataFinal) VALUES ("&amp;"TO_DATE('"&amp;TEXT(H167,"DD/MM/AAAA")&amp;"', 'DD/MM/YYYY') , '"&amp;A167&amp;"' , UPPER('" &amp;INDEX($M$149:$M$173,MATCH(C167,$K$149:$K$173,0))&amp; "'), '" &amp;INDEX($L$149:$L$173,MATCH(C167,$K$149:$K$173,0))&amp; "', '" &amp;E167&amp; "', "&amp;TEXT(SUBSTITUTE(D167,"%","")*100,"0.00")&amp;", "&amp;IF(ISBLANK(N135),"NULL","TO_DATE('"&amp;TEXT(N135,"DD/MM/AAAA")&amp;"', 'DD/MM/YYYY')")&amp;");"</f>
        <v>INSERT INTO CulturaInstalada (dataInicial, nomeParcela, variedade, nomeComum, designacaoUnidade, quantidade,  dataFinal) VALUES (TO_DATE('09/01/2019', 'DD/MM/YYYY') , 'Lameiro do moinho' , UPPER('Porta da Loja'), 'Macieira', 'un', 50.00, NULL);</v>
      </c>
      <c r="BK167" s="31"/>
      <c r="BL167" s="31"/>
      <c r="BM167" s="31"/>
      <c r="BN167" s="31"/>
      <c r="BO167" s="31"/>
      <c r="BP167" s="32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</row>
    <row r="168" spans="1:95">
      <c r="A168" s="117" t="s">
        <v>221</v>
      </c>
      <c r="B168" s="117" t="s">
        <v>289</v>
      </c>
      <c r="C168" s="117" t="s">
        <v>361</v>
      </c>
      <c r="D168" s="117">
        <v>20</v>
      </c>
      <c r="E168" s="117" t="s">
        <v>267</v>
      </c>
      <c r="F168" s="118">
        <v>43474</v>
      </c>
      <c r="G168" s="131">
        <f t="shared" ref="G168:G173" si="20">G167 + 1</f>
        <v>353</v>
      </c>
      <c r="H168" s="132">
        <f t="shared" ref="H168:H173" si="21">F168</f>
        <v>43474</v>
      </c>
      <c r="K168" s="131" t="s">
        <v>363</v>
      </c>
      <c r="L168" s="131" t="str">
        <f t="shared" ref="L168" si="22">_xlfn.TEXTBEFORE(K168," ")</f>
        <v>Macieira</v>
      </c>
      <c r="M168" s="131" t="str">
        <f t="shared" ref="M168" si="23">_xlfn.TEXTAFTER(K168," ")</f>
        <v>Canada</v>
      </c>
      <c r="N168" s="131" t="s">
        <v>273</v>
      </c>
      <c r="O168" s="131">
        <f t="shared" ref="O168" si="24">O167+1</f>
        <v>20</v>
      </c>
      <c r="S168" s="10" t="str">
        <f t="shared" ref="S168:S173" si="25" xml:space="preserve"> "INSERT INTO " &amp;$U$134&amp; " (idOperacao, designacaoOperacaoAgricola, designacaoUnidade, quantidade, dataOperacao) VALUES (" &amp;G168&amp; ", '" &amp;B168&amp; "', " &amp;IF(ISBLANK(E168), "null", "'" &amp;E168&amp; "'" )&amp; ",   "&amp;IF(ISBLANK(D168), "NULL",TEXT(SUBSTITUTE(D168, "%", "") * 10, "0.0"))&amp;",  TO_DATE('"&amp;TEXT(F168,"DD/MM/AAAA")&amp;"', 'DD/MM/YYYY'));"</f>
        <v>INSERT INTO Operacao (idOperacao, designacaoOperacaoAgricola, designacaoUnidade, quantidade, dataOperacao) VALUES (353, 'Plantação', 'un',   200.0,  TO_DATE('09/01/Wednesday', 'DD/MM/YYYY'));</v>
      </c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O168" s="90" t="str">
        <f t="shared" ref="AO168:AO173" si="26" xml:space="preserve"> "INSERT INTO " &amp;$AP$166&amp; " (idOperacao, nomeParcela, dataInicial, nomeComum, variedade) VALUES (" &amp;G168&amp; ", '" &amp;A168&amp; "', TO_DATE('"&amp;TEXT(H168,"DD/MM/AAAA")&amp;"', 'DD/MM/YYYY'), '"  &amp;INDEX($L$149:$L$173,MATCH(C168,$K$149:$K$173,0))&amp; "', '" &amp;UPPER(INDEX($M$149:$M$173,MATCH(C168,$K$149:$K$173,0)))&amp;  "' );"</f>
        <v>INSERT INTO OperacaoCultura (idOperacao, nomeParcela, dataInicial, nomeComum, variedade) VALUES (353, 'Lameiro do moinho', TO_DATE('09/01/Wednesday', 'DD/MM/YYYY'), 'Macieira', 'MALÁPIO' );</v>
      </c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J168" s="31" t="str">
        <f t="shared" ref="BJ168:BJ173" si="27">"INSERT INTO "&amp;$BL$219&amp;" (dataInicial, nomeParcela, variedade, nomeComum, designacaoUnidade, quantidade,  dataFinal) VALUES ("&amp;"TO_DATE('"&amp;TEXT(H168,"DD/MM/AAAA")&amp;"', 'DD/MM/YYYY') , '"&amp;A168&amp;"' , UPPER('" &amp;INDEX($M$149:$M$173,MATCH(C168,$K$149:$K$173,0))&amp; "'), '" &amp;INDEX($L$149:$L$173,MATCH(C168,$K$149:$K$173,0))&amp; "', '" &amp;E168&amp; "', "&amp;TEXT(SUBSTITUTE(D168,"%","")*100,"0.00")&amp;", "&amp;IF(ISBLANK(N136),"NULL","TO_DATE('"&amp;TEXT(N136,"DD/MM/AAAA")&amp;"', 'DD/MM/YYYY')")&amp;");"</f>
        <v>INSERT INTO CulturaInstalada (dataInicial, nomeParcela, variedade, nomeComum, designacaoUnidade, quantidade,  dataFinal) VALUES (TO_DATE('09/01/2019', 'DD/MM/YYYY') , 'Lameiro do moinho' , UPPER('Malápio'), 'Macieira', 'un', 20.00, NULL);</v>
      </c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</row>
    <row r="169" spans="1:95">
      <c r="A169" s="117" t="s">
        <v>221</v>
      </c>
      <c r="B169" s="117" t="s">
        <v>289</v>
      </c>
      <c r="C169" s="117" t="s">
        <v>357</v>
      </c>
      <c r="D169" s="117">
        <v>40</v>
      </c>
      <c r="E169" s="117" t="s">
        <v>267</v>
      </c>
      <c r="F169" s="118">
        <v>43475</v>
      </c>
      <c r="G169" s="131">
        <f t="shared" si="20"/>
        <v>354</v>
      </c>
      <c r="H169" s="132">
        <f t="shared" si="21"/>
        <v>43475</v>
      </c>
      <c r="K169" s="131" t="s">
        <v>365</v>
      </c>
      <c r="L169" s="131" t="str">
        <f t="shared" ref="L169:L173" si="28">_xlfn.TEXTBEFORE(K169," ")</f>
        <v>Macieira</v>
      </c>
      <c r="M169" s="131" t="str">
        <f t="shared" ref="M169:M173" si="29">_xlfn.TEXTAFTER(K169," ")</f>
        <v>Grand Fay</v>
      </c>
      <c r="N169" s="131" t="s">
        <v>273</v>
      </c>
      <c r="O169" s="131">
        <f t="shared" ref="O169:O173" si="30">O168+1</f>
        <v>21</v>
      </c>
      <c r="S169" s="10" t="str">
        <f t="shared" si="25"/>
        <v>INSERT INTO Operacao (idOperacao, designacaoOperacaoAgricola, designacaoUnidade, quantidade, dataOperacao) VALUES (354, 'Plantação', 'un',   400.0,  TO_DATE('10/01/Thursday', 'DD/MM/YYYY'));</v>
      </c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O169" s="90" t="str">
        <f t="shared" si="26"/>
        <v>INSERT INTO OperacaoCultura (idOperacao, nomeParcela, dataInicial, nomeComum, variedade) VALUES (354, 'Lameiro do moinho', TO_DATE('10/01/Thursday', 'DD/MM/YYYY'), 'Macieira', 'PIPO DE BASTO' );</v>
      </c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J169" s="31" t="str">
        <f t="shared" si="27"/>
        <v>INSERT INTO CulturaInstalada (dataInicial, nomeParcela, variedade, nomeComum, designacaoUnidade, quantidade,  dataFinal) VALUES (TO_DATE('10/01/2019', 'DD/MM/YYYY') , 'Lameiro do moinho' , UPPER('Pipo de Basto'), 'Macieira', 'un', 40.00, NULL);</v>
      </c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</row>
    <row r="170" spans="1:95">
      <c r="A170" s="117" t="s">
        <v>221</v>
      </c>
      <c r="B170" s="117" t="s">
        <v>289</v>
      </c>
      <c r="C170" s="117" t="s">
        <v>363</v>
      </c>
      <c r="D170" s="117">
        <v>30</v>
      </c>
      <c r="E170" s="117" t="s">
        <v>267</v>
      </c>
      <c r="F170" s="118">
        <v>43475</v>
      </c>
      <c r="G170" s="131">
        <f t="shared" si="20"/>
        <v>355</v>
      </c>
      <c r="H170" s="132">
        <f t="shared" si="21"/>
        <v>43475</v>
      </c>
      <c r="K170" s="131" t="s">
        <v>357</v>
      </c>
      <c r="L170" s="131" t="str">
        <f t="shared" si="28"/>
        <v>Macieira</v>
      </c>
      <c r="M170" s="131" t="str">
        <f t="shared" si="29"/>
        <v>Pipo de Basto</v>
      </c>
      <c r="N170" s="131" t="s">
        <v>273</v>
      </c>
      <c r="O170" s="131">
        <f t="shared" si="30"/>
        <v>22</v>
      </c>
      <c r="S170" s="10" t="str">
        <f t="shared" si="25"/>
        <v>INSERT INTO Operacao (idOperacao, designacaoOperacaoAgricola, designacaoUnidade, quantidade, dataOperacao) VALUES (355, 'Plantação', 'un',   300.0,  TO_DATE('10/01/Thursday', 'DD/MM/YYYY'));</v>
      </c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O170" s="90" t="str">
        <f t="shared" si="26"/>
        <v>INSERT INTO OperacaoCultura (idOperacao, nomeParcela, dataInicial, nomeComum, variedade) VALUES (355, 'Lameiro do moinho', TO_DATE('10/01/Thursday', 'DD/MM/YYYY'), 'Macieira', 'CANADA' );</v>
      </c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J170" s="31" t="str">
        <f t="shared" si="27"/>
        <v>INSERT INTO CulturaInstalada (dataInicial, nomeParcela, variedade, nomeComum, designacaoUnidade, quantidade,  dataFinal) VALUES (TO_DATE('10/01/2019', 'DD/MM/YYYY') , 'Lameiro do moinho' , UPPER('Canada'), 'Macieira', 'un', 30.00, NULL);</v>
      </c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</row>
    <row r="171" spans="1:95">
      <c r="A171" s="117" t="s">
        <v>221</v>
      </c>
      <c r="B171" s="117" t="s">
        <v>289</v>
      </c>
      <c r="C171" s="117" t="s">
        <v>365</v>
      </c>
      <c r="D171" s="117">
        <v>40</v>
      </c>
      <c r="E171" s="117" t="s">
        <v>267</v>
      </c>
      <c r="F171" s="118">
        <v>43476</v>
      </c>
      <c r="G171" s="131">
        <f t="shared" si="20"/>
        <v>356</v>
      </c>
      <c r="H171" s="132">
        <f t="shared" si="21"/>
        <v>43476</v>
      </c>
      <c r="K171" s="131" t="s">
        <v>367</v>
      </c>
      <c r="L171" s="131" t="str">
        <f t="shared" si="28"/>
        <v>Macieira</v>
      </c>
      <c r="M171" s="131" t="str">
        <f t="shared" si="29"/>
        <v>Gronho Doce</v>
      </c>
      <c r="N171" s="131" t="s">
        <v>273</v>
      </c>
      <c r="O171" s="131">
        <f t="shared" si="30"/>
        <v>23</v>
      </c>
      <c r="S171" s="10" t="str">
        <f t="shared" si="25"/>
        <v>INSERT INTO Operacao (idOperacao, designacaoOperacaoAgricola, designacaoUnidade, quantidade, dataOperacao) VALUES (356, 'Plantação', 'un',   400.0,  TO_DATE('11/01/Friday', 'DD/MM/YYYY'));</v>
      </c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O171" s="90" t="str">
        <f t="shared" si="26"/>
        <v>INSERT INTO OperacaoCultura (idOperacao, nomeParcela, dataInicial, nomeComum, variedade) VALUES (356, 'Lameiro do moinho', TO_DATE('11/01/Friday', 'DD/MM/YYYY'), 'Macieira', 'GRAND FAY' );</v>
      </c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J171" s="31" t="str">
        <f t="shared" si="27"/>
        <v>INSERT INTO CulturaInstalada (dataInicial, nomeParcela, variedade, nomeComum, designacaoUnidade, quantidade,  dataFinal) VALUES (TO_DATE('11/01/2019', 'DD/MM/YYYY') , 'Lameiro do moinho' , UPPER('Grand Fay'), 'Macieira', 'un', 40.00, NULL);</v>
      </c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</row>
    <row r="172" spans="1:95">
      <c r="A172" s="117" t="s">
        <v>221</v>
      </c>
      <c r="B172" s="117" t="s">
        <v>289</v>
      </c>
      <c r="C172" s="117" t="s">
        <v>367</v>
      </c>
      <c r="D172" s="117">
        <v>50</v>
      </c>
      <c r="E172" s="117" t="s">
        <v>267</v>
      </c>
      <c r="F172" s="118">
        <v>43476</v>
      </c>
      <c r="G172" s="131">
        <f t="shared" si="20"/>
        <v>357</v>
      </c>
      <c r="H172" s="132">
        <f t="shared" si="21"/>
        <v>43476</v>
      </c>
      <c r="K172" s="131" t="s">
        <v>361</v>
      </c>
      <c r="L172" s="131" t="str">
        <f t="shared" si="28"/>
        <v>Macieira</v>
      </c>
      <c r="M172" s="131" t="str">
        <f t="shared" si="29"/>
        <v>Malápio</v>
      </c>
      <c r="N172" s="131" t="s">
        <v>273</v>
      </c>
      <c r="O172" s="131">
        <f t="shared" si="30"/>
        <v>24</v>
      </c>
      <c r="S172" s="10" t="str">
        <f t="shared" si="25"/>
        <v>INSERT INTO Operacao (idOperacao, designacaoOperacaoAgricola, designacaoUnidade, quantidade, dataOperacao) VALUES (357, 'Plantação', 'un',   500.0,  TO_DATE('11/01/Friday', 'DD/MM/YYYY'));</v>
      </c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O172" s="90" t="str">
        <f t="shared" si="26"/>
        <v>INSERT INTO OperacaoCultura (idOperacao, nomeParcela, dataInicial, nomeComum, variedade) VALUES (357, 'Lameiro do moinho', TO_DATE('11/01/Friday', 'DD/MM/YYYY'), 'Macieira', 'GRONHO DOCE' );</v>
      </c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J172" s="31" t="str">
        <f t="shared" si="27"/>
        <v>INSERT INTO CulturaInstalada (dataInicial, nomeParcela, variedade, nomeComum, designacaoUnidade, quantidade,  dataFinal) VALUES (TO_DATE('11/01/2019', 'DD/MM/YYYY') , 'Lameiro do moinho' , UPPER('Gronho Doce'), 'Macieira', 'un', 50.00, NULL);</v>
      </c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</row>
    <row r="173" spans="1:95">
      <c r="A173" s="117" t="s">
        <v>218</v>
      </c>
      <c r="B173" s="117" t="s">
        <v>289</v>
      </c>
      <c r="C173" s="117" t="s">
        <v>352</v>
      </c>
      <c r="D173" s="117">
        <v>40</v>
      </c>
      <c r="E173" s="117" t="s">
        <v>267</v>
      </c>
      <c r="F173" s="118">
        <v>42645</v>
      </c>
      <c r="G173" s="131">
        <f t="shared" si="20"/>
        <v>358</v>
      </c>
      <c r="H173" s="132">
        <f t="shared" si="21"/>
        <v>42645</v>
      </c>
      <c r="K173" s="131" t="s">
        <v>359</v>
      </c>
      <c r="L173" s="131" t="str">
        <f t="shared" si="28"/>
        <v>Macieira</v>
      </c>
      <c r="M173" s="131" t="str">
        <f t="shared" si="29"/>
        <v>Porta da Loja</v>
      </c>
      <c r="N173" s="131" t="s">
        <v>273</v>
      </c>
      <c r="O173" s="131">
        <f t="shared" si="30"/>
        <v>25</v>
      </c>
      <c r="S173" s="10" t="str">
        <f t="shared" si="25"/>
        <v>INSERT INTO Operacao (idOperacao, designacaoOperacaoAgricola, designacaoUnidade, quantidade, dataOperacao) VALUES (358, 'Plantação', 'un',   400.0,  TO_DATE('02/10/Sunday', 'DD/MM/YYYY'));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O173" s="90" t="str">
        <f t="shared" si="26"/>
        <v>INSERT INTO OperacaoCultura (idOperacao, nomeParcela, dataInicial, nomeComum, variedade) VALUES (358, 'Campo Grande', TO_DATE('02/10/Sunday', 'DD/MM/YYYY'), 'Oliveira', 'ARBEQUINA' );</v>
      </c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J173" s="31" t="str">
        <f t="shared" si="27"/>
        <v>INSERT INTO CulturaInstalada (dataInicial, nomeParcela, variedade, nomeComum, designacaoUnidade, quantidade,  dataFinal) VALUES (TO_DATE('02/10/2016', 'DD/MM/YYYY') , 'Campo Grande' , UPPER('Arbequina'), 'Oliveira', 'un', 40.00, NULL);</v>
      </c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</row>
    <row r="178" spans="1:87">
      <c r="A178" s="126" t="s">
        <v>343</v>
      </c>
      <c r="B178" s="126" t="s">
        <v>372</v>
      </c>
      <c r="C178" s="126" t="s">
        <v>393</v>
      </c>
      <c r="D178" s="126" t="s">
        <v>378</v>
      </c>
      <c r="E178" s="126" t="s">
        <v>373</v>
      </c>
      <c r="F178" s="126" t="s">
        <v>340</v>
      </c>
      <c r="G178" s="126" t="s">
        <v>375</v>
      </c>
      <c r="H178" s="131" t="s">
        <v>285</v>
      </c>
      <c r="I178" s="132" t="s">
        <v>284</v>
      </c>
      <c r="S178" s="9" t="s">
        <v>8</v>
      </c>
      <c r="T178" s="9" t="s">
        <v>9</v>
      </c>
      <c r="U178" s="9" t="s">
        <v>287</v>
      </c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O178" s="93" t="s">
        <v>9</v>
      </c>
      <c r="AP178" s="93" t="s">
        <v>288</v>
      </c>
      <c r="AQ178" s="93" t="s">
        <v>8</v>
      </c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 t="s">
        <v>8</v>
      </c>
      <c r="BJ178" s="93" t="s">
        <v>9</v>
      </c>
      <c r="BK178" s="93" t="s">
        <v>295</v>
      </c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X178" s="11" t="s">
        <v>8</v>
      </c>
      <c r="BY178" s="11" t="s">
        <v>9</v>
      </c>
      <c r="BZ178" s="11" t="s">
        <v>299</v>
      </c>
      <c r="CA178" s="11"/>
      <c r="CB178" s="47"/>
      <c r="CC178" s="47"/>
      <c r="CD178" s="47"/>
      <c r="CE178" s="48"/>
      <c r="CF178" s="11"/>
      <c r="CG178" s="11"/>
      <c r="CH178" s="11"/>
      <c r="CI178" s="11"/>
    </row>
    <row r="179" spans="1:87">
      <c r="A179" s="117" t="s">
        <v>221</v>
      </c>
      <c r="B179" s="117" t="s">
        <v>394</v>
      </c>
      <c r="C179" s="117" t="s">
        <v>304</v>
      </c>
      <c r="D179" s="117"/>
      <c r="E179" s="117">
        <v>3200</v>
      </c>
      <c r="F179" s="117" t="s">
        <v>292</v>
      </c>
      <c r="G179" s="118">
        <v>43469</v>
      </c>
      <c r="H179" s="134">
        <f>G173 + 1</f>
        <v>359</v>
      </c>
      <c r="I179" s="135"/>
      <c r="S179" s="10" t="str">
        <f xml:space="preserve"> "INSERT INTO " &amp;$U$134&amp; " (idOperacao, designacaoOperacaoAgricola, designacaoUnidade, quantidade, dataOperacao) VALUES (" &amp;H179&amp; ", '" &amp;B179&amp; "', " &amp;IF(ISBLANK(F179), "null", "'" &amp;F179&amp; "'" )&amp; ",   "&amp;IF(ISBLANK(E179), "NULL",TEXT(SUBSTITUTE(E179, "%", "") * 10, "0.0"))&amp;",  TO_DATE('"&amp;TEXT(G179,"DD/MM/AAAA")&amp;"', 'DD/MM/YYYY'));"</f>
        <v>INSERT INTO Operacao (idOperacao, designacaoOperacaoAgricola, designacaoUnidade, quantidade, dataOperacao) VALUES (359, 'Aplicação de fator de produção', 'kg',   32000.0,  TO_DATE('04/01/Friday', 'DD/MM/YYYY'));</v>
      </c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 t="str">
        <f xml:space="preserve"> "INSERT INTO " &amp;$BL$66&amp; " (idOperacao, nomeParcela) VALUES (" &amp;H179&amp; ", '" &amp;A179&amp; "');"</f>
        <v>INSERT INTO OperacaoParcela (idOperacao, nomeParcela) VALUES (359, 'Lameiro do moinho');</v>
      </c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X179" s="85" t="str">
        <f>"INSERT INTO "&amp;$BZ$178&amp;"(nomeComercial, idOperacao) VALUES ('"&amp;IF(ISBLANK(C179),"NONE",C179)&amp;"' ,"&amp;H179&amp;");"</f>
        <v>INSERT INTO AplicacaoFatorProducao(nomeComercial, idOperacao) VALUES ('BIOFERTIL N6' ,359);</v>
      </c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</row>
    <row r="180" spans="1:87">
      <c r="A180" s="117" t="s">
        <v>221</v>
      </c>
      <c r="B180" s="117" t="s">
        <v>394</v>
      </c>
      <c r="C180" s="117" t="s">
        <v>303</v>
      </c>
      <c r="D180" s="117" t="s">
        <v>359</v>
      </c>
      <c r="E180" s="117">
        <v>100</v>
      </c>
      <c r="F180" s="117" t="s">
        <v>292</v>
      </c>
      <c r="G180" s="118">
        <v>43836</v>
      </c>
      <c r="H180" s="131">
        <f>H179 + 1</f>
        <v>360</v>
      </c>
      <c r="I180" s="132" cm="1">
        <f t="array" ref="I180">INDEX($M$135:$M$145,MATCH((A180)&amp;(D180),($K$135:$K$145)&amp;($L$135:$L$145),0))</f>
        <v>43474</v>
      </c>
      <c r="S180" s="10" t="str">
        <f t="shared" ref="S180:S214" si="31" xml:space="preserve"> "INSERT INTO " &amp;$U$134&amp; " (idOperacao, designacaoOperacaoAgricola, designacaoUnidade, quantidade, dataOperacao) VALUES (" &amp;H180&amp; ", '" &amp;B180&amp; "', " &amp;IF(ISBLANK(F180), "null", "'" &amp;F180&amp; "'" )&amp; ",   "&amp;IF(ISBLANK(E180), "NULL",TEXT(SUBSTITUTE(E180, "%", "") * 10, "0.0"))&amp;",  TO_DATE('"&amp;TEXT(G180,"DD/MM/AAAA")&amp;"', 'DD/MM/YYYY'));"</f>
        <v>INSERT INTO Operacao (idOperacao, designacaoOperacaoAgricola, designacaoUnidade, quantidade, dataOperacao) VALUES (360, 'Aplicação de fator de produção', 'kg',   1000.0,  TO_DATE('06/01/Monday', 'DD/MM/YYYY'));</v>
      </c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O180" s="90" t="str">
        <f xml:space="preserve"> "INSERT INTO " &amp;$AP$178&amp; " (idOperacao, nomeParcela, dataInicial, nomeComum, variedade) VALUES (" &amp;H180&amp; ", '" &amp;A180&amp; "', TO_DATE('"&amp;TEXT(I180,"DD/MM/AAAA")&amp;"', 'DD/MM/YYYY'), '"  &amp;INDEX($L$149:$L$173,MATCH(D180,$K$149:$K$173,0))&amp; "', '" &amp;UPPER(INDEX($M$149:$M$173,MATCH(D180,$K$149:$K$173,0)))&amp;  "' );"</f>
        <v>INSERT INTO OperacaoCultura (idOperacao, nomeParcela, dataInicial, nomeComum, variedade) VALUES (360, 'Lameiro do moinho', TO_DATE('09/01/Wednesday', 'DD/MM/YYYY'), 'Macieira', 'PORTA DA LOJA' );</v>
      </c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X180" s="85" t="str">
        <f t="shared" ref="BX180:BX214" si="32">"INSERT INTO "&amp;$BZ$178&amp;"(nomeComercial, idOperacao) VALUES ('"&amp;IF(ISBLANK(C180),"NONE",C180)&amp;"' ,"&amp;H180&amp;");"</f>
        <v>INSERT INTO AplicacaoFatorProducao(nomeComercial, idOperacao) VALUES ('Fertimax Extrume de Cavalo' ,360);</v>
      </c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</row>
    <row r="181" spans="1:87">
      <c r="A181" s="117" t="s">
        <v>221</v>
      </c>
      <c r="B181" s="117" t="s">
        <v>394</v>
      </c>
      <c r="C181" s="117" t="s">
        <v>303</v>
      </c>
      <c r="D181" s="117" t="s">
        <v>361</v>
      </c>
      <c r="E181" s="117">
        <v>40</v>
      </c>
      <c r="F181" s="117" t="s">
        <v>292</v>
      </c>
      <c r="G181" s="118">
        <v>43836</v>
      </c>
      <c r="H181" s="131">
        <f t="shared" ref="H181:H214" si="33">H180 + 1</f>
        <v>361</v>
      </c>
      <c r="I181" s="132" cm="1">
        <f t="array" ref="I181">INDEX($M$135:$M$145,MATCH((A181)&amp;(D181),($K$135:$K$145)&amp;($L$135:$L$145),0))</f>
        <v>43474</v>
      </c>
      <c r="S181" s="10" t="str">
        <f t="shared" si="31"/>
        <v>INSERT INTO Operacao (idOperacao, designacaoOperacaoAgricola, designacaoUnidade, quantidade, dataOperacao) VALUES (361, 'Aplicação de fator de produção', 'kg',   400.0,  TO_DATE('06/01/Monday', 'DD/MM/YYYY'));</v>
      </c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O181" s="90" t="str">
        <f t="shared" ref="AO181:AO212" si="34" xml:space="preserve"> "INSERT INTO " &amp;$AP$178&amp; " (idOperacao, nomeParcela, dataInicial, nomeComum, variedade) VALUES (" &amp;H181&amp; ", '" &amp;A181&amp; "', TO_DATE('"&amp;TEXT(I181,"DD/MM/AAAA")&amp;"', 'DD/MM/YYYY'), '"  &amp;INDEX($L$149:$L$173,MATCH(D181,$K$149:$K$173,0))&amp; "', '" &amp;UPPER(INDEX($M$149:$M$173,MATCH(D181,$K$149:$K$173,0)))&amp;  "' );"</f>
        <v>INSERT INTO OperacaoCultura (idOperacao, nomeParcela, dataInicial, nomeComum, variedade) VALUES (361, 'Lameiro do moinho', TO_DATE('09/01/Wednesday', 'DD/MM/YYYY'), 'Macieira', 'MALÁPIO' );</v>
      </c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X181" s="85" t="str">
        <f t="shared" si="32"/>
        <v>INSERT INTO AplicacaoFatorProducao(nomeComercial, idOperacao) VALUES ('Fertimax Extrume de Cavalo' ,361);</v>
      </c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</row>
    <row r="182" spans="1:87">
      <c r="A182" s="117" t="s">
        <v>221</v>
      </c>
      <c r="B182" s="117" t="s">
        <v>394</v>
      </c>
      <c r="C182" s="117" t="s">
        <v>303</v>
      </c>
      <c r="D182" s="117" t="s">
        <v>357</v>
      </c>
      <c r="E182" s="117">
        <v>80</v>
      </c>
      <c r="F182" s="117" t="s">
        <v>292</v>
      </c>
      <c r="G182" s="118">
        <v>43836</v>
      </c>
      <c r="H182" s="131">
        <f t="shared" si="33"/>
        <v>362</v>
      </c>
      <c r="I182" s="132" cm="1">
        <f t="array" ref="I182">INDEX($M$135:$M$145,MATCH((A182)&amp;(D182),($K$135:$K$145)&amp;($L$135:$L$145),0))</f>
        <v>43475</v>
      </c>
      <c r="S182" s="10" t="str">
        <f t="shared" si="31"/>
        <v>INSERT INTO Operacao (idOperacao, designacaoOperacaoAgricola, designacaoUnidade, quantidade, dataOperacao) VALUES (362, 'Aplicação de fator de produção', 'kg',   800.0,  TO_DATE('06/01/Monday', 'DD/MM/YYYY'));</v>
      </c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O182" s="90" t="str">
        <f t="shared" si="34"/>
        <v>INSERT INTO OperacaoCultura (idOperacao, nomeParcela, dataInicial, nomeComum, variedade) VALUES (362, 'Lameiro do moinho', TO_DATE('10/01/Thursday', 'DD/MM/YYYY'), 'Macieira', 'PIPO DE BASTO' );</v>
      </c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X182" s="85" t="str">
        <f t="shared" si="32"/>
        <v>INSERT INTO AplicacaoFatorProducao(nomeComercial, idOperacao) VALUES ('Fertimax Extrume de Cavalo' ,362);</v>
      </c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</row>
    <row r="183" spans="1:87">
      <c r="A183" s="117" t="s">
        <v>221</v>
      </c>
      <c r="B183" s="117" t="s">
        <v>394</v>
      </c>
      <c r="C183" s="117" t="s">
        <v>303</v>
      </c>
      <c r="D183" s="117" t="s">
        <v>363</v>
      </c>
      <c r="E183" s="117">
        <v>60</v>
      </c>
      <c r="F183" s="117" t="s">
        <v>292</v>
      </c>
      <c r="G183" s="118">
        <v>43836</v>
      </c>
      <c r="H183" s="131">
        <f t="shared" si="33"/>
        <v>363</v>
      </c>
      <c r="I183" s="132" cm="1">
        <f t="array" ref="I183">INDEX($M$135:$M$145,MATCH((A183)&amp;(D183),($K$135:$K$145)&amp;($L$135:$L$145),0))</f>
        <v>43475</v>
      </c>
      <c r="S183" s="10" t="str">
        <f t="shared" si="31"/>
        <v>INSERT INTO Operacao (idOperacao, designacaoOperacaoAgricola, designacaoUnidade, quantidade, dataOperacao) VALUES (363, 'Aplicação de fator de produção', 'kg',   600.0,  TO_DATE('06/01/Monday', 'DD/MM/YYYY'));</v>
      </c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O183" s="90" t="str">
        <f t="shared" si="34"/>
        <v>INSERT INTO OperacaoCultura (idOperacao, nomeParcela, dataInicial, nomeComum, variedade) VALUES (363, 'Lameiro do moinho', TO_DATE('10/01/Thursday', 'DD/MM/YYYY'), 'Macieira', 'CANADA' );</v>
      </c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X183" s="85" t="str">
        <f t="shared" si="32"/>
        <v>INSERT INTO AplicacaoFatorProducao(nomeComercial, idOperacao) VALUES ('Fertimax Extrume de Cavalo' ,363);</v>
      </c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</row>
    <row r="184" spans="1:87">
      <c r="A184" s="117" t="s">
        <v>221</v>
      </c>
      <c r="B184" s="117" t="s">
        <v>394</v>
      </c>
      <c r="C184" s="117" t="s">
        <v>303</v>
      </c>
      <c r="D184" s="117" t="s">
        <v>365</v>
      </c>
      <c r="E184" s="117">
        <v>80</v>
      </c>
      <c r="F184" s="117" t="s">
        <v>292</v>
      </c>
      <c r="G184" s="118">
        <v>43837</v>
      </c>
      <c r="H184" s="131">
        <f t="shared" si="33"/>
        <v>364</v>
      </c>
      <c r="I184" s="132" cm="1">
        <f t="array" ref="I184">INDEX($M$135:$M$145,MATCH((A184)&amp;(D184),($K$135:$K$145)&amp;($L$135:$L$145),0))</f>
        <v>43476</v>
      </c>
      <c r="S184" s="10" t="str">
        <f t="shared" si="31"/>
        <v>INSERT INTO Operacao (idOperacao, designacaoOperacaoAgricola, designacaoUnidade, quantidade, dataOperacao) VALUES (364, 'Aplicação de fator de produção', 'kg',   800.0,  TO_DATE('07/01/Tuesday', 'DD/MM/YYYY'));</v>
      </c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O184" s="90" t="str">
        <f t="shared" si="34"/>
        <v>INSERT INTO OperacaoCultura (idOperacao, nomeParcela, dataInicial, nomeComum, variedade) VALUES (364, 'Lameiro do moinho', TO_DATE('11/01/Friday', 'DD/MM/YYYY'), 'Macieira', 'GRAND FAY' );</v>
      </c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X184" s="85" t="str">
        <f t="shared" si="32"/>
        <v>INSERT INTO AplicacaoFatorProducao(nomeComercial, idOperacao) VALUES ('Fertimax Extrume de Cavalo' ,364);</v>
      </c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</row>
    <row r="185" spans="1:87">
      <c r="A185" s="117" t="s">
        <v>221</v>
      </c>
      <c r="B185" s="117" t="s">
        <v>394</v>
      </c>
      <c r="C185" s="117" t="s">
        <v>303</v>
      </c>
      <c r="D185" s="117" t="s">
        <v>367</v>
      </c>
      <c r="E185" s="117">
        <v>100</v>
      </c>
      <c r="F185" s="117" t="s">
        <v>292</v>
      </c>
      <c r="G185" s="118">
        <v>43837</v>
      </c>
      <c r="H185" s="131">
        <f t="shared" si="33"/>
        <v>365</v>
      </c>
      <c r="I185" s="132" cm="1">
        <f t="array" ref="I185">INDEX($M$135:$M$145,MATCH((A185)&amp;(D185),($K$135:$K$145)&amp;($L$135:$L$145),0))</f>
        <v>43476</v>
      </c>
      <c r="S185" s="10" t="str">
        <f t="shared" si="31"/>
        <v>INSERT INTO Operacao (idOperacao, designacaoOperacaoAgricola, designacaoUnidade, quantidade, dataOperacao) VALUES (365, 'Aplicação de fator de produção', 'kg',   1000.0,  TO_DATE('07/01/Tuesday', 'DD/MM/YYYY'));</v>
      </c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O185" s="90" t="str">
        <f t="shared" si="34"/>
        <v>INSERT INTO OperacaoCultura (idOperacao, nomeParcela, dataInicial, nomeComum, variedade) VALUES (365, 'Lameiro do moinho', TO_DATE('11/01/Friday', 'DD/MM/YYYY'), 'Macieira', 'GRONHO DOCE' );</v>
      </c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X185" s="85" t="str">
        <f t="shared" si="32"/>
        <v>INSERT INTO AplicacaoFatorProducao(nomeComercial, idOperacao) VALUES ('Fertimax Extrume de Cavalo' ,365);</v>
      </c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</row>
    <row r="186" spans="1:87">
      <c r="A186" s="117" t="s">
        <v>221</v>
      </c>
      <c r="B186" s="117" t="s">
        <v>394</v>
      </c>
      <c r="C186" s="117" t="s">
        <v>303</v>
      </c>
      <c r="D186" s="117" t="s">
        <v>359</v>
      </c>
      <c r="E186" s="117">
        <v>150</v>
      </c>
      <c r="F186" s="117" t="s">
        <v>292</v>
      </c>
      <c r="G186" s="118">
        <v>44203</v>
      </c>
      <c r="H186" s="131">
        <f t="shared" si="33"/>
        <v>366</v>
      </c>
      <c r="I186" s="132" cm="1">
        <f t="array" ref="I186">INDEX($M$135:$M$145,MATCH((A186)&amp;(D186),($K$135:$K$145)&amp;($L$135:$L$145),0))</f>
        <v>43474</v>
      </c>
      <c r="S186" s="10" t="str">
        <f t="shared" si="31"/>
        <v>INSERT INTO Operacao (idOperacao, designacaoOperacaoAgricola, designacaoUnidade, quantidade, dataOperacao) VALUES (366, 'Aplicação de fator de produção', 'kg',   1500.0,  TO_DATE('07/01/Thursday', 'DD/MM/YYYY'));</v>
      </c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O186" s="90" t="str">
        <f t="shared" si="34"/>
        <v>INSERT INTO OperacaoCultura (idOperacao, nomeParcela, dataInicial, nomeComum, variedade) VALUES (366, 'Lameiro do moinho', TO_DATE('09/01/Wednesday', 'DD/MM/YYYY'), 'Macieira', 'PORTA DA LOJA' );</v>
      </c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X186" s="85" t="str">
        <f t="shared" si="32"/>
        <v>INSERT INTO AplicacaoFatorProducao(nomeComercial, idOperacao) VALUES ('Fertimax Extrume de Cavalo' ,366);</v>
      </c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</row>
    <row r="187" spans="1:87">
      <c r="A187" s="117" t="s">
        <v>221</v>
      </c>
      <c r="B187" s="117" t="s">
        <v>394</v>
      </c>
      <c r="C187" s="117" t="s">
        <v>303</v>
      </c>
      <c r="D187" s="117" t="s">
        <v>361</v>
      </c>
      <c r="E187" s="117">
        <v>60</v>
      </c>
      <c r="F187" s="117" t="s">
        <v>292</v>
      </c>
      <c r="G187" s="118">
        <v>44203</v>
      </c>
      <c r="H187" s="131">
        <f t="shared" si="33"/>
        <v>367</v>
      </c>
      <c r="I187" s="132" cm="1">
        <f t="array" ref="I187">INDEX($M$135:$M$145,MATCH((A187)&amp;(D187),($K$135:$K$145)&amp;($L$135:$L$145),0))</f>
        <v>43474</v>
      </c>
      <c r="S187" s="10" t="str">
        <f t="shared" si="31"/>
        <v>INSERT INTO Operacao (idOperacao, designacaoOperacaoAgricola, designacaoUnidade, quantidade, dataOperacao) VALUES (367, 'Aplicação de fator de produção', 'kg',   600.0,  TO_DATE('07/01/Thursday', 'DD/MM/YYYY'));</v>
      </c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O187" s="90" t="str">
        <f t="shared" si="34"/>
        <v>INSERT INTO OperacaoCultura (idOperacao, nomeParcela, dataInicial, nomeComum, variedade) VALUES (367, 'Lameiro do moinho', TO_DATE('09/01/Wednesday', 'DD/MM/YYYY'), 'Macieira', 'MALÁPIO' );</v>
      </c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X187" s="85" t="str">
        <f t="shared" si="32"/>
        <v>INSERT INTO AplicacaoFatorProducao(nomeComercial, idOperacao) VALUES ('Fertimax Extrume de Cavalo' ,367);</v>
      </c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</row>
    <row r="188" spans="1:87">
      <c r="A188" s="117" t="s">
        <v>221</v>
      </c>
      <c r="B188" s="117" t="s">
        <v>394</v>
      </c>
      <c r="C188" s="117" t="s">
        <v>303</v>
      </c>
      <c r="D188" s="117" t="s">
        <v>357</v>
      </c>
      <c r="E188" s="117">
        <v>120</v>
      </c>
      <c r="F188" s="117" t="s">
        <v>292</v>
      </c>
      <c r="G188" s="118">
        <v>44204</v>
      </c>
      <c r="H188" s="131">
        <f t="shared" si="33"/>
        <v>368</v>
      </c>
      <c r="I188" s="132" cm="1">
        <f t="array" ref="I188">INDEX($M$135:$M$145,MATCH((A188)&amp;(D188),($K$135:$K$145)&amp;($L$135:$L$145),0))</f>
        <v>43475</v>
      </c>
      <c r="S188" s="10" t="str">
        <f t="shared" si="31"/>
        <v>INSERT INTO Operacao (idOperacao, designacaoOperacaoAgricola, designacaoUnidade, quantidade, dataOperacao) VALUES (368, 'Aplicação de fator de produção', 'kg',   1200.0,  TO_DATE('08/01/Friday', 'DD/MM/YYYY'));</v>
      </c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O188" s="90" t="str">
        <f t="shared" si="34"/>
        <v>INSERT INTO OperacaoCultura (idOperacao, nomeParcela, dataInicial, nomeComum, variedade) VALUES (368, 'Lameiro do moinho', TO_DATE('10/01/Thursday', 'DD/MM/YYYY'), 'Macieira', 'PIPO DE BASTO' );</v>
      </c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X188" s="85" t="str">
        <f t="shared" si="32"/>
        <v>INSERT INTO AplicacaoFatorProducao(nomeComercial, idOperacao) VALUES ('Fertimax Extrume de Cavalo' ,368);</v>
      </c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</row>
    <row r="189" spans="1:87">
      <c r="A189" s="117" t="s">
        <v>221</v>
      </c>
      <c r="B189" s="117" t="s">
        <v>394</v>
      </c>
      <c r="C189" s="117" t="s">
        <v>303</v>
      </c>
      <c r="D189" s="117" t="s">
        <v>363</v>
      </c>
      <c r="E189" s="117">
        <v>90</v>
      </c>
      <c r="F189" s="117" t="s">
        <v>292</v>
      </c>
      <c r="G189" s="118">
        <v>44203</v>
      </c>
      <c r="H189" s="131">
        <f t="shared" si="33"/>
        <v>369</v>
      </c>
      <c r="I189" s="132" cm="1">
        <f t="array" ref="I189">INDEX($M$135:$M$145,MATCH((A189)&amp;(D189),($K$135:$K$145)&amp;($L$135:$L$145),0))</f>
        <v>43475</v>
      </c>
      <c r="S189" s="10" t="str">
        <f t="shared" si="31"/>
        <v>INSERT INTO Operacao (idOperacao, designacaoOperacaoAgricola, designacaoUnidade, quantidade, dataOperacao) VALUES (369, 'Aplicação de fator de produção', 'kg',   900.0,  TO_DATE('07/01/Thursday', 'DD/MM/YYYY'));</v>
      </c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O189" s="90" t="str">
        <f t="shared" si="34"/>
        <v>INSERT INTO OperacaoCultura (idOperacao, nomeParcela, dataInicial, nomeComum, variedade) VALUES (369, 'Lameiro do moinho', TO_DATE('10/01/Thursday', 'DD/MM/YYYY'), 'Macieira', 'CANADA' );</v>
      </c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X189" s="85" t="str">
        <f t="shared" si="32"/>
        <v>INSERT INTO AplicacaoFatorProducao(nomeComercial, idOperacao) VALUES ('Fertimax Extrume de Cavalo' ,369);</v>
      </c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</row>
    <row r="190" spans="1:87">
      <c r="A190" s="117" t="s">
        <v>221</v>
      </c>
      <c r="B190" s="117" t="s">
        <v>394</v>
      </c>
      <c r="C190" s="117" t="s">
        <v>303</v>
      </c>
      <c r="D190" s="117" t="s">
        <v>365</v>
      </c>
      <c r="E190" s="117">
        <v>120</v>
      </c>
      <c r="F190" s="117" t="s">
        <v>292</v>
      </c>
      <c r="G190" s="118">
        <v>44203</v>
      </c>
      <c r="H190" s="131">
        <f t="shared" si="33"/>
        <v>370</v>
      </c>
      <c r="I190" s="132" cm="1">
        <f t="array" ref="I190">INDEX($M$135:$M$145,MATCH((A190)&amp;(D190),($K$135:$K$145)&amp;($L$135:$L$145),0))</f>
        <v>43476</v>
      </c>
      <c r="S190" s="10" t="str">
        <f t="shared" si="31"/>
        <v>INSERT INTO Operacao (idOperacao, designacaoOperacaoAgricola, designacaoUnidade, quantidade, dataOperacao) VALUES (370, 'Aplicação de fator de produção', 'kg',   1200.0,  TO_DATE('07/01/Thursday', 'DD/MM/YYYY'));</v>
      </c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O190" s="90" t="str">
        <f t="shared" si="34"/>
        <v>INSERT INTO OperacaoCultura (idOperacao, nomeParcela, dataInicial, nomeComum, variedade) VALUES (370, 'Lameiro do moinho', TO_DATE('11/01/Friday', 'DD/MM/YYYY'), 'Macieira', 'GRAND FAY' );</v>
      </c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X190" s="85" t="str">
        <f t="shared" si="32"/>
        <v>INSERT INTO AplicacaoFatorProducao(nomeComercial, idOperacao) VALUES ('Fertimax Extrume de Cavalo' ,370);</v>
      </c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</row>
    <row r="191" spans="1:87">
      <c r="A191" s="117" t="s">
        <v>221</v>
      </c>
      <c r="B191" s="117" t="s">
        <v>394</v>
      </c>
      <c r="C191" s="117" t="s">
        <v>303</v>
      </c>
      <c r="D191" s="117" t="s">
        <v>367</v>
      </c>
      <c r="E191" s="117">
        <v>150</v>
      </c>
      <c r="F191" s="117" t="s">
        <v>292</v>
      </c>
      <c r="G191" s="118">
        <v>44204</v>
      </c>
      <c r="H191" s="131">
        <f t="shared" si="33"/>
        <v>371</v>
      </c>
      <c r="I191" s="132" cm="1">
        <f t="array" ref="I191">INDEX($M$135:$M$145,MATCH((A191)&amp;(D191),($K$135:$K$145)&amp;($L$135:$L$145),0))</f>
        <v>43476</v>
      </c>
      <c r="S191" s="10" t="str">
        <f t="shared" si="31"/>
        <v>INSERT INTO Operacao (idOperacao, designacaoOperacaoAgricola, designacaoUnidade, quantidade, dataOperacao) VALUES (371, 'Aplicação de fator de produção', 'kg',   1500.0,  TO_DATE('08/01/Friday', 'DD/MM/YYYY'));</v>
      </c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O191" s="90" t="str">
        <f t="shared" si="34"/>
        <v>INSERT INTO OperacaoCultura (idOperacao, nomeParcela, dataInicial, nomeComum, variedade) VALUES (371, 'Lameiro do moinho', TO_DATE('11/01/Friday', 'DD/MM/YYYY'), 'Macieira', 'GRONHO DOCE' );</v>
      </c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X191" s="85" t="str">
        <f t="shared" si="32"/>
        <v>INSERT INTO AplicacaoFatorProducao(nomeComercial, idOperacao) VALUES ('Fertimax Extrume de Cavalo' ,371);</v>
      </c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</row>
    <row r="192" spans="1:87">
      <c r="A192" s="117" t="s">
        <v>221</v>
      </c>
      <c r="B192" s="117" t="s">
        <v>394</v>
      </c>
      <c r="C192" s="117" t="s">
        <v>304</v>
      </c>
      <c r="D192" s="117" t="s">
        <v>359</v>
      </c>
      <c r="E192" s="117">
        <v>150</v>
      </c>
      <c r="F192" s="117" t="s">
        <v>292</v>
      </c>
      <c r="G192" s="118">
        <v>44576</v>
      </c>
      <c r="H192" s="131">
        <f t="shared" si="33"/>
        <v>372</v>
      </c>
      <c r="I192" s="132" cm="1">
        <f t="array" ref="I192">INDEX($M$135:$M$145,MATCH((A192)&amp;(D192),($K$135:$K$145)&amp;($L$135:$L$145),0))</f>
        <v>43474</v>
      </c>
      <c r="S192" s="10" t="str">
        <f t="shared" si="31"/>
        <v>INSERT INTO Operacao (idOperacao, designacaoOperacaoAgricola, designacaoUnidade, quantidade, dataOperacao) VALUES (372, 'Aplicação de fator de produção', 'kg',   1500.0,  TO_DATE('15/01/Saturday', 'DD/MM/YYYY'));</v>
      </c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O192" s="90" t="str">
        <f t="shared" si="34"/>
        <v>INSERT INTO OperacaoCultura (idOperacao, nomeParcela, dataInicial, nomeComum, variedade) VALUES (372, 'Lameiro do moinho', TO_DATE('09/01/Wednesday', 'DD/MM/YYYY'), 'Macieira', 'PORTA DA LOJA' );</v>
      </c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X192" s="85" t="str">
        <f t="shared" si="32"/>
        <v>INSERT INTO AplicacaoFatorProducao(nomeComercial, idOperacao) VALUES ('BIOFERTIL N6' ,372);</v>
      </c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</row>
    <row r="193" spans="1:87">
      <c r="A193" s="117" t="s">
        <v>221</v>
      </c>
      <c r="B193" s="117" t="s">
        <v>394</v>
      </c>
      <c r="C193" s="117" t="s">
        <v>304</v>
      </c>
      <c r="D193" s="117" t="s">
        <v>361</v>
      </c>
      <c r="E193" s="117">
        <v>60</v>
      </c>
      <c r="F193" s="117" t="s">
        <v>292</v>
      </c>
      <c r="G193" s="118">
        <v>44576</v>
      </c>
      <c r="H193" s="131">
        <f t="shared" si="33"/>
        <v>373</v>
      </c>
      <c r="I193" s="132" cm="1">
        <f t="array" ref="I193">INDEX($M$135:$M$145,MATCH((A193)&amp;(D193),($K$135:$K$145)&amp;($L$135:$L$145),0))</f>
        <v>43474</v>
      </c>
      <c r="S193" s="10" t="str">
        <f t="shared" si="31"/>
        <v>INSERT INTO Operacao (idOperacao, designacaoOperacaoAgricola, designacaoUnidade, quantidade, dataOperacao) VALUES (373, 'Aplicação de fator de produção', 'kg',   600.0,  TO_DATE('15/01/Saturday', 'DD/MM/YYYY'));</v>
      </c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O193" s="90" t="str">
        <f t="shared" si="34"/>
        <v>INSERT INTO OperacaoCultura (idOperacao, nomeParcela, dataInicial, nomeComum, variedade) VALUES (373, 'Lameiro do moinho', TO_DATE('09/01/Wednesday', 'DD/MM/YYYY'), 'Macieira', 'MALÁPIO' );</v>
      </c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X193" s="85" t="str">
        <f t="shared" si="32"/>
        <v>INSERT INTO AplicacaoFatorProducao(nomeComercial, idOperacao) VALUES ('BIOFERTIL N6' ,373);</v>
      </c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</row>
    <row r="194" spans="1:87">
      <c r="A194" s="117" t="s">
        <v>221</v>
      </c>
      <c r="B194" s="117" t="s">
        <v>394</v>
      </c>
      <c r="C194" s="117" t="s">
        <v>304</v>
      </c>
      <c r="D194" s="117" t="s">
        <v>357</v>
      </c>
      <c r="E194" s="117">
        <v>120</v>
      </c>
      <c r="F194" s="117" t="s">
        <v>292</v>
      </c>
      <c r="G194" s="118">
        <v>44576</v>
      </c>
      <c r="H194" s="131">
        <f t="shared" si="33"/>
        <v>374</v>
      </c>
      <c r="I194" s="132" cm="1">
        <f t="array" ref="I194">INDEX($M$135:$M$145,MATCH((A194)&amp;(D194),($K$135:$K$145)&amp;($L$135:$L$145),0))</f>
        <v>43475</v>
      </c>
      <c r="S194" s="10" t="str">
        <f t="shared" si="31"/>
        <v>INSERT INTO Operacao (idOperacao, designacaoOperacaoAgricola, designacaoUnidade, quantidade, dataOperacao) VALUES (374, 'Aplicação de fator de produção', 'kg',   1200.0,  TO_DATE('15/01/Saturday', 'DD/MM/YYYY'));</v>
      </c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O194" s="90" t="str">
        <f t="shared" si="34"/>
        <v>INSERT INTO OperacaoCultura (idOperacao, nomeParcela, dataInicial, nomeComum, variedade) VALUES (374, 'Lameiro do moinho', TO_DATE('10/01/Thursday', 'DD/MM/YYYY'), 'Macieira', 'PIPO DE BASTO' );</v>
      </c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X194" s="85" t="str">
        <f t="shared" si="32"/>
        <v>INSERT INTO AplicacaoFatorProducao(nomeComercial, idOperacao) VALUES ('BIOFERTIL N6' ,374);</v>
      </c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</row>
    <row r="195" spans="1:87">
      <c r="A195" s="117" t="s">
        <v>221</v>
      </c>
      <c r="B195" s="117" t="s">
        <v>394</v>
      </c>
      <c r="C195" s="117" t="s">
        <v>304</v>
      </c>
      <c r="D195" s="117" t="s">
        <v>363</v>
      </c>
      <c r="E195" s="117">
        <v>90</v>
      </c>
      <c r="F195" s="117" t="s">
        <v>292</v>
      </c>
      <c r="G195" s="118">
        <v>44577</v>
      </c>
      <c r="H195" s="131">
        <f t="shared" si="33"/>
        <v>375</v>
      </c>
      <c r="I195" s="132" cm="1">
        <f t="array" ref="I195">INDEX($M$135:$M$145,MATCH((A195)&amp;(D195),($K$135:$K$145)&amp;($L$135:$L$145),0))</f>
        <v>43475</v>
      </c>
      <c r="S195" s="10" t="str">
        <f t="shared" si="31"/>
        <v>INSERT INTO Operacao (idOperacao, designacaoOperacaoAgricola, designacaoUnidade, quantidade, dataOperacao) VALUES (375, 'Aplicação de fator de produção', 'kg',   900.0,  TO_DATE('16/01/Sunday', 'DD/MM/YYYY'));</v>
      </c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O195" s="90" t="str">
        <f t="shared" si="34"/>
        <v>INSERT INTO OperacaoCultura (idOperacao, nomeParcela, dataInicial, nomeComum, variedade) VALUES (375, 'Lameiro do moinho', TO_DATE('10/01/Thursday', 'DD/MM/YYYY'), 'Macieira', 'CANADA' );</v>
      </c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X195" s="85" t="str">
        <f t="shared" si="32"/>
        <v>INSERT INTO AplicacaoFatorProducao(nomeComercial, idOperacao) VALUES ('BIOFERTIL N6' ,375);</v>
      </c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</row>
    <row r="196" spans="1:87">
      <c r="A196" s="117" t="s">
        <v>221</v>
      </c>
      <c r="B196" s="117" t="s">
        <v>394</v>
      </c>
      <c r="C196" s="117" t="s">
        <v>304</v>
      </c>
      <c r="D196" s="117" t="s">
        <v>365</v>
      </c>
      <c r="E196" s="117">
        <v>120</v>
      </c>
      <c r="F196" s="117" t="s">
        <v>292</v>
      </c>
      <c r="G196" s="118">
        <v>44577</v>
      </c>
      <c r="H196" s="131">
        <f t="shared" si="33"/>
        <v>376</v>
      </c>
      <c r="I196" s="132" cm="1">
        <f t="array" ref="I196">INDEX($M$135:$M$145,MATCH((A196)&amp;(D196),($K$135:$K$145)&amp;($L$135:$L$145),0))</f>
        <v>43476</v>
      </c>
      <c r="S196" s="10" t="str">
        <f t="shared" si="31"/>
        <v>INSERT INTO Operacao (idOperacao, designacaoOperacaoAgricola, designacaoUnidade, quantidade, dataOperacao) VALUES (376, 'Aplicação de fator de produção', 'kg',   1200.0,  TO_DATE('16/01/Sunday', 'DD/MM/YYYY'));</v>
      </c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O196" s="90" t="str">
        <f t="shared" si="34"/>
        <v>INSERT INTO OperacaoCultura (idOperacao, nomeParcela, dataInicial, nomeComum, variedade) VALUES (376, 'Lameiro do moinho', TO_DATE('11/01/Friday', 'DD/MM/YYYY'), 'Macieira', 'GRAND FAY' );</v>
      </c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X196" s="85" t="str">
        <f t="shared" si="32"/>
        <v>INSERT INTO AplicacaoFatorProducao(nomeComercial, idOperacao) VALUES ('BIOFERTIL N6' ,376);</v>
      </c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</row>
    <row r="197" spans="1:87">
      <c r="A197" s="117" t="s">
        <v>221</v>
      </c>
      <c r="B197" s="117" t="s">
        <v>394</v>
      </c>
      <c r="C197" s="117" t="s">
        <v>304</v>
      </c>
      <c r="D197" s="117" t="s">
        <v>367</v>
      </c>
      <c r="E197" s="117">
        <v>150</v>
      </c>
      <c r="F197" s="117" t="s">
        <v>292</v>
      </c>
      <c r="G197" s="118">
        <v>44577</v>
      </c>
      <c r="H197" s="131">
        <f t="shared" si="33"/>
        <v>377</v>
      </c>
      <c r="I197" s="132" cm="1">
        <f t="array" ref="I197">INDEX($M$135:$M$145,MATCH((A197)&amp;(D197),($K$135:$K$145)&amp;($L$135:$L$145),0))</f>
        <v>43476</v>
      </c>
      <c r="S197" s="10" t="str">
        <f t="shared" si="31"/>
        <v>INSERT INTO Operacao (idOperacao, designacaoOperacaoAgricola, designacaoUnidade, quantidade, dataOperacao) VALUES (377, 'Aplicação de fator de produção', 'kg',   1500.0,  TO_DATE('16/01/Sunday', 'DD/MM/YYYY'));</v>
      </c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O197" s="90" t="str">
        <f t="shared" si="34"/>
        <v>INSERT INTO OperacaoCultura (idOperacao, nomeParcela, dataInicial, nomeComum, variedade) VALUES (377, 'Lameiro do moinho', TO_DATE('11/01/Friday', 'DD/MM/YYYY'), 'Macieira', 'GRONHO DOCE' );</v>
      </c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X197" s="85" t="str">
        <f t="shared" si="32"/>
        <v>INSERT INTO AplicacaoFatorProducao(nomeComercial, idOperacao) VALUES ('BIOFERTIL N6' ,377);</v>
      </c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</row>
    <row r="198" spans="1:87">
      <c r="A198" s="117" t="s">
        <v>221</v>
      </c>
      <c r="B198" s="117" t="s">
        <v>394</v>
      </c>
      <c r="C198" s="117" t="s">
        <v>180</v>
      </c>
      <c r="D198" s="117" t="s">
        <v>359</v>
      </c>
      <c r="E198" s="117">
        <v>5</v>
      </c>
      <c r="F198" s="117" t="s">
        <v>292</v>
      </c>
      <c r="G198" s="118">
        <v>45061</v>
      </c>
      <c r="H198" s="131">
        <f t="shared" si="33"/>
        <v>378</v>
      </c>
      <c r="I198" s="132" cm="1">
        <f t="array" ref="I198">INDEX($M$135:$M$145,MATCH((A198)&amp;(D198),($K$135:$K$145)&amp;($L$135:$L$145),0))</f>
        <v>43474</v>
      </c>
      <c r="S198" s="10" t="str">
        <f t="shared" si="31"/>
        <v>INSERT INTO Operacao (idOperacao, designacaoOperacaoAgricola, designacaoUnidade, quantidade, dataOperacao) VALUES (378, 'Aplicação de fator de produção', 'kg',   50.0,  TO_DATE('15/05/Monday', 'DD/MM/YYYY'));</v>
      </c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O198" s="90" t="str">
        <f t="shared" si="34"/>
        <v>INSERT INTO OperacaoCultura (idOperacao, nomeParcela, dataInicial, nomeComum, variedade) VALUES (378, 'Lameiro do moinho', TO_DATE('09/01/Wednesday', 'DD/MM/YYYY'), 'Macieira', 'PORTA DA LOJA' );</v>
      </c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X198" s="85" t="str">
        <f t="shared" si="32"/>
        <v>INSERT INTO AplicacaoFatorProducao(nomeComercial, idOperacao) VALUES ('EPSO Microtop' ,378);</v>
      </c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</row>
    <row r="199" spans="1:87">
      <c r="A199" s="117" t="s">
        <v>221</v>
      </c>
      <c r="B199" s="117" t="s">
        <v>394</v>
      </c>
      <c r="C199" s="117" t="s">
        <v>180</v>
      </c>
      <c r="D199" s="117" t="s">
        <v>361</v>
      </c>
      <c r="E199" s="117">
        <v>2</v>
      </c>
      <c r="F199" s="117" t="s">
        <v>292</v>
      </c>
      <c r="G199" s="118">
        <v>45061</v>
      </c>
      <c r="H199" s="131">
        <f t="shared" si="33"/>
        <v>379</v>
      </c>
      <c r="I199" s="132" cm="1">
        <f t="array" ref="I199">INDEX($M$135:$M$145,MATCH((A199)&amp;(D199),($K$135:$K$145)&amp;($L$135:$L$145),0))</f>
        <v>43474</v>
      </c>
      <c r="S199" s="10" t="str">
        <f t="shared" si="31"/>
        <v>INSERT INTO Operacao (idOperacao, designacaoOperacaoAgricola, designacaoUnidade, quantidade, dataOperacao) VALUES (379, 'Aplicação de fator de produção', 'kg',   20.0,  TO_DATE('15/05/Monday', 'DD/MM/YYYY'));</v>
      </c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O199" s="90" t="str">
        <f t="shared" si="34"/>
        <v>INSERT INTO OperacaoCultura (idOperacao, nomeParcela, dataInicial, nomeComum, variedade) VALUES (379, 'Lameiro do moinho', TO_DATE('09/01/Wednesday', 'DD/MM/YYYY'), 'Macieira', 'MALÁPIO' );</v>
      </c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X199" s="85" t="str">
        <f t="shared" si="32"/>
        <v>INSERT INTO AplicacaoFatorProducao(nomeComercial, idOperacao) VALUES ('EPSO Microtop' ,379);</v>
      </c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</row>
    <row r="200" spans="1:87">
      <c r="A200" s="117" t="s">
        <v>221</v>
      </c>
      <c r="B200" s="117" t="s">
        <v>394</v>
      </c>
      <c r="C200" s="117" t="s">
        <v>180</v>
      </c>
      <c r="D200" s="117" t="s">
        <v>357</v>
      </c>
      <c r="E200" s="117">
        <v>4</v>
      </c>
      <c r="F200" s="117" t="s">
        <v>292</v>
      </c>
      <c r="G200" s="118">
        <v>45061</v>
      </c>
      <c r="H200" s="131">
        <f t="shared" si="33"/>
        <v>380</v>
      </c>
      <c r="I200" s="132" cm="1">
        <f t="array" ref="I200">INDEX($M$135:$M$145,MATCH((A200)&amp;(D200),($K$135:$K$145)&amp;($L$135:$L$145),0))</f>
        <v>43475</v>
      </c>
      <c r="S200" s="10" t="str">
        <f t="shared" si="31"/>
        <v>INSERT INTO Operacao (idOperacao, designacaoOperacaoAgricola, designacaoUnidade, quantidade, dataOperacao) VALUES (380, 'Aplicação de fator de produção', 'kg',   40.0,  TO_DATE('15/05/Monday', 'DD/MM/YYYY'));</v>
      </c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O200" s="90" t="str">
        <f t="shared" si="34"/>
        <v>INSERT INTO OperacaoCultura (idOperacao, nomeParcela, dataInicial, nomeComum, variedade) VALUES (380, 'Lameiro do moinho', TO_DATE('10/01/Thursday', 'DD/MM/YYYY'), 'Macieira', 'PIPO DE BASTO' );</v>
      </c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X200" s="85" t="str">
        <f t="shared" si="32"/>
        <v>INSERT INTO AplicacaoFatorProducao(nomeComercial, idOperacao) VALUES ('EPSO Microtop' ,380);</v>
      </c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</row>
    <row r="201" spans="1:87">
      <c r="A201" s="117" t="s">
        <v>221</v>
      </c>
      <c r="B201" s="117" t="s">
        <v>394</v>
      </c>
      <c r="C201" s="117" t="s">
        <v>180</v>
      </c>
      <c r="D201" s="117" t="s">
        <v>363</v>
      </c>
      <c r="E201" s="117">
        <v>3</v>
      </c>
      <c r="F201" s="117" t="s">
        <v>292</v>
      </c>
      <c r="G201" s="118">
        <v>45061</v>
      </c>
      <c r="H201" s="131">
        <f t="shared" si="33"/>
        <v>381</v>
      </c>
      <c r="I201" s="132" cm="1">
        <f t="array" ref="I201">INDEX($M$135:$M$145,MATCH((A201)&amp;(D201),($K$135:$K$145)&amp;($L$135:$L$145),0))</f>
        <v>43475</v>
      </c>
      <c r="S201" s="10" t="str">
        <f t="shared" si="31"/>
        <v>INSERT INTO Operacao (idOperacao, designacaoOperacaoAgricola, designacaoUnidade, quantidade, dataOperacao) VALUES (381, 'Aplicação de fator de produção', 'kg',   30.0,  TO_DATE('15/05/Monday', 'DD/MM/YYYY'));</v>
      </c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O201" s="90" t="str">
        <f t="shared" si="34"/>
        <v>INSERT INTO OperacaoCultura (idOperacao, nomeParcela, dataInicial, nomeComum, variedade) VALUES (381, 'Lameiro do moinho', TO_DATE('10/01/Thursday', 'DD/MM/YYYY'), 'Macieira', 'CANADA' );</v>
      </c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X201" s="85" t="str">
        <f t="shared" si="32"/>
        <v>INSERT INTO AplicacaoFatorProducao(nomeComercial, idOperacao) VALUES ('EPSO Microtop' ,381);</v>
      </c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</row>
    <row r="202" spans="1:87">
      <c r="A202" s="117" t="s">
        <v>221</v>
      </c>
      <c r="B202" s="117" t="s">
        <v>394</v>
      </c>
      <c r="C202" s="117" t="s">
        <v>180</v>
      </c>
      <c r="D202" s="117" t="s">
        <v>365</v>
      </c>
      <c r="E202" s="117">
        <v>4</v>
      </c>
      <c r="F202" s="117" t="s">
        <v>292</v>
      </c>
      <c r="G202" s="118">
        <v>45061</v>
      </c>
      <c r="H202" s="131">
        <f t="shared" si="33"/>
        <v>382</v>
      </c>
      <c r="I202" s="132" cm="1">
        <f t="array" ref="I202">INDEX($M$135:$M$145,MATCH((A202)&amp;(D202),($K$135:$K$145)&amp;($L$135:$L$145),0))</f>
        <v>43476</v>
      </c>
      <c r="S202" s="10" t="str">
        <f t="shared" si="31"/>
        <v>INSERT INTO Operacao (idOperacao, designacaoOperacaoAgricola, designacaoUnidade, quantidade, dataOperacao) VALUES (382, 'Aplicação de fator de produção', 'kg',   40.0,  TO_DATE('15/05/Monday', 'DD/MM/YYYY'));</v>
      </c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O202" s="90" t="str">
        <f t="shared" si="34"/>
        <v>INSERT INTO OperacaoCultura (idOperacao, nomeParcela, dataInicial, nomeComum, variedade) VALUES (382, 'Lameiro do moinho', TO_DATE('11/01/Friday', 'DD/MM/YYYY'), 'Macieira', 'GRAND FAY' );</v>
      </c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X202" s="85" t="str">
        <f t="shared" si="32"/>
        <v>INSERT INTO AplicacaoFatorProducao(nomeComercial, idOperacao) VALUES ('EPSO Microtop' ,382);</v>
      </c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</row>
    <row r="203" spans="1:87">
      <c r="A203" s="117" t="s">
        <v>221</v>
      </c>
      <c r="B203" s="117" t="s">
        <v>394</v>
      </c>
      <c r="C203" s="117" t="s">
        <v>180</v>
      </c>
      <c r="D203" s="117" t="s">
        <v>367</v>
      </c>
      <c r="E203" s="117">
        <v>5</v>
      </c>
      <c r="F203" s="117" t="s">
        <v>292</v>
      </c>
      <c r="G203" s="118">
        <v>45061</v>
      </c>
      <c r="H203" s="131">
        <f t="shared" si="33"/>
        <v>383</v>
      </c>
      <c r="I203" s="132" cm="1">
        <f t="array" ref="I203">INDEX($M$135:$M$145,MATCH((A203)&amp;(D203),($K$135:$K$145)&amp;($L$135:$L$145),0))</f>
        <v>43476</v>
      </c>
      <c r="S203" s="10" t="str">
        <f t="shared" si="31"/>
        <v>INSERT INTO Operacao (idOperacao, designacaoOperacaoAgricola, designacaoUnidade, quantidade, dataOperacao) VALUES (383, 'Aplicação de fator de produção', 'kg',   50.0,  TO_DATE('15/05/Monday', 'DD/MM/YYYY'));</v>
      </c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O203" s="90" t="str">
        <f t="shared" si="34"/>
        <v>INSERT INTO OperacaoCultura (idOperacao, nomeParcela, dataInicial, nomeComum, variedade) VALUES (383, 'Lameiro do moinho', TO_DATE('11/01/Friday', 'DD/MM/YYYY'), 'Macieira', 'GRONHO DOCE' );</v>
      </c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X203" s="85" t="str">
        <f t="shared" si="32"/>
        <v>INSERT INTO AplicacaoFatorProducao(nomeComercial, idOperacao) VALUES ('EPSO Microtop' ,383);</v>
      </c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</row>
    <row r="204" spans="1:87">
      <c r="A204" s="122" t="s">
        <v>218</v>
      </c>
      <c r="B204" s="117" t="s">
        <v>394</v>
      </c>
      <c r="C204" s="122" t="s">
        <v>304</v>
      </c>
      <c r="D204" s="122" t="s">
        <v>244</v>
      </c>
      <c r="E204" s="117">
        <v>120</v>
      </c>
      <c r="F204" s="117" t="s">
        <v>292</v>
      </c>
      <c r="G204" s="123">
        <v>44209</v>
      </c>
      <c r="H204" s="131">
        <f t="shared" si="33"/>
        <v>384</v>
      </c>
      <c r="I204" s="133" cm="1">
        <f t="array" ref="I204">INDEX(Operações!$K$2:$K$266,MATCH((A204)&amp;(D204)&amp;($B$167),(Operações!$B$2:$B$266)&amp;(Operações!$E$2:$E$266)&amp;(Operações!$C$2:$C$266),0))</f>
        <v>42653</v>
      </c>
      <c r="S204" s="10" t="str">
        <f t="shared" si="31"/>
        <v>INSERT INTO Operacao (idOperacao, designacaoOperacaoAgricola, designacaoUnidade, quantidade, dataOperacao) VALUES (384, 'Aplicação de fator de produção', 'kg',   1200.0,  TO_DATE('13/01/Wednesday', 'DD/MM/YYYY'));</v>
      </c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O204" s="90" t="str">
        <f t="shared" si="34"/>
        <v>INSERT INTO OperacaoCultura (idOperacao, nomeParcela, dataInicial, nomeComum, variedade) VALUES (384, 'Campo Grande', TO_DATE('10/10/Monday', 'DD/MM/YYYY'), 'Oliveira', 'PICUAL' );</v>
      </c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X204" s="85" t="str">
        <f t="shared" si="32"/>
        <v>INSERT INTO AplicacaoFatorProducao(nomeComercial, idOperacao) VALUES ('BIOFERTIL N6' ,384);</v>
      </c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</row>
    <row r="205" spans="1:87">
      <c r="A205" s="122" t="s">
        <v>218</v>
      </c>
      <c r="B205" s="117" t="s">
        <v>394</v>
      </c>
      <c r="C205" s="117" t="s">
        <v>304</v>
      </c>
      <c r="D205" s="122" t="s">
        <v>243</v>
      </c>
      <c r="E205" s="117">
        <v>180</v>
      </c>
      <c r="F205" s="117" t="s">
        <v>292</v>
      </c>
      <c r="G205" s="123">
        <v>44208</v>
      </c>
      <c r="H205" s="131">
        <f t="shared" si="33"/>
        <v>385</v>
      </c>
      <c r="I205" s="133" cm="1">
        <f t="array" ref="I205">INDEX(Operações!$K$2:$K$266,MATCH((A205)&amp;(D205)&amp;($B$167),(Operações!$B$2:$B$266)&amp;(Operações!$E$2:$E$266)&amp;(Operações!$C$2:$C$266),0))</f>
        <v>42649</v>
      </c>
      <c r="S205" s="10" t="str">
        <f t="shared" si="31"/>
        <v>INSERT INTO Operacao (idOperacao, designacaoOperacaoAgricola, designacaoUnidade, quantidade, dataOperacao) VALUES (385, 'Aplicação de fator de produção', 'kg',   1800.0,  TO_DATE('12/01/Tuesday', 'DD/MM/YYYY'));</v>
      </c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O205" s="90" t="str">
        <f t="shared" si="34"/>
        <v>INSERT INTO OperacaoCultura (idOperacao, nomeParcela, dataInicial, nomeComum, variedade) VALUES (385, 'Campo Grande', TO_DATE('06/10/Thursday', 'DD/MM/YYYY'), 'Oliveira', 'GALEGA' );</v>
      </c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X205" s="85" t="str">
        <f t="shared" si="32"/>
        <v>INSERT INTO AplicacaoFatorProducao(nomeComercial, idOperacao) VALUES ('BIOFERTIL N6' ,385);</v>
      </c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</row>
    <row r="206" spans="1:87">
      <c r="A206" s="122" t="s">
        <v>218</v>
      </c>
      <c r="B206" s="117" t="s">
        <v>394</v>
      </c>
      <c r="C206" s="117" t="s">
        <v>304</v>
      </c>
      <c r="D206" s="122" t="s">
        <v>352</v>
      </c>
      <c r="E206" s="117">
        <v>240</v>
      </c>
      <c r="F206" s="117" t="s">
        <v>292</v>
      </c>
      <c r="G206" s="123">
        <v>44208</v>
      </c>
      <c r="H206" s="131">
        <f t="shared" si="33"/>
        <v>386</v>
      </c>
      <c r="I206" s="132" cm="1">
        <f t="array" ref="I206">INDEX($M$135:$M$145,MATCH((A206)&amp;(D206),($K$135:$K$145)&amp;($L$135:$L$145),0))</f>
        <v>42645</v>
      </c>
      <c r="S206" s="10" t="str">
        <f t="shared" si="31"/>
        <v>INSERT INTO Operacao (idOperacao, designacaoOperacaoAgricola, designacaoUnidade, quantidade, dataOperacao) VALUES (386, 'Aplicação de fator de produção', 'kg',   2400.0,  TO_DATE('12/01/Tuesday', 'DD/MM/YYYY'));</v>
      </c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O206" s="90" t="str">
        <f t="shared" si="34"/>
        <v>INSERT INTO OperacaoCultura (idOperacao, nomeParcela, dataInicial, nomeComum, variedade) VALUES (386, 'Campo Grande', TO_DATE('02/10/Sunday', 'DD/MM/YYYY'), 'Oliveira', 'ARBEQUINA' );</v>
      </c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X206" s="85" t="str">
        <f t="shared" si="32"/>
        <v>INSERT INTO AplicacaoFatorProducao(nomeComercial, idOperacao) VALUES ('BIOFERTIL N6' ,386);</v>
      </c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</row>
    <row r="207" spans="1:87">
      <c r="A207" s="122" t="s">
        <v>218</v>
      </c>
      <c r="B207" s="117" t="s">
        <v>394</v>
      </c>
      <c r="C207" s="117" t="s">
        <v>304</v>
      </c>
      <c r="D207" s="122" t="s">
        <v>244</v>
      </c>
      <c r="E207" s="117">
        <v>120</v>
      </c>
      <c r="F207" s="117" t="s">
        <v>292</v>
      </c>
      <c r="G207" s="123">
        <v>44573</v>
      </c>
      <c r="H207" s="131">
        <f t="shared" si="33"/>
        <v>387</v>
      </c>
      <c r="I207" s="133" cm="1">
        <f t="array" ref="I207">INDEX(Operações!$K$2:$K$266,MATCH((A207)&amp;(D207)&amp;($B$167),(Operações!$B$2:$B$266)&amp;(Operações!$E$2:$E$266)&amp;(Operações!$C$2:$C$266),0))</f>
        <v>42653</v>
      </c>
      <c r="S207" s="10" t="str">
        <f t="shared" si="31"/>
        <v>INSERT INTO Operacao (idOperacao, designacaoOperacaoAgricola, designacaoUnidade, quantidade, dataOperacao) VALUES (387, 'Aplicação de fator de produção', 'kg',   1200.0,  TO_DATE('12/01/Wednesday', 'DD/MM/YYYY'));</v>
      </c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O207" s="90" t="str">
        <f t="shared" si="34"/>
        <v>INSERT INTO OperacaoCultura (idOperacao, nomeParcela, dataInicial, nomeComum, variedade) VALUES (387, 'Campo Grande', TO_DATE('10/10/Monday', 'DD/MM/YYYY'), 'Oliveira', 'PICUAL' );</v>
      </c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X207" s="85" t="str">
        <f t="shared" si="32"/>
        <v>INSERT INTO AplicacaoFatorProducao(nomeComercial, idOperacao) VALUES ('BIOFERTIL N6' ,387);</v>
      </c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</row>
    <row r="208" spans="1:87">
      <c r="A208" s="122" t="s">
        <v>218</v>
      </c>
      <c r="B208" s="117" t="s">
        <v>394</v>
      </c>
      <c r="C208" s="117" t="s">
        <v>304</v>
      </c>
      <c r="D208" s="122" t="s">
        <v>243</v>
      </c>
      <c r="E208" s="117">
        <v>180</v>
      </c>
      <c r="F208" s="117" t="s">
        <v>292</v>
      </c>
      <c r="G208" s="123">
        <v>44573</v>
      </c>
      <c r="H208" s="131">
        <f t="shared" si="33"/>
        <v>388</v>
      </c>
      <c r="I208" s="133" cm="1">
        <f t="array" ref="I208">INDEX(Operações!$K$2:$K$266,MATCH((A208)&amp;(D208)&amp;($B$167),(Operações!$B$2:$B$266)&amp;(Operações!$E$2:$E$266)&amp;(Operações!$C$2:$C$266),0))</f>
        <v>42649</v>
      </c>
      <c r="S208" s="10" t="str">
        <f t="shared" si="31"/>
        <v>INSERT INTO Operacao (idOperacao, designacaoOperacaoAgricola, designacaoUnidade, quantidade, dataOperacao) VALUES (388, 'Aplicação de fator de produção', 'kg',   1800.0,  TO_DATE('12/01/Wednesday', 'DD/MM/YYYY'));</v>
      </c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O208" s="90" t="str">
        <f t="shared" si="34"/>
        <v>INSERT INTO OperacaoCultura (idOperacao, nomeParcela, dataInicial, nomeComum, variedade) VALUES (388, 'Campo Grande', TO_DATE('06/10/Thursday', 'DD/MM/YYYY'), 'Oliveira', 'GALEGA' );</v>
      </c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X208" s="85" t="str">
        <f t="shared" si="32"/>
        <v>INSERT INTO AplicacaoFatorProducao(nomeComercial, idOperacao) VALUES ('BIOFERTIL N6' ,388);</v>
      </c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</row>
    <row r="209" spans="1:95">
      <c r="A209" s="122" t="s">
        <v>218</v>
      </c>
      <c r="B209" s="117" t="s">
        <v>394</v>
      </c>
      <c r="C209" s="117" t="s">
        <v>304</v>
      </c>
      <c r="D209" s="122" t="s">
        <v>352</v>
      </c>
      <c r="E209" s="117">
        <v>240</v>
      </c>
      <c r="F209" s="117" t="s">
        <v>292</v>
      </c>
      <c r="G209" s="123">
        <v>44574</v>
      </c>
      <c r="H209" s="131">
        <f t="shared" si="33"/>
        <v>389</v>
      </c>
      <c r="I209" s="132" cm="1">
        <f t="array" ref="I209">INDEX($M$135:$M$145,MATCH((A209)&amp;(D209),($K$135:$K$145)&amp;($L$135:$L$145),0))</f>
        <v>42645</v>
      </c>
      <c r="S209" s="10" t="str">
        <f t="shared" si="31"/>
        <v>INSERT INTO Operacao (idOperacao, designacaoOperacaoAgricola, designacaoUnidade, quantidade, dataOperacao) VALUES (389, 'Aplicação de fator de produção', 'kg',   2400.0,  TO_DATE('13/01/Thursday', 'DD/MM/YYYY'));</v>
      </c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O209" s="90" t="str">
        <f t="shared" si="34"/>
        <v>INSERT INTO OperacaoCultura (idOperacao, nomeParcela, dataInicial, nomeComum, variedade) VALUES (389, 'Campo Grande', TO_DATE('02/10/Sunday', 'DD/MM/YYYY'), 'Oliveira', 'ARBEQUINA' );</v>
      </c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X209" s="85" t="str">
        <f t="shared" si="32"/>
        <v>INSERT INTO AplicacaoFatorProducao(nomeComercial, idOperacao) VALUES ('BIOFERTIL N6' ,389);</v>
      </c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</row>
    <row r="210" spans="1:95">
      <c r="A210" s="122" t="s">
        <v>218</v>
      </c>
      <c r="B210" s="117" t="s">
        <v>394</v>
      </c>
      <c r="C210" s="117" t="s">
        <v>304</v>
      </c>
      <c r="D210" s="122" t="s">
        <v>244</v>
      </c>
      <c r="E210" s="117">
        <v>120</v>
      </c>
      <c r="F210" s="117" t="s">
        <v>292</v>
      </c>
      <c r="G210" s="123">
        <v>44938</v>
      </c>
      <c r="H210" s="131">
        <f t="shared" si="33"/>
        <v>390</v>
      </c>
      <c r="I210" s="133" cm="1">
        <f t="array" ref="I210">INDEX(Operações!$K$2:$K$266,MATCH((A210)&amp;(D210)&amp;($B$167),(Operações!$B$2:$B$266)&amp;(Operações!$E$2:$E$266)&amp;(Operações!$C$2:$C$266),0))</f>
        <v>42653</v>
      </c>
      <c r="S210" s="10" t="str">
        <f t="shared" si="31"/>
        <v>INSERT INTO Operacao (idOperacao, designacaoOperacaoAgricola, designacaoUnidade, quantidade, dataOperacao) VALUES (390, 'Aplicação de fator de produção', 'kg',   1200.0,  TO_DATE('12/01/Thursday', 'DD/MM/YYYY'));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O210" s="90" t="str">
        <f t="shared" si="34"/>
        <v>INSERT INTO OperacaoCultura (idOperacao, nomeParcela, dataInicial, nomeComum, variedade) VALUES (390, 'Campo Grande', TO_DATE('10/10/Monday', 'DD/MM/YYYY'), 'Oliveira', 'PICUAL' );</v>
      </c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X210" s="85" t="str">
        <f t="shared" si="32"/>
        <v>INSERT INTO AplicacaoFatorProducao(nomeComercial, idOperacao) VALUES ('BIOFERTIL N6' ,390);</v>
      </c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</row>
    <row r="211" spans="1:95">
      <c r="A211" s="122" t="s">
        <v>218</v>
      </c>
      <c r="B211" s="117" t="s">
        <v>394</v>
      </c>
      <c r="C211" s="117" t="s">
        <v>304</v>
      </c>
      <c r="D211" s="122" t="s">
        <v>243</v>
      </c>
      <c r="E211" s="117">
        <v>180</v>
      </c>
      <c r="F211" s="117" t="s">
        <v>292</v>
      </c>
      <c r="G211" s="123">
        <v>44938</v>
      </c>
      <c r="H211" s="131">
        <f t="shared" si="33"/>
        <v>391</v>
      </c>
      <c r="I211" s="133" cm="1">
        <f t="array" ref="I211">INDEX(Operações!$K$2:$K$266,MATCH((A211)&amp;(D211)&amp;($B$167),(Operações!$B$2:$B$266)&amp;(Operações!$E$2:$E$266)&amp;(Operações!$C$2:$C$266),0))</f>
        <v>42649</v>
      </c>
      <c r="S211" s="10" t="str">
        <f t="shared" si="31"/>
        <v>INSERT INTO Operacao (idOperacao, designacaoOperacaoAgricola, designacaoUnidade, quantidade, dataOperacao) VALUES (391, 'Aplicação de fator de produção', 'kg',   1800.0,  TO_DATE('12/01/Thursday', 'DD/MM/YYYY'));</v>
      </c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O211" s="90" t="str">
        <f t="shared" si="34"/>
        <v>INSERT INTO OperacaoCultura (idOperacao, nomeParcela, dataInicial, nomeComum, variedade) VALUES (391, 'Campo Grande', TO_DATE('06/10/Thursday', 'DD/MM/YYYY'), 'Oliveira', 'GALEGA' );</v>
      </c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X211" s="85" t="str">
        <f t="shared" si="32"/>
        <v>INSERT INTO AplicacaoFatorProducao(nomeComercial, idOperacao) VALUES ('BIOFERTIL N6' ,391);</v>
      </c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</row>
    <row r="212" spans="1:95">
      <c r="A212" s="122" t="s">
        <v>218</v>
      </c>
      <c r="B212" s="117" t="s">
        <v>394</v>
      </c>
      <c r="C212" s="117" t="s">
        <v>304</v>
      </c>
      <c r="D212" s="122" t="s">
        <v>352</v>
      </c>
      <c r="E212" s="117">
        <v>240</v>
      </c>
      <c r="F212" s="117" t="s">
        <v>292</v>
      </c>
      <c r="G212" s="123">
        <v>44938</v>
      </c>
      <c r="H212" s="131">
        <f t="shared" si="33"/>
        <v>392</v>
      </c>
      <c r="I212" s="132" cm="1">
        <f t="array" ref="I212">INDEX($M$135:$M$145,MATCH((A212)&amp;(D212),($K$135:$K$145)&amp;($L$135:$L$145),0))</f>
        <v>42645</v>
      </c>
      <c r="S212" s="10" t="str">
        <f t="shared" si="31"/>
        <v>INSERT INTO Operacao (idOperacao, designacaoOperacaoAgricola, designacaoUnidade, quantidade, dataOperacao) VALUES (392, 'Aplicação de fator de produção', 'kg',   2400.0,  TO_DATE('12/01/Thursday', 'DD/MM/YYYY'));</v>
      </c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O212" s="90" t="str">
        <f t="shared" si="34"/>
        <v>INSERT INTO OperacaoCultura (idOperacao, nomeParcela, dataInicial, nomeComum, variedade) VALUES (392, 'Campo Grande', TO_DATE('02/10/Sunday', 'DD/MM/YYYY'), 'Oliveira', 'ARBEQUINA' );</v>
      </c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3" t="s">
        <v>8</v>
      </c>
      <c r="BJ212" s="93" t="s">
        <v>9</v>
      </c>
      <c r="BK212" s="93" t="s">
        <v>295</v>
      </c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X212" s="85" t="str">
        <f t="shared" si="32"/>
        <v>INSERT INTO AplicacaoFatorProducao(nomeComercial, idOperacao) VALUES ('BIOFERTIL N6' ,392);</v>
      </c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</row>
    <row r="213" spans="1:95">
      <c r="A213" s="122" t="s">
        <v>317</v>
      </c>
      <c r="B213" s="117" t="s">
        <v>394</v>
      </c>
      <c r="C213" s="122" t="s">
        <v>192</v>
      </c>
      <c r="D213" s="122"/>
      <c r="E213" s="117">
        <v>500</v>
      </c>
      <c r="F213" s="117" t="s">
        <v>292</v>
      </c>
      <c r="G213" s="123">
        <v>45017</v>
      </c>
      <c r="H213" s="131">
        <f t="shared" si="33"/>
        <v>393</v>
      </c>
      <c r="I213" s="135"/>
      <c r="S213" s="10" t="str">
        <f t="shared" si="31"/>
        <v>INSERT INTO Operacao (idOperacao, designacaoOperacaoAgricola, designacaoUnidade, quantidade, dataOperacao) VALUES (393, 'Aplicação de fator de produção', 'kg',   5000.0,  TO_DATE('01/04/Saturday', 'DD/MM/YYYY'));</v>
      </c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 t="str">
        <f xml:space="preserve"> "INSERT INTO " &amp;$BL$66&amp; " (idOperacao, nomeParcela) VALUES (" &amp;H213&amp; ", '" &amp;A213&amp; "');"</f>
        <v>INSERT INTO OperacaoParcela (idOperacao, nomeParcela) VALUES (393, 'Campo Novo');</v>
      </c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X213" s="85" t="str">
        <f t="shared" si="32"/>
        <v>INSERT INTO AplicacaoFatorProducao(nomeComercial, idOperacao) VALUES ('Biocal Composto' ,393);</v>
      </c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</row>
    <row r="214" spans="1:95">
      <c r="A214" s="122" t="s">
        <v>317</v>
      </c>
      <c r="B214" s="117" t="s">
        <v>394</v>
      </c>
      <c r="C214" s="122" t="s">
        <v>303</v>
      </c>
      <c r="D214" s="122"/>
      <c r="E214" s="117">
        <v>1800</v>
      </c>
      <c r="F214" s="117" t="s">
        <v>292</v>
      </c>
      <c r="G214" s="123">
        <v>45110</v>
      </c>
      <c r="H214" s="131">
        <f t="shared" si="33"/>
        <v>394</v>
      </c>
      <c r="I214" s="135"/>
      <c r="S214" s="10" t="str">
        <f t="shared" si="31"/>
        <v>INSERT INTO Operacao (idOperacao, designacaoOperacaoAgricola, designacaoUnidade, quantidade, dataOperacao) VALUES (394, 'Aplicação de fator de produção', 'kg',   18000.0,  TO_DATE('03/07/Monday', 'DD/MM/YYYY'));</v>
      </c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 t="str">
        <f xml:space="preserve"> "INSERT INTO " &amp;$BL$66&amp; " (idOperacao, nomeParcela) VALUES (" &amp;H214&amp; ", '" &amp;A214&amp; "');"</f>
        <v>INSERT INTO OperacaoParcela (idOperacao, nomeParcela) VALUES (394, 'Campo Novo');</v>
      </c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X214" s="85" t="str">
        <f t="shared" si="32"/>
        <v>INSERT INTO AplicacaoFatorProducao(nomeComercial, idOperacao) VALUES ('Fertimax Extrume de Cavalo' ,394);</v>
      </c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</row>
    <row r="219" spans="1:95">
      <c r="A219" s="126" t="s">
        <v>343</v>
      </c>
      <c r="B219" s="126" t="s">
        <v>372</v>
      </c>
      <c r="C219" s="126" t="s">
        <v>378</v>
      </c>
      <c r="D219" s="126" t="s">
        <v>395</v>
      </c>
      <c r="E219" s="126" t="s">
        <v>396</v>
      </c>
      <c r="F219" s="126" t="s">
        <v>397</v>
      </c>
      <c r="G219" s="126" t="s">
        <v>398</v>
      </c>
      <c r="H219" s="126" t="s">
        <v>375</v>
      </c>
      <c r="I219" s="131" t="s">
        <v>285</v>
      </c>
      <c r="J219" s="131" t="s">
        <v>392</v>
      </c>
      <c r="S219" s="9" t="s">
        <v>8</v>
      </c>
      <c r="T219" s="9" t="s">
        <v>9</v>
      </c>
      <c r="U219" s="9" t="s">
        <v>287</v>
      </c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O219" s="93" t="s">
        <v>9</v>
      </c>
      <c r="AP219" s="93" t="s">
        <v>288</v>
      </c>
      <c r="AQ219" s="93" t="s">
        <v>8</v>
      </c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J219" s="20" t="s">
        <v>8</v>
      </c>
      <c r="BK219" s="20" t="s">
        <v>9</v>
      </c>
      <c r="BL219" s="20" t="s">
        <v>265</v>
      </c>
      <c r="BM219" s="20"/>
      <c r="BN219" s="20"/>
      <c r="BO219" s="20"/>
      <c r="BP219" s="3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</row>
    <row r="220" spans="1:95">
      <c r="A220" s="122" t="s">
        <v>317</v>
      </c>
      <c r="B220" s="117" t="s">
        <v>399</v>
      </c>
      <c r="C220" s="128" t="s">
        <v>248</v>
      </c>
      <c r="D220" s="117">
        <v>0.5</v>
      </c>
      <c r="E220" s="117" t="s">
        <v>216</v>
      </c>
      <c r="F220" s="117">
        <v>1.2</v>
      </c>
      <c r="G220" s="128" t="s">
        <v>292</v>
      </c>
      <c r="H220" s="118">
        <v>45021</v>
      </c>
      <c r="I220" s="131">
        <f>H214 + 1</f>
        <v>395</v>
      </c>
      <c r="J220" s="132">
        <f>H220</f>
        <v>45021</v>
      </c>
      <c r="S220" s="10" t="str">
        <f xml:space="preserve"> "INSERT INTO " &amp;$U$134&amp; " (idOperacao, designacaoOperacaoAgricola, designacaoUnidade, quantidade, dataOperacao) VALUES (" &amp;I220&amp; ", '" &amp;B220&amp; "', " &amp;IF(ISBLANK(G220), "null", "'" &amp;G220&amp; "'" )&amp; ",   "&amp;IF(ISBLANK(F220), "NULL",TEXT(SUBSTITUTE(F220, "%", "") * 10, "0.0"))&amp;",  TO_DATE('"&amp;TEXT(H220,"DD/MM/AAAA")&amp;"', 'DD/MM/YYYY'));"</f>
        <v>INSERT INTO Operacao (idOperacao, designacaoOperacaoAgricola, designacaoUnidade, quantidade, dataOperacao) VALUES (395, 'Semeadura', 'kg',   12.0,  TO_DATE('05/04/Wednesday', 'DD/MM/YYYY'));</v>
      </c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O220" s="90" t="str">
        <f xml:space="preserve"> "INSERT INTO " &amp;$AP$178&amp; " (idOperacao, nomeParcela, dataInicial, nomeComum, variedade) VALUES (" &amp;I220&amp; ", '" &amp;A220&amp; "', TO_DATE('"&amp;TEXT(J220,"DD/MM/AAAA")&amp;"', 'DD/MM/YYYY'), '"  &amp;INDEX($L$149:$L$173,MATCH(C220,$K$149:$K$173,0))&amp; "', '" &amp;UPPER(INDEX($M$149:$M$173,MATCH(C220,$K$149:$K$173,0)))&amp;  "' );"</f>
        <v>INSERT INTO OperacaoCultura (idOperacao, nomeParcela, dataInicial, nomeComum, variedade) VALUES (395, 'Campo Novo', TO_DATE('05/04/Wednesday', 'DD/MM/YYYY'), 'Cenoura', 'SUGARSNAX HYBRID' );</v>
      </c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J220" s="31" t="str">
        <f>"INSERT INTO "&amp;$BL$219&amp;" (dataInicial, nomeParcela, variedade, nomeComum, designacaoUnidade, quantidade,  dataFinal) VALUES ("&amp;"TO_DATE('"&amp;TEXT(J220,"DD/MM/AAAA")&amp;"', 'DD/MM/YYYY') , '"&amp;A220&amp;"' , UPPER('" &amp;INDEX($M$149:$M$173,MATCH(C220,$K$149:$K$173,0))&amp; "'), '" &amp;INDEX($L$149:$L$173,MATCH(C220,$K$149:$K$173,0))&amp; "', '" &amp;E220&amp; "', "&amp;TEXT(SUBSTITUTE(D220,"%","")*100,"0.00")&amp;", "&amp;IF(ISBLANK(INDEX($N$142:$N$145,MATCH(C220,$L$142:$L$145,0))),"NULL","TO_DATE('"&amp;TEXT(INDEX($N$142:$N$145,MATCH(C220,$L$142:$L$145,0)),"DD/MM/AAAA")&amp;"', 'DD/MM/YYYY')")&amp;");"</f>
        <v>INSERT INTO CulturaInstalada (dataInicial, nomeParcela, variedade, nomeComum, designacaoUnidade, quantidade,  dataFinal) VALUES (TO_DATE('05/04/2023', 'DD/MM/YYYY') , 'Campo Novo' , UPPER('Sugarsnax Hybrid'), 'Cenoura', 'ha', 0.50, TO_DATE('28/06/2023', 'DD/MM/YYYY'));</v>
      </c>
      <c r="BK220" s="31"/>
      <c r="BL220" s="31"/>
      <c r="BM220" s="31"/>
      <c r="BN220" s="31"/>
      <c r="BO220" s="31"/>
      <c r="BP220" s="32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</row>
    <row r="221" spans="1:95">
      <c r="A221" s="122" t="s">
        <v>317</v>
      </c>
      <c r="B221" s="117" t="s">
        <v>399</v>
      </c>
      <c r="C221" s="128" t="s">
        <v>268</v>
      </c>
      <c r="D221" s="117">
        <v>0.6</v>
      </c>
      <c r="E221" s="117" t="s">
        <v>216</v>
      </c>
      <c r="F221" s="117">
        <v>1.5</v>
      </c>
      <c r="G221" s="128" t="s">
        <v>292</v>
      </c>
      <c r="H221" s="118">
        <v>45022</v>
      </c>
      <c r="I221" s="131">
        <f>I220 + 1</f>
        <v>396</v>
      </c>
      <c r="J221" s="132">
        <f t="shared" ref="J221:J223" si="35">H221</f>
        <v>45022</v>
      </c>
      <c r="S221" s="10" t="str">
        <f t="shared" ref="S221:S223" si="36" xml:space="preserve"> "INSERT INTO " &amp;$U$134&amp; " (idOperacao, designacaoOperacaoAgricola, designacaoUnidade, quantidade, dataOperacao) VALUES (" &amp;I221&amp; ", '" &amp;B221&amp; "', " &amp;IF(ISBLANK(G221), "null", "'" &amp;G221&amp; "'" )&amp; ",   "&amp;IF(ISBLANK(F221), "NULL",TEXT(SUBSTITUTE(F221, "%", "") * 10, "0.0"))&amp;",  TO_DATE('"&amp;TEXT(H221,"DD/MM/AAAA")&amp;"', 'DD/MM/YYYY'));"</f>
        <v>INSERT INTO Operacao (idOperacao, designacaoOperacaoAgricola, designacaoUnidade, quantidade, dataOperacao) VALUES (396, 'Semeadura', 'kg',   15.0,  TO_DATE('06/04/Thursday', 'DD/MM/YYYY'));</v>
      </c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O221" s="90" t="str">
        <f t="shared" ref="AO221:AO223" si="37" xml:space="preserve"> "INSERT INTO " &amp;$AP$178&amp; " (idOperacao, nomeParcela, dataInicial, nomeComum, variedade) VALUES (" &amp;I221&amp; ", '" &amp;A221&amp; "', TO_DATE('"&amp;TEXT(J221,"DD/MM/AAAA")&amp;"', 'DD/MM/YYYY'), '"  &amp;INDEX($L$149:$L$173,MATCH(C221,$K$149:$K$173,0))&amp; "', '" &amp;UPPER(INDEX($M$149:$M$173,MATCH(C221,$K$149:$K$173,0)))&amp;  "' );"</f>
        <v>INSERT INTO OperacaoCultura (idOperacao, nomeParcela, dataInicial, nomeComum, variedade) VALUES (396, 'Campo Novo', TO_DATE('06/04/Thursday', 'DD/MM/YYYY'), 'Abóbora Manteiga', 'BUTTERNUT' );</v>
      </c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J221" s="31" t="str">
        <f t="shared" ref="BJ221:BJ223" si="38">"INSERT INTO "&amp;$BL$219&amp;" (dataInicial, nomeParcela, variedade, nomeComum, designacaoUnidade, quantidade,  dataFinal) VALUES ("&amp;"TO_DATE('"&amp;TEXT(J221,"DD/MM/AAAA")&amp;"', 'DD/MM/YYYY') , '"&amp;A221&amp;"' , UPPER('" &amp;INDEX($M$149:$M$173,MATCH(C221,$K$149:$K$173,0))&amp; "'), '" &amp;INDEX($L$149:$L$173,MATCH(C221,$K$149:$K$173,0))&amp; "', '" &amp;E221&amp; "', "&amp;TEXT(SUBSTITUTE(D221,"%","")*100,"0.00")&amp;", "&amp;IF(ISBLANK(INDEX($N$142:$N$145,MATCH(C221,$L$142:$L$145,0))),"NULL","TO_DATE('"&amp;TEXT(INDEX($N$142:$N$145,MATCH(C221,$L$142:$L$145,0)),"DD/MM/AAAA")&amp;"', 'DD/MM/YYYY')")&amp;");"</f>
        <v>INSERT INTO CulturaInstalada (dataInicial, nomeParcela, variedade, nomeComum, designacaoUnidade, quantidade,  dataFinal) VALUES (TO_DATE('06/04/2023', 'DD/MM/YYYY') , 'Campo Novo' , UPPER('Butternut'), 'Abóbora Manteiga', 'ha', 0.60, TO_DATE('25/09/2023', 'DD/MM/YYYY'));</v>
      </c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</row>
    <row r="222" spans="1:95">
      <c r="A222" s="122" t="s">
        <v>317</v>
      </c>
      <c r="B222" s="117" t="s">
        <v>399</v>
      </c>
      <c r="C222" s="128" t="s">
        <v>249</v>
      </c>
      <c r="D222" s="117">
        <v>0.5</v>
      </c>
      <c r="E222" s="117" t="s">
        <v>216</v>
      </c>
      <c r="F222" s="117">
        <v>1.2</v>
      </c>
      <c r="G222" s="128" t="s">
        <v>292</v>
      </c>
      <c r="H222" s="118">
        <v>45112</v>
      </c>
      <c r="I222" s="131">
        <f t="shared" ref="I222:I223" si="39">I221 + 1</f>
        <v>397</v>
      </c>
      <c r="J222" s="132">
        <f t="shared" si="35"/>
        <v>45112</v>
      </c>
      <c r="S222" s="10" t="str">
        <f t="shared" si="36"/>
        <v>INSERT INTO Operacao (idOperacao, designacaoOperacaoAgricola, designacaoUnidade, quantidade, dataOperacao) VALUES (397, 'Semeadura', 'kg',   12.0,  TO_DATE('05/07/Wednesday', 'DD/MM/YYYY'));</v>
      </c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O222" s="90" t="str">
        <f t="shared" si="37"/>
        <v>INSERT INTO OperacaoCultura (idOperacao, nomeParcela, dataInicial, nomeComum, variedade) VALUES (397, 'Campo Novo', TO_DATE('05/07/Wednesday', 'DD/MM/YYYY'), 'Cenoura', 'DANVERS HALF LONG' );</v>
      </c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J222" s="31" t="str">
        <f t="shared" si="38"/>
        <v>INSERT INTO CulturaInstalada (dataInicial, nomeParcela, variedade, nomeComum, designacaoUnidade, quantidade,  dataFinal) VALUES (TO_DATE('05/07/2023', 'DD/MM/YYYY') , 'Campo Novo' , UPPER('Danvers Half Long'), 'Cenoura', 'ha', 0.50, TO_DATE('05/10/2023', 'DD/MM/YYYY'));</v>
      </c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</row>
    <row r="223" spans="1:95">
      <c r="A223" s="122" t="s">
        <v>317</v>
      </c>
      <c r="B223" s="117" t="s">
        <v>399</v>
      </c>
      <c r="C223" s="128" t="s">
        <v>240</v>
      </c>
      <c r="D223" s="117">
        <v>1.1000000000000001</v>
      </c>
      <c r="E223" s="117" t="s">
        <v>216</v>
      </c>
      <c r="F223" s="117">
        <v>32</v>
      </c>
      <c r="G223" s="128" t="s">
        <v>292</v>
      </c>
      <c r="H223" s="118">
        <v>45211</v>
      </c>
      <c r="I223" s="131">
        <f t="shared" si="39"/>
        <v>398</v>
      </c>
      <c r="J223" s="132">
        <f t="shared" si="35"/>
        <v>45211</v>
      </c>
      <c r="S223" s="10" t="str">
        <f t="shared" si="36"/>
        <v>INSERT INTO Operacao (idOperacao, designacaoOperacaoAgricola, designacaoUnidade, quantidade, dataOperacao) VALUES (398, 'Semeadura', 'kg',   320.0,  TO_DATE('12/10/Thursday', 'DD/MM/YYYY'));</v>
      </c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O223" s="90" t="str">
        <f t="shared" si="37"/>
        <v>INSERT INTO OperacaoCultura (idOperacao, nomeParcela, dataInicial, nomeComum, variedade) VALUES (398, 'Campo Novo', TO_DATE('12/10/Thursday', 'DD/MM/YYYY'), 'Tremoço', 'AMARELO' );</v>
      </c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J223" s="31" t="str">
        <f t="shared" si="38"/>
        <v>INSERT INTO CulturaInstalada (dataInicial, nomeParcela, variedade, nomeComum, designacaoUnidade, quantidade,  dataFinal) VALUES (TO_DATE('12/10/2023', 'DD/MM/YYYY') , 'Campo Novo' , UPPER('Amarelo'), 'Tremoço', 'ha', 1.10, NULL);</v>
      </c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</row>
    <row r="227" spans="1:74">
      <c r="A227" s="126" t="s">
        <v>343</v>
      </c>
      <c r="B227" s="126" t="s">
        <v>372</v>
      </c>
      <c r="C227" s="126" t="s">
        <v>378</v>
      </c>
      <c r="D227" s="126" t="s">
        <v>373</v>
      </c>
      <c r="E227" s="126" t="s">
        <v>340</v>
      </c>
      <c r="F227" s="126" t="s">
        <v>375</v>
      </c>
      <c r="G227" s="131" t="s">
        <v>285</v>
      </c>
      <c r="H227" s="132" t="s">
        <v>284</v>
      </c>
      <c r="S227" s="9" t="s">
        <v>8</v>
      </c>
      <c r="T227" s="9" t="s">
        <v>9</v>
      </c>
      <c r="U227" s="9" t="s">
        <v>287</v>
      </c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O227" s="93" t="s">
        <v>9</v>
      </c>
      <c r="AP227" s="93" t="s">
        <v>288</v>
      </c>
      <c r="AQ227" s="93" t="s">
        <v>8</v>
      </c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</row>
    <row r="228" spans="1:74">
      <c r="A228" s="122" t="s">
        <v>317</v>
      </c>
      <c r="B228" s="117" t="s">
        <v>400</v>
      </c>
      <c r="C228" s="128" t="s">
        <v>249</v>
      </c>
      <c r="D228" s="117">
        <v>0.5</v>
      </c>
      <c r="E228" s="128" t="s">
        <v>216</v>
      </c>
      <c r="F228" s="118">
        <v>45146</v>
      </c>
      <c r="G228" s="131">
        <f>I223 + 1</f>
        <v>399</v>
      </c>
      <c r="H228" s="132" cm="1">
        <f t="array" ref="H228">INDEX($M$135:$M$145,MATCH((A228)&amp;(C228),($K$135:$K$145)&amp;($L$135:$L$145),0))</f>
        <v>45112</v>
      </c>
      <c r="S228" s="10" t="str">
        <f xml:space="preserve"> "INSERT INTO " &amp;$U$134&amp; " (idOperacao, designacaoOperacaoAgricola, designacaoUnidade, quantidade, dataOperacao) VALUES (" &amp;G228&amp; ", '" &amp;B228&amp; "', " &amp;IF(ISBLANK(E228), "null", "'" &amp;E228&amp; "'" )&amp; ",   "&amp;IF(ISBLANK(D228), "NULL",TEXT(SUBSTITUTE(D228, "%", "") * 10, "0.0"))&amp;",  TO_DATE('"&amp;TEXT(F228,"DD/MM/AAAA")&amp;"', 'DD/MM/YYYY'));"</f>
        <v>INSERT INTO Operacao (idOperacao, designacaoOperacaoAgricola, designacaoUnidade, quantidade, dataOperacao) VALUES (399, 'Monda', 'ha',   5.0,  TO_DATE('08/08/Tuesday', 'DD/MM/YYYY'));</v>
      </c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O228" s="90" t="str">
        <f xml:space="preserve"> "INSERT INTO " &amp;$AP$178&amp; " (idOperacao, nomeParcela, dataInicial, nomeComum, variedade) VALUES (" &amp;G228&amp; ", '" &amp;A228&amp; "', TO_DATE('"&amp;TEXT(H228,"DD/MM/AAAA")&amp;"', 'DD/MM/YYYY'), '"  &amp;INDEX($L$149:$L$173,MATCH(C228,$K$149:$K$173,0))&amp; "', '" &amp;UPPER(INDEX($M$149:$M$173,MATCH(C228,$K$149:$K$173,0)))&amp;  "' );"</f>
        <v>INSERT INTO OperacaoCultura (idOperacao, nomeParcela, dataInicial, nomeComum, variedade) VALUES (399, 'Campo Novo', TO_DATE('05/07/Wednesday', 'DD/MM/YYYY'), 'Cenoura', 'DANVERS HALF LONG' );</v>
      </c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</row>
    <row r="229" spans="1:74">
      <c r="A229" s="122" t="s">
        <v>317</v>
      </c>
      <c r="B229" s="117" t="s">
        <v>400</v>
      </c>
      <c r="C229" s="128" t="s">
        <v>249</v>
      </c>
      <c r="D229" s="117">
        <v>0.5</v>
      </c>
      <c r="E229" s="128" t="s">
        <v>216</v>
      </c>
      <c r="F229" s="118">
        <v>45054</v>
      </c>
      <c r="G229" s="131">
        <f>G228 + 1</f>
        <v>400</v>
      </c>
      <c r="H229" s="132" cm="1">
        <f t="array" ref="H229">INDEX($M$135:$M$145,MATCH((A229)&amp;(C229),($K$135:$K$145)&amp;($L$135:$L$145),0))</f>
        <v>45112</v>
      </c>
      <c r="S229" s="10" t="str">
        <f t="shared" ref="S229:S231" si="40" xml:space="preserve"> "INSERT INTO " &amp;$U$134&amp; " (idOperacao, designacaoOperacaoAgricola, designacaoUnidade, quantidade, dataOperacao) VALUES (" &amp;G229&amp; ", '" &amp;B229&amp; "', " &amp;IF(ISBLANK(E229), "null", "'" &amp;E229&amp; "'" )&amp; ",   "&amp;IF(ISBLANK(D229), "NULL",TEXT(SUBSTITUTE(D229, "%", "") * 10, "0.0"))&amp;",  TO_DATE('"&amp;TEXT(F229,"DD/MM/AAAA")&amp;"', 'DD/MM/YYYY'));"</f>
        <v>INSERT INTO Operacao (idOperacao, designacaoOperacaoAgricola, designacaoUnidade, quantidade, dataOperacao) VALUES (400, 'Monda', 'ha',   5.0,  TO_DATE('08/05/Monday', 'DD/MM/YYYY'));</v>
      </c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O229" s="90" t="str">
        <f t="shared" ref="AO229:AO231" si="41" xml:space="preserve"> "INSERT INTO " &amp;$AP$178&amp; " (idOperacao, nomeParcela, dataInicial, nomeComum, variedade) VALUES (" &amp;G229&amp; ", '" &amp;A229&amp; "', TO_DATE('"&amp;TEXT(H229,"DD/MM/AAAA")&amp;"', 'DD/MM/YYYY'), '"  &amp;INDEX($L$149:$L$173,MATCH(C229,$K$149:$K$173,0))&amp; "', '" &amp;UPPER(INDEX($M$149:$M$173,MATCH(C229,$K$149:$K$173,0)))&amp;  "' );"</f>
        <v>INSERT INTO OperacaoCultura (idOperacao, nomeParcela, dataInicial, nomeComum, variedade) VALUES (400, 'Campo Novo', TO_DATE('05/07/Wednesday', 'DD/MM/YYYY'), 'Cenoura', 'DANVERS HALF LONG' );</v>
      </c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</row>
    <row r="230" spans="1:74">
      <c r="A230" s="122" t="s">
        <v>317</v>
      </c>
      <c r="B230" s="117" t="s">
        <v>400</v>
      </c>
      <c r="C230" s="128" t="s">
        <v>268</v>
      </c>
      <c r="D230" s="117">
        <v>0.6</v>
      </c>
      <c r="E230" s="128" t="s">
        <v>216</v>
      </c>
      <c r="F230" s="118">
        <v>45066</v>
      </c>
      <c r="G230" s="131">
        <f t="shared" ref="G230:G231" si="42">G229 + 1</f>
        <v>401</v>
      </c>
      <c r="H230" s="132" cm="1">
        <f t="array" ref="H230">INDEX($M$135:$M$145,MATCH((A230)&amp;(C230),($K$135:$K$145)&amp;($L$135:$L$145),0))</f>
        <v>45022</v>
      </c>
      <c r="S230" s="10" t="str">
        <f t="shared" si="40"/>
        <v>INSERT INTO Operacao (idOperacao, designacaoOperacaoAgricola, designacaoUnidade, quantidade, dataOperacao) VALUES (401, 'Monda', 'ha',   6.0,  TO_DATE('20/05/Saturday', 'DD/MM/YYYY'));</v>
      </c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O230" s="90" t="str">
        <f t="shared" si="41"/>
        <v>INSERT INTO OperacaoCultura (idOperacao, nomeParcela, dataInicial, nomeComum, variedade) VALUES (401, 'Campo Novo', TO_DATE('06/04/Thursday', 'DD/MM/YYYY'), 'Abóbora Manteiga', 'BUTTERNUT' );</v>
      </c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</row>
    <row r="231" spans="1:74">
      <c r="A231" s="122" t="s">
        <v>317</v>
      </c>
      <c r="B231" s="117" t="s">
        <v>400</v>
      </c>
      <c r="C231" s="128" t="s">
        <v>268</v>
      </c>
      <c r="D231" s="117">
        <v>0.6</v>
      </c>
      <c r="E231" s="128" t="s">
        <v>216</v>
      </c>
      <c r="F231" s="118">
        <v>45097</v>
      </c>
      <c r="G231" s="131">
        <f t="shared" si="42"/>
        <v>402</v>
      </c>
      <c r="H231" s="132" cm="1">
        <f t="array" ref="H231">INDEX($M$135:$M$145,MATCH((A231)&amp;(C231),($K$135:$K$145)&amp;($L$135:$L$145),0))</f>
        <v>45022</v>
      </c>
      <c r="S231" s="10" t="str">
        <f t="shared" si="40"/>
        <v>INSERT INTO Operacao (idOperacao, designacaoOperacaoAgricola, designacaoUnidade, quantidade, dataOperacao) VALUES (402, 'Monda', 'ha',   6.0,  TO_DATE('20/06/Tuesday', 'DD/MM/YYYY'));</v>
      </c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O231" s="90" t="str">
        <f t="shared" si="41"/>
        <v>INSERT INTO OperacaoCultura (idOperacao, nomeParcela, dataInicial, nomeComum, variedade) VALUES (402, 'Campo Novo', TO_DATE('06/04/Thursday', 'DD/MM/YYYY'), 'Abóbora Manteiga', 'BUTTERNUT' );</v>
      </c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</row>
    <row r="236" spans="1:74">
      <c r="A236" s="126" t="s">
        <v>343</v>
      </c>
      <c r="B236" s="126" t="s">
        <v>372</v>
      </c>
      <c r="C236" s="126" t="s">
        <v>373</v>
      </c>
      <c r="D236" s="126" t="s">
        <v>340</v>
      </c>
      <c r="E236" s="126" t="s">
        <v>375</v>
      </c>
      <c r="F236" s="131" t="s">
        <v>285</v>
      </c>
      <c r="S236" s="9" t="s">
        <v>8</v>
      </c>
      <c r="T236" s="9" t="s">
        <v>9</v>
      </c>
      <c r="U236" s="9" t="s">
        <v>287</v>
      </c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BI236" s="93" t="s">
        <v>8</v>
      </c>
      <c r="BJ236" s="93" t="s">
        <v>9</v>
      </c>
      <c r="BK236" s="93" t="s">
        <v>295</v>
      </c>
      <c r="BL236" s="93"/>
      <c r="BM236" s="93"/>
      <c r="BN236" s="93"/>
      <c r="BO236" s="93"/>
      <c r="BP236" s="93"/>
      <c r="BQ236" s="93"/>
      <c r="BR236" s="93"/>
      <c r="BS236" s="93"/>
      <c r="BT236" s="93"/>
      <c r="BU236" s="93"/>
      <c r="BV236" s="93"/>
    </row>
    <row r="237" spans="1:74">
      <c r="A237" s="122" t="s">
        <v>317</v>
      </c>
      <c r="B237" s="117" t="s">
        <v>401</v>
      </c>
      <c r="C237" s="117">
        <v>0.5</v>
      </c>
      <c r="D237" s="128" t="s">
        <v>216</v>
      </c>
      <c r="E237" s="118">
        <v>45111</v>
      </c>
      <c r="F237" s="131">
        <f>G231 + 1</f>
        <v>403</v>
      </c>
      <c r="S237" s="10" t="str">
        <f xml:space="preserve"> "INSERT INTO " &amp;$U$66&amp; " (idOperacao, designacaoOperacaoAgricola, designacaoUnidade, quantidade, dataOperacao) VALUES (" &amp;F237&amp; ", '" &amp;B237&amp; "', " &amp;IF(ISBLANK(D237), "NULL", "'" &amp;D237&amp; "'" )&amp; ",  "&amp;IF(ISBLANK(C237), "NULL",TEXT(SUBSTITUTE(C237, "%", "") * 10, "0.0"))&amp;",  TO_DATE('"&amp;TEXT(E237,"DD/MM/AAAA")&amp;"', 'DD/MM/YYYY'));"</f>
        <v>INSERT INTO Operacao (idOperacao, designacaoOperacaoAgricola, designacaoUnidade, quantidade, dataOperacao) VALUES (403, 'Mobilização do solo', 'ha',  5.0,  TO_DATE('04/07/Tuesday', 'DD/MM/YYYY'));</v>
      </c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BI237" s="90" t="str">
        <f xml:space="preserve"> "INSERT INTO " &amp;$BL$66&amp; " (idOperacao, nomeParcela) VALUES (" &amp;F237&amp; ", '" &amp;B237&amp; "');"</f>
        <v>INSERT INTO OperacaoParcela (idOperacao, nomeParcela) VALUES (403, 'Mobilização do solo');</v>
      </c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</row>
    <row r="238" spans="1:74">
      <c r="A238" s="122" t="s">
        <v>317</v>
      </c>
      <c r="B238" s="117" t="s">
        <v>401</v>
      </c>
      <c r="C238" s="117">
        <v>1.2</v>
      </c>
      <c r="D238" s="128" t="s">
        <v>216</v>
      </c>
      <c r="E238" s="118">
        <v>45209</v>
      </c>
      <c r="F238" s="131">
        <f>F237 + 1</f>
        <v>404</v>
      </c>
      <c r="S238" s="10" t="str">
        <f xml:space="preserve"> "INSERT INTO " &amp;$U$66&amp; " (idOperacao, designacaoOperacaoAgricola, designacaoUnidade, quantidade, dataOperacao) VALUES (" &amp;F238&amp; ", '" &amp;B238&amp; "', " &amp;IF(ISBLANK(D238), "NULL", "'" &amp;D238&amp; "'" )&amp; ",  "&amp;IF(ISBLANK(C238), "NULL",TEXT(SUBSTITUTE(C238, "%", "") * 10, "0.0"))&amp;",  TO_DATE('"&amp;TEXT(E238,"DD/MM/AAAA")&amp;"', 'DD/MM/YYYY'));"</f>
        <v>INSERT INTO Operacao (idOperacao, designacaoOperacaoAgricola, designacaoUnidade, quantidade, dataOperacao) VALUES (404, 'Mobilização do solo', 'ha',  12.0,  TO_DATE('10/10/Tuesday', 'DD/MM/YYYY'));</v>
      </c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BI238" s="90" t="str">
        <f xml:space="preserve"> "INSERT INTO " &amp;$BL$66&amp; " (idOperacao, nomeParcela) VALUES (" &amp;F238&amp; ", '" &amp;B238&amp; "');"</f>
        <v>INSERT INTO OperacaoParcela (idOperacao, nomeParcela) VALUES (404, 'Mobilização do solo');</v>
      </c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CDE2-A228-4988-B7B2-7133768763FB}">
  <dimension ref="A1:U101"/>
  <sheetViews>
    <sheetView topLeftCell="A74" zoomScale="77" workbookViewId="0">
      <selection activeCell="A41" activeCellId="1" sqref="A34:A36 A41"/>
    </sheetView>
  </sheetViews>
  <sheetFormatPr defaultRowHeight="14.25"/>
  <sheetData>
    <row r="1" spans="1:21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158</v>
      </c>
      <c r="J1" s="2" t="s">
        <v>160</v>
      </c>
      <c r="K1" s="2" t="s">
        <v>158</v>
      </c>
      <c r="L1" s="2" t="s">
        <v>161</v>
      </c>
      <c r="M1" s="2" t="s">
        <v>158</v>
      </c>
      <c r="O1" s="109" t="s">
        <v>162</v>
      </c>
    </row>
    <row r="2" spans="1:21">
      <c r="A2" t="s">
        <v>402</v>
      </c>
      <c r="B2" t="s">
        <v>403</v>
      </c>
      <c r="C2" t="s">
        <v>196</v>
      </c>
      <c r="D2" t="s">
        <v>404</v>
      </c>
      <c r="E2" t="s">
        <v>405</v>
      </c>
      <c r="F2" t="s">
        <v>404</v>
      </c>
      <c r="G2" s="5">
        <v>0.27</v>
      </c>
      <c r="H2" t="s">
        <v>406</v>
      </c>
      <c r="I2" s="3">
        <v>0.02</v>
      </c>
      <c r="J2" t="s">
        <v>321</v>
      </c>
      <c r="K2" s="4">
        <v>3.5999999999999997E-2</v>
      </c>
      <c r="L2" t="s">
        <v>328</v>
      </c>
      <c r="M2" s="3">
        <v>0.01</v>
      </c>
      <c r="O2" s="108"/>
    </row>
    <row r="3" spans="1:21">
      <c r="A3" t="s">
        <v>407</v>
      </c>
      <c r="B3" t="s">
        <v>173</v>
      </c>
      <c r="C3" t="s">
        <v>408</v>
      </c>
      <c r="D3" t="s">
        <v>175</v>
      </c>
      <c r="E3" t="s">
        <v>181</v>
      </c>
      <c r="F3" t="s">
        <v>409</v>
      </c>
      <c r="G3" s="5">
        <v>0.45</v>
      </c>
      <c r="H3" t="s">
        <v>332</v>
      </c>
      <c r="I3" t="s">
        <v>410</v>
      </c>
      <c r="O3" s="108">
        <v>7</v>
      </c>
    </row>
    <row r="4" spans="1:21">
      <c r="A4" t="s">
        <v>411</v>
      </c>
      <c r="B4" t="s">
        <v>412</v>
      </c>
      <c r="C4" t="s">
        <v>196</v>
      </c>
      <c r="D4" t="s">
        <v>175</v>
      </c>
      <c r="E4" t="s">
        <v>185</v>
      </c>
      <c r="F4" t="s">
        <v>413</v>
      </c>
      <c r="G4" s="5">
        <v>0.35</v>
      </c>
      <c r="I4" s="3"/>
      <c r="K4" s="4"/>
      <c r="O4" s="108">
        <v>7.8</v>
      </c>
    </row>
    <row r="5" spans="1:21">
      <c r="A5" t="s">
        <v>414</v>
      </c>
      <c r="B5" t="s">
        <v>415</v>
      </c>
      <c r="C5" t="s">
        <v>196</v>
      </c>
      <c r="D5" t="s">
        <v>175</v>
      </c>
      <c r="E5" t="s">
        <v>416</v>
      </c>
      <c r="G5" s="5"/>
      <c r="I5" s="4"/>
      <c r="O5" s="108"/>
    </row>
    <row r="6" spans="1:21">
      <c r="A6" t="s">
        <v>417</v>
      </c>
      <c r="B6" t="s">
        <v>415</v>
      </c>
      <c r="C6" t="s">
        <v>196</v>
      </c>
      <c r="D6" t="s">
        <v>175</v>
      </c>
      <c r="E6" t="s">
        <v>181</v>
      </c>
      <c r="F6" t="s">
        <v>418</v>
      </c>
      <c r="G6" s="5">
        <v>0.06</v>
      </c>
      <c r="I6" s="4"/>
      <c r="K6" s="4"/>
      <c r="M6" s="3"/>
      <c r="O6" s="108"/>
    </row>
    <row r="7" spans="1:21">
      <c r="G7" s="5"/>
      <c r="I7" s="3"/>
      <c r="O7" s="108"/>
    </row>
    <row r="8" spans="1:21">
      <c r="G8" s="5"/>
      <c r="I8" s="4"/>
      <c r="O8" s="108"/>
    </row>
    <row r="9" spans="1:21">
      <c r="G9" s="5"/>
      <c r="I9" s="4"/>
      <c r="K9" s="4"/>
      <c r="O9" s="108"/>
    </row>
    <row r="10" spans="1:21">
      <c r="G10" s="4"/>
      <c r="O10" s="108"/>
    </row>
    <row r="11" spans="1:21">
      <c r="G11" s="4"/>
      <c r="O11" s="108"/>
    </row>
    <row r="12" spans="1:21">
      <c r="G12" s="4"/>
      <c r="O12" s="108"/>
    </row>
    <row r="13" spans="1:21">
      <c r="G13" s="3"/>
      <c r="I13" s="4"/>
      <c r="K13" s="4"/>
      <c r="M13" s="3"/>
      <c r="Q13" s="3"/>
      <c r="S13" s="3"/>
      <c r="U13" s="3"/>
    </row>
    <row r="14" spans="1:21">
      <c r="G14" s="3"/>
      <c r="Q14" s="36"/>
    </row>
    <row r="15" spans="1:21">
      <c r="Q15" s="36"/>
    </row>
    <row r="17" spans="1:16">
      <c r="A17" s="7" t="s">
        <v>8</v>
      </c>
      <c r="B17" s="7" t="s">
        <v>9</v>
      </c>
      <c r="C17" s="7" t="s">
        <v>204</v>
      </c>
      <c r="D17" s="7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106"/>
    </row>
    <row r="18" spans="1:16">
      <c r="A18" s="12" t="str">
        <f>"INSERT INTO " &amp;$C$17&amp; "(nomeComercial, idStock, classificacao, estadoMateria, metodoAplicacao, fabricante, pH) VALUES ('" &amp;A2&amp; "', "&amp;IF(Operações!C302=A2,Operações!E302)&amp;", '" &amp;D2&amp; "', '" &amp;C2&amp; "', '" &amp;E2&amp; "', '" &amp;B2&amp; "', " &amp;IF(ISBLANK(O2),"NULL",O2)&amp; ");"</f>
        <v>INSERT INTO FatorProducao(nomeComercial, idStock, classificacao, estadoMateria, metodoAplicacao, fabricante, pH) VALUES ('Tecniferti MOL', FALSE, 'Matéria orgânica', 'Líquido', 'Adubo solo+Adubo foliar', 'Tecniferti', NULL);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6">
      <c r="A19" s="12" t="str">
        <f>"INSERT INTO " &amp;$C$17&amp; "(nomeComercial, idStock, classificacao, estadoMateria, metodoAplicacao, fabricante, pH) VALUES ('" &amp;A3&amp; "', "&amp;IF(Operações!C303='Fator Produção'!A3,Operações!E303)&amp;", '" &amp;D3&amp; "', '" &amp;C3&amp; "', '" &amp;E3&amp; "', '" &amp;B3&amp; "', " &amp;IF(ISBLANK(O3),"NULL",O3)&amp; ");"</f>
        <v>INSERT INTO FatorProducao(nomeComercial, idStock, classificacao, estadoMateria, metodoAplicacao, fabricante, pH) VALUES ('soluSOP 52', 9, 'Adubo', 'Pó molhavel', 'Adubo foliar+Fertirrega', 'K+S', 7);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6">
      <c r="A20" s="12" t="str">
        <f>"INSERT INTO " &amp;$C$17&amp; "(nomeComercial, idStock, classificacao, estadoMateria, metodoAplicacao, fabricante, pH) VALUES ('" &amp;A4&amp; "', "&amp;IF(Operações!C304='Fator Produção'!A4,Operações!E304)&amp;", '" &amp;D4&amp; "', '" &amp;C4&amp; "', '" &amp;E4&amp; "', '" &amp;B4&amp; "', " &amp;IF(ISBLANK(O4),"NULL",O4)&amp; ");"</f>
        <v>INSERT INTO FatorProducao(nomeComercial, idStock, classificacao, estadoMateria, metodoAplicacao, fabricante, pH) VALUES ('Floracal Flow SL', 10, 'Adubo', 'Líquido', 'Adubo foliar', 'Plymag', 7.8);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6">
      <c r="A21" s="12" t="str">
        <f>"INSERT INTO " &amp;$C$17&amp; "(nomeComercial, idStock, classificacao, estadoMateria, metodoAplicacao, fabricante, pH) VALUES ('" &amp;A5&amp; "', "&amp;IF(Operações!C305='Fator Produção'!A5,Operações!E305)&amp;", '" &amp;D5&amp; "', '" &amp;C5&amp; "', '" &amp;E5&amp; "', '" &amp;B5&amp; "', " &amp;IF(ISBLANK(O5),"NULL",O5)&amp; ");"</f>
        <v>INSERT INTO FatorProducao(nomeComercial, idStock, classificacao, estadoMateria, metodoAplicacao, fabricante, pH) VALUES ('Kiplant AllGrip', 11, 'Adubo', 'Líquido', 'Fertirrega', 'Asfertglobal', NULL);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6">
      <c r="A22" s="12" t="str">
        <f>"INSERT INTO " &amp;$C$17&amp; "(nomeComercial, idStock, classificacao, estadoMateria, metodoAplicacao, fabricante, pH) VALUES ('" &amp;A6&amp; "', "&amp;IF(Operações!C306='Fator Produção'!A6,Operações!E306)&amp;", '" &amp;D6&amp; "', '" &amp;C6&amp; "', '" &amp;E6&amp; "', '" &amp;B6&amp; "', " &amp;IF(ISBLANK(O6),"NULL",O6)&amp; ");"</f>
        <v>INSERT INTO FatorProducao(nomeComercial, idStock, classificacao, estadoMateria, metodoAplicacao, fabricante, pH) VALUES ('Cuperdem', 12, 'Adubo', 'Líquido', 'Adubo foliar+Fertirrega', 'Asfertglobal', NULL);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6">
      <c r="A23" s="12" t="str">
        <f>"INSERT INTO " &amp;$C$17&amp; "(nomeComercial, idStock, classificacao, estadoMateria, metodoAplicacao, fabricante, pH) VALUES ('" &amp;A7&amp; "', "&amp;IF(Operações!C307='Fator Produção'!A7,Operações!E307)&amp;", '" &amp;D7&amp; "', '" &amp;C7&amp; "', '" &amp;E7&amp; "', '" &amp;B7&amp; "', " &amp;IF(ISBLANK(O7),"NULL",O7)&amp; ");"</f>
        <v>INSERT INTO FatorProducao(nomeComercial, idStock, classificacao, estadoMateria, metodoAplicacao, fabricante, pH) VALUES ('', 13, '', '', '', '', NULL);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6">
      <c r="A24" s="12" t="str">
        <f>"INSERT INTO " &amp;$C$17&amp; "(nomeComercial, idStock, classificacao, estadoMateria, metodoAplicacao, fabricante, pH) VALUES ('" &amp;A8&amp; "', "&amp;IF(Operações!C308='Fator Produção'!A8,Operações!E308)&amp;", '" &amp;D8&amp; "', '" &amp;C8&amp; "', '" &amp;E8&amp; "', '" &amp;B8&amp; "', " &amp;IF(ISBLANK(O8),"NULL",O8)&amp; ");"</f>
        <v>INSERT INTO FatorProducao(nomeComercial, idStock, classificacao, estadoMateria, metodoAplicacao, fabricante, pH) VALUES ('', 14, '', '', '', '', NULL);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6">
      <c r="A25" s="12" t="str">
        <f>"INSERT INTO " &amp;$C$17&amp; "(nomeComercial, idStock, classificacao, estadoMateria, metodoAplicacao, fabricante, pH) VALUES ('" &amp;A9&amp; "', "&amp;IF(Operações!C309='Fator Produção'!A9,Operações!E309)&amp;", '" &amp;D9&amp; "', '" &amp;C9&amp; "', '" &amp;E9&amp; "', '" &amp;B9&amp; "', " &amp;IF(ISBLANK(O9),"NULL",O9)&amp; ");"</f>
        <v>INSERT INTO FatorProducao(nomeComercial, idStock, classificacao, estadoMateria, metodoAplicacao, fabricante, pH) VALUES ('', 15, '', '', '', '', NULL);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6">
      <c r="A26" s="12" t="str">
        <f>"INSERT INTO " &amp;$C$17&amp; "(nomeComercial, idStock, classificacao, estadoMateria, metodoAplicacao, fabricante, pH) VALUES ('" &amp;A10&amp; "', "&amp;IF(Operações!C310='Fator Produção'!A10,Operações!E310)&amp;", '" &amp;D10&amp; "', '" &amp;C10&amp; "', '" &amp;E10&amp; "', '" &amp;B10&amp; "', " &amp;IF(ISBLANK(O10),"NULL",O10)&amp; ");"</f>
        <v>INSERT INTO FatorProducao(nomeComercial, idStock, classificacao, estadoMateria, metodoAplicacao, fabricante, pH) VALUES ('', 16, '', '', '', '', NULL);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>
      <c r="A27" s="12" t="str">
        <f>"INSERT INTO " &amp;$C$17&amp; "(nomeComercial, idStock, classificacao, estadoMateria, metodoAplicacao, fabricante, pH) VALUES ('" &amp;A11&amp; "', "&amp;IF(Operações!C311='Fator Produção'!A11,Operações!E311)&amp;", '" &amp;D11&amp; "', '" &amp;C11&amp; "', '" &amp;E11&amp; "', '" &amp;B11&amp; "', " &amp;IF(ISBLANK(O11),"NULL",O11)&amp; ");"</f>
        <v>INSERT INTO FatorProducao(nomeComercial, idStock, classificacao, estadoMateria, metodoAplicacao, fabricante, pH) VALUES ('', 17, '', '', '', '', NULL);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6">
      <c r="A28" s="12" t="str">
        <f>"INSERT INTO " &amp;$C$17&amp; "(nomeComercial, idStock, classificacao, estadoMateria, metodoAplicacao, fabricante, pH) VALUES ('" &amp;A12&amp; "', "&amp;IF(Operações!C312='Fator Produção'!A12,Operações!E312)&amp;", '" &amp;D12&amp; "', '" &amp;C12&amp; "', '" &amp;E12&amp; "', '" &amp;B12&amp; "', " &amp;IF(ISBLANK(O12),"NULL",O12)&amp; ");"</f>
        <v>INSERT INTO FatorProducao(nomeComercial, idStock, classificacao, estadoMateria, metodoAplicacao, fabricante, pH) VALUES ('', 18, '', '', '', '', NULL);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31" spans="1:16">
      <c r="O31" s="18"/>
    </row>
    <row r="32" spans="1:16">
      <c r="O32" s="18"/>
      <c r="P32" s="18"/>
    </row>
    <row r="33" spans="1:15">
      <c r="A33" s="26" t="s">
        <v>8</v>
      </c>
      <c r="B33" s="26" t="s">
        <v>9</v>
      </c>
      <c r="C33" s="26" t="s">
        <v>205</v>
      </c>
      <c r="D33" s="26"/>
      <c r="E33" s="26"/>
      <c r="F33" s="27"/>
      <c r="G33" s="26"/>
      <c r="H33" s="26"/>
      <c r="I33" s="26"/>
      <c r="J33" s="26"/>
      <c r="K33" s="26"/>
      <c r="L33" s="26"/>
      <c r="M33" s="26"/>
      <c r="N33" s="26"/>
      <c r="O33" s="106"/>
    </row>
    <row r="34" spans="1:15">
      <c r="A34" s="21" t="str">
        <f xml:space="preserve"> "INSERT INTO " &amp;$C$33&amp; "(formulaQuimica, nomeComercial, designacaoUnidade, quantidade) VALUES ('" &amp;F2&amp; "', '" &amp;A2&amp;"', '%', " &amp;TEXT(SUBSTITUTE(G2, "%", "") * 1000, "0.0")&amp; ");"</f>
        <v>INSERT INTO ConstituicaoQuimica(formulaQuimica, nomeComercial, designacaoUnidade, quantidade) VALUES ('Matéria orgânica', 'Tecniferti MOL', '%', 270.0);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5">
      <c r="A35" s="21" t="str">
        <f xml:space="preserve"> "INSERT INTO " &amp;$C$33&amp; "(formulaQuimica, nomeComercial, designacaoUnidade, quantidade) VALUES ('" &amp;F3&amp; "', '" &amp;A3&amp;"', '%', " &amp;TEXT(SUBSTITUTE(G3, "%", "") * 1000, "0.0")&amp; ");"</f>
        <v>INSERT INTO ConstituicaoQuimica(formulaQuimica, nomeComercial, designacaoUnidade, quantidade) VALUES ('SO3', 'soluSOP 52', '%', 450.0);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5">
      <c r="A36" s="21" t="str">
        <f xml:space="preserve"> "INSERT INTO " &amp;$C$33&amp; "(formulaQuimica, nomeComercial, designacaoUnidade, quantidade) VALUES ('" &amp;F4&amp; "', '" &amp;A4&amp;"', '%', " &amp;TEXT(SUBSTITUTE(G4, "%", "") * 1000, "0.0")&amp; ");"</f>
        <v>INSERT INTO ConstituicaoQuimica(formulaQuimica, nomeComercial, designacaoUnidade, quantidade) VALUES ('CaO', 'Floracal Flow SL', '%', 350.0);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5">
      <c r="A37" s="21" t="e">
        <f xml:space="preserve"> "INSERT INTO " &amp;$C$33&amp; "(formulaQuimica, nomeComercial, designacaoUnidade, quantidade) VALUES ('" &amp;H4&amp; "', '" &amp;A4&amp;"', '%', " &amp;TEXT(SUBSTITUTE(I4, "%", "") * 1000, "0.0")&amp; ");"</f>
        <v>#VALUE!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5">
      <c r="A38" s="21" t="e">
        <f xml:space="preserve"> "INSERT INTO " &amp;$C$33&amp; "(formulaQuimica, nomeComercial, designacaoUnidade, quantidade) VALUES ('" &amp;J4&amp; "', '" &amp;A4&amp;"', '%', " &amp;TEXT(SUBSTITUTE(K4, "%", "") * 1000, "0.0")&amp; ");"</f>
        <v>#VALUE!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5">
      <c r="A39" s="21" t="e">
        <f xml:space="preserve"> "INSERT INTO " &amp;$C$33&amp; "(formulaQuimica, nomeComercial, designacaoUnidade, quantidade) VALUES ('" &amp;F5&amp; "', '" &amp;A5&amp;"', '%', " &amp;TEXT(SUBSTITUTE(G5, "%", "") * 1000, "0.0")&amp; ");"</f>
        <v>#VALUE!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5">
      <c r="A40" s="21" t="e">
        <f xml:space="preserve"> "INSERT INTO " &amp;$C$33&amp; "(formulaQuimica, nomeComercial, designacaoUnidade, quantidade) VALUES ('" &amp;H5&amp; "', '" &amp;A5&amp;"', '%', " &amp;TEXT(SUBSTITUTE(I5, "%", "") * 1000, "0.0")&amp; ");"</f>
        <v>#VALUE!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5">
      <c r="A41" s="21" t="str">
        <f xml:space="preserve"> "INSERT INTO " &amp;$C$33&amp; "(formulaQuimica, nomeComercial, designacaoUnidade, quantidade) VALUES ('" &amp;F6&amp; "', '" &amp;A6&amp;"', '%', " &amp;TEXT(SUBSTITUTE(G6, "%", "") * 1000, "0.0")&amp; ");"</f>
        <v>INSERT INTO ConstituicaoQuimica(formulaQuimica, nomeComercial, designacaoUnidade, quantidade) VALUES ('Cu', 'Cuperdem', '%', 60.0);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5">
      <c r="A42" s="21" t="e">
        <f xml:space="preserve"> "INSERT INTO " &amp;$C$33&amp; "(formulaQuimica, nomeComercial, designacaoUnidade, quantidade) VALUES ('" &amp;H6&amp; "', '" &amp;A6&amp;"', '%', " &amp;TEXT(SUBSTITUTE(I6, "%", "") * 1000, "0.0")&amp; ");"</f>
        <v>#VALUE!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5">
      <c r="A43" s="21" t="e">
        <f xml:space="preserve"> "INSERT INTO " &amp;$C$33&amp; "(formulaQuimica, nomeComercial, designacaoUnidade, quantidade) VALUES ('" &amp;J6&amp; "', '" &amp;A6&amp;"', '%', " &amp;TEXT(SUBSTITUTE(K6, "%", "") * 1000, "0.0")&amp; ");"</f>
        <v>#VALUE!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5">
      <c r="A44" s="21" t="e">
        <f xml:space="preserve"> "INSERT INTO " &amp;$C$33&amp; "(formulaQuimica, nomeComercial, designacaoUnidade, quantidade) VALUES ('" &amp;L6&amp; "', '" &amp;A6&amp;"', '%', " &amp;TEXT(SUBSTITUTE(M6, "%", "") * 1000, "0.0")&amp; ");"</f>
        <v>#VALUE!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>
      <c r="A45" s="21" t="e">
        <f xml:space="preserve"> "INSERT INTO " &amp;$C$33&amp; "(formulaQuimica, nomeComercial, designacaoUnidade, quantidade) VALUES ('" &amp;F7&amp; "', '" &amp;A7&amp;"', '%', " &amp;TEXT(SUBSTITUTE(G7, "%", "") * 1000, "0.0")&amp; ");"</f>
        <v>#VALUE!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>
      <c r="A46" s="21" t="e">
        <f xml:space="preserve"> "INSERT INTO " &amp;$C$33&amp; "(formulaQuimica, nomeComercial, designacaoUnidade, quantidade) VALUES ('" &amp;H7&amp; "', '" &amp;A7&amp;"', '%', " &amp;TEXT(SUBSTITUTE(I7, "%", "") * 1000, "0.0")&amp; ");"</f>
        <v>#VALUE!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>
      <c r="A47" s="21" t="e">
        <f xml:space="preserve"> "INSERT INTO " &amp;$C$33&amp; "(formulaQuimica, nomeComercial, designacaoUnidade, quantidade) VALUES ('" &amp;F8&amp; "', '" &amp;A8&amp;"', '%', " &amp;TEXT(SUBSTITUTE(G8, "%", "") * 1000, "0.0")&amp; ");"</f>
        <v>#VALUE!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>
      <c r="A48" s="21" t="e">
        <f xml:space="preserve"> "INSERT INTO " &amp;$C$33&amp; "(formulaQuimica, nomeComercial, designacaoUnidade, quantidade) VALUES ('" &amp;H8&amp; "', '" &amp;A8&amp;"', '%', " &amp;TEXT(SUBSTITUTE(I8, "%", "") * 1000, "0.0")&amp; ");"</f>
        <v>#VALUE!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>
      <c r="A49" s="21" t="e">
        <f xml:space="preserve"> "INSERT INTO " &amp;$C$33&amp; "(formulaQuimica, nomeComercial, designacaoUnidade, quantidade) VALUES ('" &amp;F9&amp; "', '" &amp;A9&amp;"', '%', " &amp;TEXT(SUBSTITUTE(G9, "%", "") * 1000, "0.0")&amp; ");"</f>
        <v>#VALUE!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>
      <c r="A50" s="21" t="e">
        <f xml:space="preserve"> "INSERT INTO " &amp;$C$33&amp; "(formulaQuimica, nomeComercial, designacaoUnidade, quantidade) VALUES ('" &amp;H9&amp; "', '" &amp;A9&amp;"', '%', " &amp;TEXT(SUBSTITUTE(I9, "%", "") * 1000, "0.0")&amp; ");"</f>
        <v>#VALUE!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>
      <c r="A51" s="21" t="e">
        <f xml:space="preserve"> "INSERT INTO " &amp;$C$33&amp; "(formulaQuimica, nomeComercial, designacaoUnidade, quantidade) VALUES ('" &amp;J9&amp; "', '" &amp;A9&amp;"', '%', " &amp;TEXT(SUBSTITUTE(K9, "%", "") * 1000, "0.0")&amp; ");"</f>
        <v>#VALUE!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1:14">
      <c r="A52" s="21" t="e">
        <f xml:space="preserve"> "INSERT INTO " &amp;$C$33&amp; "(formulaQuimica, nomeComercial, designacaoUnidade, quantidade) VALUES ('" &amp;F10&amp; "', '" &amp;A10&amp;"', '%', " &amp;TEXT(SUBSTITUTE(G10, "%", "") * 1000, "0.0")&amp; ");"</f>
        <v>#VALUE!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>
      <c r="A53" s="21" t="e">
        <f xml:space="preserve"> "INSERT INTO " &amp;$C$33&amp; "(formulaQuimica, nomeComercial, designacaoUnidade, quantidade) VALUES ('" &amp;F11&amp; "', '" &amp;A11&amp;"', '%', " &amp;TEXT(SUBSTITUTE(G11, "%", "") * 1000, "0.0")&amp; ");"</f>
        <v>#VALUE!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14">
      <c r="A54" s="21" t="e">
        <f xml:space="preserve"> "INSERT INTO " &amp;$C$33&amp; "(formulaQuimica, nomeComercial, designacaoUnidade, quantidade) VALUES ('" &amp;F12&amp; "', '" &amp;A12&amp;"', '%', " &amp;TEXT(SUBSTITUTE(G12, "%", "") * 1000, "0.0")&amp; ");"</f>
        <v>#VALUE!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60" spans="1:14">
      <c r="A60" s="33" t="s">
        <v>8</v>
      </c>
      <c r="B60" s="33" t="s">
        <v>206</v>
      </c>
      <c r="C60" s="33" t="s">
        <v>207</v>
      </c>
      <c r="D60" s="33"/>
      <c r="E60" s="33"/>
      <c r="F60" s="33"/>
      <c r="G60" s="33"/>
      <c r="H60" s="33"/>
      <c r="I60" s="33"/>
      <c r="J60" s="106"/>
    </row>
    <row r="61" spans="1:14">
      <c r="A61" s="34" t="str">
        <f xml:space="preserve"> "INSERT INTO " &amp;$C$60&amp; "(classificacao) VALUES ('" &amp;D2&amp; "');"</f>
        <v>INSERT INTO Classificacao(classificacao) VALUES ('Matéria orgânica');</v>
      </c>
      <c r="B61" s="34"/>
      <c r="C61" s="34"/>
      <c r="D61" s="34"/>
      <c r="E61" s="34"/>
      <c r="F61" s="34"/>
      <c r="G61" s="34"/>
      <c r="H61" s="34"/>
      <c r="I61" s="34"/>
    </row>
    <row r="62" spans="1:14">
      <c r="A62" s="34" t="str">
        <f xml:space="preserve"> "INSERT INTO " &amp;$C$60&amp; "(classificacao) VALUES ('" &amp;D4&amp; "');"</f>
        <v>INSERT INTO Classificacao(classificacao) VALUES ('Adubo');</v>
      </c>
      <c r="B62" s="34"/>
      <c r="C62" s="34"/>
      <c r="D62" s="34"/>
      <c r="E62" s="34"/>
      <c r="F62" s="34"/>
      <c r="G62" s="34"/>
      <c r="H62" s="34"/>
      <c r="I62" s="34"/>
    </row>
    <row r="63" spans="1:14">
      <c r="A63" s="34" t="str">
        <f xml:space="preserve"> "INSERT INTO " &amp;$C$60&amp; "(classificacao) VALUES ('" &amp;D8&amp; "');"</f>
        <v>INSERT INTO Classificacao(classificacao) VALUES ('');</v>
      </c>
      <c r="B63" s="34"/>
      <c r="C63" s="34"/>
      <c r="D63" s="34"/>
      <c r="E63" s="34"/>
      <c r="F63" s="34"/>
      <c r="G63" s="34"/>
      <c r="H63" s="34"/>
      <c r="I63" s="34"/>
    </row>
    <row r="68" spans="1:7">
      <c r="A68" s="7" t="s">
        <v>8</v>
      </c>
      <c r="B68" s="7" t="s">
        <v>9</v>
      </c>
      <c r="C68" s="7" t="s">
        <v>208</v>
      </c>
      <c r="D68" s="7"/>
      <c r="E68" s="7"/>
      <c r="F68" s="7"/>
      <c r="G68" s="106"/>
    </row>
    <row r="69" spans="1:7">
      <c r="A69" s="12" t="str">
        <f>"INSERT INTO "&amp;$C$68&amp;"(formulaQuimica) VALUES ('" &amp;F2&amp; "');"</f>
        <v>INSERT INTO ComponenteQuimico(formulaQuimica) VALUES ('Matéria orgânica');</v>
      </c>
      <c r="B69" s="12"/>
      <c r="C69" s="12"/>
      <c r="D69" s="12"/>
      <c r="E69" s="12"/>
      <c r="F69" s="12"/>
    </row>
    <row r="70" spans="1:7">
      <c r="A70" s="12" t="str">
        <f>"INSERT INTO "&amp;$C$68&amp;"(formulaQuimica) VALUES ('" &amp;F3&amp; "');"</f>
        <v>INSERT INTO ComponenteQuimico(formulaQuimica) VALUES ('SO3');</v>
      </c>
      <c r="B70" s="12"/>
      <c r="C70" s="12"/>
      <c r="D70" s="12"/>
      <c r="E70" s="12"/>
      <c r="F70" s="12"/>
    </row>
    <row r="71" spans="1:7">
      <c r="A71" s="12" t="str">
        <f>"INSERT INTO "&amp;$C$68&amp;"(formulaQuimica) VALUES ('" &amp;F4&amp; "');"</f>
        <v>INSERT INTO ComponenteQuimico(formulaQuimica) VALUES ('CaO');</v>
      </c>
      <c r="B71" s="12"/>
      <c r="C71" s="12"/>
      <c r="D71" s="12"/>
      <c r="E71" s="12"/>
      <c r="F71" s="12"/>
    </row>
    <row r="72" spans="1:7">
      <c r="A72" s="12" t="str">
        <f>"INSERT INTO "&amp;$C$68&amp;"(formulaQuimica) VALUES ('" &amp;H4&amp; "');"</f>
        <v>INSERT INTO ComponenteQuimico(formulaQuimica) VALUES ('');</v>
      </c>
      <c r="B72" s="12"/>
      <c r="C72" s="12"/>
      <c r="D72" s="12"/>
      <c r="E72" s="12"/>
      <c r="F72" s="12"/>
    </row>
    <row r="73" spans="1:7">
      <c r="A73" s="12" t="str">
        <f>"INSERT INTO "&amp;$C$68&amp;"(formulaQuimica) VALUES ('" &amp;J6&amp; "');"</f>
        <v>INSERT INTO ComponenteQuimico(formulaQuimica) VALUES ('');</v>
      </c>
      <c r="B73" s="12"/>
      <c r="C73" s="12"/>
      <c r="D73" s="12"/>
      <c r="E73" s="12"/>
      <c r="F73" s="12"/>
    </row>
    <row r="74" spans="1:7">
      <c r="A74" s="12" t="str">
        <f>"INSERT INTO "&amp;$C$68&amp;"(formulaQuimica) VALUES ('" &amp;L6&amp; "');"</f>
        <v>INSERT INTO ComponenteQuimico(formulaQuimica) VALUES ('');</v>
      </c>
      <c r="B74" s="12"/>
      <c r="C74" s="12"/>
      <c r="D74" s="12"/>
      <c r="E74" s="12"/>
      <c r="F74" s="12"/>
    </row>
    <row r="75" spans="1:7">
      <c r="A75" s="12" t="str">
        <f>"INSERT INTO "&amp;$C$68&amp;"(formulaQuimica) VALUES ('" &amp;F8&amp; "');"</f>
        <v>INSERT INTO ComponenteQuimico(formulaQuimica) VALUES ('');</v>
      </c>
      <c r="B75" s="12"/>
      <c r="C75" s="12"/>
      <c r="D75" s="12"/>
      <c r="E75" s="12"/>
      <c r="F75" s="12"/>
    </row>
    <row r="76" spans="1:7">
      <c r="A76" s="12" t="str">
        <f>"INSERT INTO "&amp;$C$68&amp;"(formulaQuimica) VALUES ('" &amp;H8&amp; "');"</f>
        <v>INSERT INTO ComponenteQuimico(formulaQuimica) VALUES ('');</v>
      </c>
      <c r="B76" s="12"/>
      <c r="C76" s="12"/>
      <c r="D76" s="12"/>
      <c r="E76" s="12"/>
      <c r="F76" s="12"/>
    </row>
    <row r="77" spans="1:7">
      <c r="A77" s="12" t="str">
        <f>"INSERT INTO "&amp;$C$68&amp;"(formulaQuimica) VALUES ('" &amp;J9&amp; "');"</f>
        <v>INSERT INTO ComponenteQuimico(formulaQuimica) VALUES ('');</v>
      </c>
      <c r="B77" s="12"/>
      <c r="C77" s="12"/>
      <c r="D77" s="12"/>
      <c r="E77" s="12"/>
      <c r="F77" s="12"/>
    </row>
    <row r="78" spans="1:7">
      <c r="A78" s="12" t="str">
        <f>"INSERT INTO "&amp;$C$68&amp;"(formulaQuimica) VALUES ('" &amp;F10&amp; "');"</f>
        <v>INSERT INTO ComponenteQuimico(formulaQuimica) VALUES ('');</v>
      </c>
      <c r="B78" s="12"/>
      <c r="C78" s="12"/>
      <c r="D78" s="12"/>
      <c r="E78" s="12"/>
      <c r="F78" s="12"/>
    </row>
    <row r="79" spans="1:7">
      <c r="A79" s="12" t="str">
        <f>"INSERT INTO "&amp;$C$68&amp;"(formulaQuimica) VALUES ('" &amp;F11&amp; "');"</f>
        <v>INSERT INTO ComponenteQuimico(formulaQuimica) VALUES ('');</v>
      </c>
      <c r="B79" s="12"/>
      <c r="C79" s="12"/>
      <c r="D79" s="12"/>
      <c r="E79" s="12"/>
      <c r="F79" s="12"/>
    </row>
    <row r="80" spans="1:7">
      <c r="A80" s="12" t="str">
        <f>"INSERT INTO "&amp;$C$68&amp;"(formulaQuimica) VALUES ('" &amp;F12&amp; "');"</f>
        <v>INSERT INTO ComponenteQuimico(formulaQuimica) VALUES ('');</v>
      </c>
      <c r="B80" s="12"/>
      <c r="C80" s="12"/>
      <c r="D80" s="12"/>
      <c r="E80" s="12"/>
      <c r="F80" s="12"/>
    </row>
    <row r="86" spans="1:9">
      <c r="A86" s="7" t="s">
        <v>8</v>
      </c>
      <c r="B86" s="7" t="s">
        <v>9</v>
      </c>
      <c r="C86" s="7" t="s">
        <v>209</v>
      </c>
      <c r="D86" s="7"/>
      <c r="E86" s="25"/>
      <c r="F86" s="7"/>
      <c r="G86" s="7"/>
      <c r="H86" s="106"/>
    </row>
    <row r="87" spans="1:9">
      <c r="A87" s="12" t="str">
        <f>"INSERT INTO " &amp;$C$86&amp; "(metodoAplicacao) VALUES ('"&amp;E2&amp;"');"</f>
        <v>INSERT INTO MetodoAplicacao(metodoAplicacao) VALUES ('Adubo solo+Adubo foliar');</v>
      </c>
      <c r="B87" s="12"/>
      <c r="C87" s="12"/>
      <c r="D87" s="12"/>
      <c r="E87" s="12"/>
      <c r="F87" s="12"/>
      <c r="G87" s="12"/>
    </row>
    <row r="88" spans="1:9">
      <c r="A88" s="12" t="str">
        <f>"INSERT INTO " &amp;$C$86&amp; "(metodoAplicacao) VALUES ('"&amp;E4&amp;"');"</f>
        <v>INSERT INTO MetodoAplicacao(metodoAplicacao) VALUES ('Adubo foliar');</v>
      </c>
      <c r="B88" s="12"/>
      <c r="C88" s="12"/>
      <c r="D88" s="12"/>
      <c r="E88" s="12"/>
      <c r="F88" s="12"/>
      <c r="G88" s="12"/>
    </row>
    <row r="89" spans="1:9">
      <c r="A89" s="12" t="str">
        <f>"INSERT INTO " &amp;$C$86&amp; "(metodoAplicacao) VALUES ('"&amp;E6&amp;"');"</f>
        <v>INSERT INTO MetodoAplicacao(metodoAplicacao) VALUES ('Adubo foliar+Fertirrega');</v>
      </c>
      <c r="B89" s="12"/>
      <c r="C89" s="12"/>
      <c r="D89" s="12"/>
      <c r="E89" s="12"/>
      <c r="F89" s="12"/>
      <c r="G89" s="12"/>
      <c r="I89" s="36"/>
    </row>
    <row r="90" spans="1:9">
      <c r="A90" s="12" t="str">
        <f>"INSERT INTO " &amp;$C$86&amp; "(metodoAplicacao) VALUES ('"&amp;E7&amp;"');"</f>
        <v>INSERT INTO MetodoAplicacao(metodoAplicacao) VALUES ('');</v>
      </c>
      <c r="B90" s="12"/>
      <c r="C90" s="12"/>
      <c r="D90" s="12"/>
      <c r="E90" s="12"/>
      <c r="F90" s="12"/>
      <c r="G90" s="12"/>
      <c r="I90" s="36"/>
    </row>
    <row r="91" spans="1:9">
      <c r="A91" s="12" t="str">
        <f>"INSERT INTO " &amp;$C$86&amp; "(metodoAplicacao) VALUES ('"&amp;E8&amp;"');"</f>
        <v>INSERT INTO MetodoAplicacao(metodoAplicacao) VALUES ('');</v>
      </c>
      <c r="B91" s="12"/>
      <c r="C91" s="12"/>
      <c r="D91" s="12"/>
      <c r="E91" s="12"/>
      <c r="F91" s="12"/>
      <c r="G91" s="12"/>
    </row>
    <row r="92" spans="1:9">
      <c r="A92" s="12" t="str">
        <f>"INSERT INTO " &amp;$C$86&amp; "(metodoAplicacao) VALUES ('"&amp;E11&amp;"');"</f>
        <v>INSERT INTO MetodoAplicacao(metodoAplicacao) VALUES ('');</v>
      </c>
      <c r="B92" s="12"/>
      <c r="C92" s="12"/>
      <c r="D92" s="12"/>
      <c r="E92" s="12"/>
      <c r="F92" s="12"/>
      <c r="G92" s="12"/>
    </row>
    <row r="96" spans="1:9">
      <c r="A96" s="7" t="s">
        <v>8</v>
      </c>
      <c r="B96" s="7" t="s">
        <v>9</v>
      </c>
      <c r="C96" s="7" t="s">
        <v>210</v>
      </c>
      <c r="D96" s="7"/>
      <c r="E96" s="7"/>
      <c r="F96" s="7"/>
      <c r="G96" s="7"/>
      <c r="H96" s="106"/>
    </row>
    <row r="97" spans="1:7">
      <c r="A97" s="12" t="str">
        <f>"INSERT INTO "&amp;$C$96&amp;"(estadoMateria) VALUES ('"&amp;C10&amp;"');"</f>
        <v>INSERT INTO Formulacao(estadoMateria) VALUES ('');</v>
      </c>
      <c r="B97" s="12"/>
      <c r="C97" s="12"/>
      <c r="D97" s="12"/>
      <c r="E97" s="12"/>
      <c r="F97" s="12"/>
      <c r="G97" s="12"/>
    </row>
    <row r="98" spans="1:7">
      <c r="A98" s="12" t="str">
        <f>"INSERT INTO "&amp;$C$96&amp;"(estadoMateria) VALUES ('"&amp;C4&amp;"');"</f>
        <v>INSERT INTO Formulacao(estadoMateria) VALUES ('Líquido');</v>
      </c>
      <c r="B98" s="12"/>
      <c r="C98" s="12"/>
      <c r="D98" s="12"/>
      <c r="E98" s="12"/>
      <c r="F98" s="12"/>
      <c r="G98" s="12"/>
    </row>
    <row r="99" spans="1:7">
      <c r="A99" s="12" t="str">
        <f>"INSERT INTO "&amp;$C$96&amp;"(estadoMateria) VALUES ('"&amp;C9&amp;"');"</f>
        <v>INSERT INTO Formulacao(estadoMateria) VALUES ('');</v>
      </c>
      <c r="B99" s="12"/>
      <c r="C99" s="12"/>
      <c r="D99" s="12"/>
      <c r="E99" s="12"/>
      <c r="F99" s="12"/>
      <c r="G99" s="12"/>
    </row>
    <row r="100" spans="1:7">
      <c r="A100" s="12" t="str">
        <f>"INSERT INTO "&amp;$C$96&amp;"(estadoMateria) VALUES ('"&amp;C11&amp;"');"</f>
        <v>INSERT INTO Formulacao(estadoMateria) VALUES ('');</v>
      </c>
      <c r="B100" s="12"/>
      <c r="C100" s="12"/>
      <c r="D100" s="12"/>
      <c r="E100" s="12"/>
      <c r="F100" s="12"/>
      <c r="G100" s="12"/>
    </row>
    <row r="101" spans="1:7">
      <c r="A101" s="12" t="str">
        <f>"INSERT INTO "&amp;$C$96&amp;"(estadoMateria) VALUES ('"&amp;C3&amp;"');"</f>
        <v>INSERT INTO Formulacao(estadoMateria) VALUES ('Pó molhavel');</v>
      </c>
      <c r="B101" s="12"/>
      <c r="C101" s="12"/>
      <c r="D101" s="12"/>
      <c r="E101" s="12"/>
      <c r="F101" s="12"/>
      <c r="G101" s="1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33AB-96FA-4E86-975A-7633ABB50F03}">
  <dimension ref="A1:J35"/>
  <sheetViews>
    <sheetView topLeftCell="A35" zoomScale="20" workbookViewId="0">
      <selection activeCell="D38" sqref="D38"/>
    </sheetView>
  </sheetViews>
  <sheetFormatPr defaultRowHeight="14.25"/>
  <sheetData>
    <row r="1" spans="1:5">
      <c r="A1" t="s">
        <v>419</v>
      </c>
      <c r="B1" t="s">
        <v>420</v>
      </c>
    </row>
    <row r="2" spans="1:5">
      <c r="A2">
        <v>10</v>
      </c>
      <c r="B2" t="s">
        <v>421</v>
      </c>
      <c r="E2">
        <f>IF(COUNTIF($A$2:A2, A2)=1, A2, "")</f>
        <v>10</v>
      </c>
    </row>
    <row r="3" spans="1:5">
      <c r="A3">
        <v>10</v>
      </c>
      <c r="B3" t="s">
        <v>407</v>
      </c>
      <c r="E3" t="str">
        <f>IF(COUNTIF($A$2:A3, A3)=1, A3, "")</f>
        <v/>
      </c>
    </row>
    <row r="4" spans="1:5">
      <c r="A4">
        <v>10</v>
      </c>
      <c r="B4" t="s">
        <v>411</v>
      </c>
      <c r="E4" t="str">
        <f>IF(COUNTIF($A$2:A4, A4)=1, A4, "")</f>
        <v/>
      </c>
    </row>
    <row r="5" spans="1:5">
      <c r="A5">
        <v>11</v>
      </c>
      <c r="B5" t="s">
        <v>402</v>
      </c>
      <c r="E5">
        <f>IF(COUNTIF($A$2:A5, A5)=1, A5, "")</f>
        <v>11</v>
      </c>
    </row>
    <row r="6" spans="1:5">
      <c r="A6">
        <v>11</v>
      </c>
      <c r="B6" t="s">
        <v>414</v>
      </c>
      <c r="E6" t="str">
        <f>IF(COUNTIF($A$2:A6, A6)=1, A6, "")</f>
        <v/>
      </c>
    </row>
    <row r="19" spans="1:10">
      <c r="A19" s="176" t="s">
        <v>422</v>
      </c>
      <c r="B19" s="176"/>
      <c r="C19" s="176"/>
      <c r="D19" s="176"/>
      <c r="E19" s="176"/>
      <c r="F19" s="176"/>
      <c r="G19" s="176"/>
      <c r="H19" s="176"/>
      <c r="I19" s="176"/>
      <c r="J19" s="176"/>
    </row>
    <row r="20" spans="1:10">
      <c r="A20" s="177" t="str">
        <f>"INSERT INTO ReceitaFertirrega(idReceitaFertirrega) VALUES ("&amp;A2&amp; ");"</f>
        <v>INSERT INTO ReceitaFertirrega(idReceitaFertirrega) VALUES (10);</v>
      </c>
      <c r="B20" s="177"/>
      <c r="C20" s="177"/>
      <c r="D20" s="177"/>
      <c r="E20" s="177"/>
      <c r="F20" s="177"/>
      <c r="G20" s="177"/>
      <c r="H20" s="177"/>
      <c r="I20" s="177"/>
      <c r="J20" s="177"/>
    </row>
    <row r="21" spans="1:10">
      <c r="A21" s="177" t="str">
        <f>"INSERT INTO ReceitaFertirrega(idReceitaFertirrega) VALUES ("&amp;A5&amp; ");"</f>
        <v>INSERT INTO ReceitaFertirrega(idReceitaFertirrega) VALUES (11);</v>
      </c>
      <c r="B21" s="177"/>
      <c r="C21" s="177"/>
      <c r="D21" s="177"/>
      <c r="E21" s="177"/>
      <c r="F21" s="177"/>
      <c r="G21" s="177"/>
      <c r="H21" s="177"/>
      <c r="I21" s="177"/>
      <c r="J21" s="177"/>
    </row>
    <row r="30" spans="1:10">
      <c r="A30" s="178" t="s">
        <v>423</v>
      </c>
      <c r="B30" s="178"/>
      <c r="C30" s="178"/>
      <c r="D30" s="178"/>
      <c r="E30" s="178"/>
      <c r="F30" s="178"/>
      <c r="G30" s="178"/>
      <c r="H30" s="178"/>
      <c r="I30" s="178"/>
      <c r="J30" s="178"/>
    </row>
    <row r="31" spans="1:10">
      <c r="A31" s="175" t="str">
        <f>"INSERT INTO CatalogoReceitaFertirrega(idReceitaFertirrega, nomeComercial) VALUES ('" &amp;A2&amp; "', "&amp;B2&amp;");"</f>
        <v>INSERT INTO CatalogoReceitaFertirrega(idReceitaFertirrega, nomeComercial) VALUES ('10', EPSO TOP);</v>
      </c>
      <c r="B31" s="175"/>
      <c r="C31" s="175"/>
      <c r="D31" s="175"/>
      <c r="E31" s="175"/>
      <c r="F31" s="175"/>
      <c r="G31" s="175"/>
      <c r="H31" s="175"/>
      <c r="I31" s="175"/>
      <c r="J31" s="175"/>
    </row>
    <row r="32" spans="1:10">
      <c r="A32" s="175" t="str">
        <f>"INSERT INTO CatalogoReceitaFertirrega(idReceitaFertirrega, nomeComercial) VALUES ('" &amp;A3&amp; "', "&amp;B3&amp;");"</f>
        <v>INSERT INTO CatalogoReceitaFertirrega(idReceitaFertirrega, nomeComercial) VALUES ('10', soluSOP 52);</v>
      </c>
      <c r="B32" s="175"/>
      <c r="C32" s="175"/>
      <c r="D32" s="175"/>
      <c r="E32" s="175"/>
      <c r="F32" s="175"/>
      <c r="G32" s="175"/>
      <c r="H32" s="175"/>
      <c r="I32" s="175"/>
      <c r="J32" s="175"/>
    </row>
    <row r="33" spans="1:10">
      <c r="A33" s="175" t="str">
        <f t="shared" ref="A33:A35" si="0">"INSERT INTO CatalogoReceitaFertirrega(idReceitaFertirrega, nomeComercial) VALUES ('" &amp;A4&amp; "', "&amp;B4&amp;");"</f>
        <v>INSERT INTO CatalogoReceitaFertirrega(idReceitaFertirrega, nomeComercial) VALUES ('10', Floracal Flow SL);</v>
      </c>
      <c r="B33" s="175"/>
      <c r="C33" s="175"/>
      <c r="D33" s="175"/>
      <c r="E33" s="175"/>
      <c r="F33" s="175"/>
      <c r="G33" s="175"/>
      <c r="H33" s="175"/>
      <c r="I33" s="175"/>
      <c r="J33" s="175"/>
    </row>
    <row r="34" spans="1:10">
      <c r="A34" s="175" t="str">
        <f t="shared" si="0"/>
        <v>INSERT INTO CatalogoReceitaFertirrega(idReceitaFertirrega, nomeComercial) VALUES ('11', Tecniferti MOL);</v>
      </c>
      <c r="B34" s="175"/>
      <c r="C34" s="175"/>
      <c r="D34" s="175"/>
      <c r="E34" s="175"/>
      <c r="F34" s="175"/>
      <c r="G34" s="175"/>
      <c r="H34" s="175"/>
      <c r="I34" s="175"/>
      <c r="J34" s="175"/>
    </row>
    <row r="35" spans="1:10">
      <c r="A35" s="175" t="str">
        <f t="shared" si="0"/>
        <v>INSERT INTO CatalogoReceitaFertirrega(idReceitaFertirrega, nomeComercial) VALUES ('11', Kiplant AllGrip);</v>
      </c>
      <c r="B35" s="175"/>
      <c r="C35" s="175"/>
      <c r="D35" s="175"/>
      <c r="E35" s="175"/>
      <c r="F35" s="175"/>
      <c r="G35" s="175"/>
      <c r="H35" s="175"/>
      <c r="I35" s="175"/>
      <c r="J35" s="175"/>
    </row>
  </sheetData>
  <mergeCells count="9">
    <mergeCell ref="A33:J33"/>
    <mergeCell ref="A34:J34"/>
    <mergeCell ref="A35:J35"/>
    <mergeCell ref="A31:J31"/>
    <mergeCell ref="A19:J19"/>
    <mergeCell ref="A20:J20"/>
    <mergeCell ref="A21:J21"/>
    <mergeCell ref="A30:J30"/>
    <mergeCell ref="A32:J3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51C8-DCB2-4A4E-AC05-497EC18A2788}">
  <dimension ref="A1:BM133"/>
  <sheetViews>
    <sheetView tabSelected="1" topLeftCell="L12" zoomScale="76" workbookViewId="0">
      <selection activeCell="AH3" sqref="AH3"/>
    </sheetView>
  </sheetViews>
  <sheetFormatPr defaultRowHeight="14.25"/>
  <cols>
    <col min="1" max="1" width="9.33203125" bestFit="1" customWidth="1"/>
    <col min="4" max="4" width="24" bestFit="1" customWidth="1"/>
    <col min="7" max="7" width="9.33203125" bestFit="1" customWidth="1"/>
    <col min="49" max="49" width="9" bestFit="1" customWidth="1"/>
    <col min="53" max="53" width="10.6640625" bestFit="1" customWidth="1"/>
  </cols>
  <sheetData>
    <row r="1" spans="1:65">
      <c r="A1" t="s">
        <v>234</v>
      </c>
    </row>
    <row r="2" spans="1:65">
      <c r="A2" t="s">
        <v>316</v>
      </c>
      <c r="B2" t="s">
        <v>424</v>
      </c>
      <c r="C2" t="s">
        <v>425</v>
      </c>
      <c r="D2" t="s">
        <v>426</v>
      </c>
      <c r="E2" t="s">
        <v>427</v>
      </c>
      <c r="F2" t="s">
        <v>314</v>
      </c>
      <c r="G2" t="s">
        <v>428</v>
      </c>
      <c r="H2" s="176" t="s">
        <v>287</v>
      </c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Z2" s="175" t="s">
        <v>234</v>
      </c>
      <c r="AA2" s="175"/>
      <c r="AB2" s="175"/>
      <c r="AC2" s="175"/>
      <c r="AD2" s="175"/>
      <c r="AE2" s="175"/>
      <c r="AF2" s="175"/>
      <c r="AH2" s="181" t="s">
        <v>429</v>
      </c>
      <c r="AI2" s="181"/>
      <c r="AJ2" s="181"/>
      <c r="AK2" s="181"/>
      <c r="AL2" s="181"/>
      <c r="AM2" s="181"/>
      <c r="BD2" t="s">
        <v>342</v>
      </c>
      <c r="BE2" t="s">
        <v>430</v>
      </c>
      <c r="BF2" t="s">
        <v>431</v>
      </c>
      <c r="BG2" t="s">
        <v>213</v>
      </c>
      <c r="BH2" t="s">
        <v>259</v>
      </c>
      <c r="BI2" t="s">
        <v>432</v>
      </c>
      <c r="BJ2" t="s">
        <v>433</v>
      </c>
      <c r="BK2" t="s">
        <v>2</v>
      </c>
      <c r="BL2" t="s">
        <v>257</v>
      </c>
      <c r="BM2" t="s">
        <v>431</v>
      </c>
    </row>
    <row r="3" spans="1:65">
      <c r="A3" s="160"/>
      <c r="D3" s="155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7"/>
      <c r="Z3" s="158"/>
      <c r="AA3" s="158"/>
      <c r="AB3" s="12"/>
      <c r="AC3" s="12"/>
      <c r="AD3" s="12"/>
      <c r="AE3" s="12"/>
      <c r="AF3" s="12"/>
      <c r="AH3" s="159"/>
      <c r="AI3" s="11"/>
      <c r="AJ3" s="11"/>
      <c r="AK3" s="11"/>
      <c r="AL3" s="11"/>
      <c r="AM3" s="11"/>
      <c r="AR3" s="171"/>
      <c r="AW3" s="160"/>
      <c r="AY3" s="1"/>
      <c r="BD3">
        <v>10</v>
      </c>
      <c r="BE3" s="171">
        <v>42740</v>
      </c>
      <c r="BF3" t="s">
        <v>434</v>
      </c>
      <c r="BG3" t="s">
        <v>435</v>
      </c>
      <c r="BH3">
        <v>2500</v>
      </c>
      <c r="BI3" t="s">
        <v>218</v>
      </c>
      <c r="BJ3" t="s">
        <v>127</v>
      </c>
      <c r="BK3" t="s">
        <v>136</v>
      </c>
      <c r="BL3" s="1">
        <v>42740</v>
      </c>
      <c r="BM3" t="s">
        <v>434</v>
      </c>
    </row>
    <row r="4" spans="1:65">
      <c r="A4" s="160"/>
      <c r="D4" s="155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7"/>
      <c r="Z4" s="158"/>
      <c r="AA4" s="158"/>
      <c r="AB4" s="12"/>
      <c r="AC4" s="12"/>
      <c r="AD4" s="12"/>
      <c r="AE4" s="12"/>
      <c r="AF4" s="12"/>
      <c r="AH4" s="159"/>
      <c r="AI4" s="11"/>
      <c r="AJ4" s="11"/>
      <c r="AK4" s="11"/>
      <c r="AL4" s="11"/>
      <c r="AM4" s="11"/>
      <c r="AR4" s="171"/>
      <c r="AW4" s="161"/>
      <c r="AY4" s="1"/>
      <c r="BD4">
        <v>10</v>
      </c>
      <c r="BE4" s="171">
        <v>42740</v>
      </c>
      <c r="BF4" t="s">
        <v>434</v>
      </c>
      <c r="BG4" t="s">
        <v>435</v>
      </c>
      <c r="BH4">
        <v>2500</v>
      </c>
      <c r="BI4" t="s">
        <v>218</v>
      </c>
      <c r="BJ4" t="s">
        <v>127</v>
      </c>
      <c r="BK4" t="s">
        <v>349</v>
      </c>
      <c r="BL4" s="1">
        <v>42740</v>
      </c>
      <c r="BM4" t="s">
        <v>434</v>
      </c>
    </row>
    <row r="5" spans="1:65">
      <c r="A5" s="160"/>
      <c r="D5" s="155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7"/>
      <c r="Z5" s="158"/>
      <c r="AA5" s="158"/>
      <c r="AB5" s="12"/>
      <c r="AC5" s="12"/>
      <c r="AD5" s="12"/>
      <c r="AE5" s="12"/>
      <c r="AF5" s="12"/>
      <c r="AH5" s="159"/>
      <c r="AI5" s="11"/>
      <c r="AJ5" s="11"/>
      <c r="AK5" s="11"/>
      <c r="AL5" s="11"/>
      <c r="AM5" s="11"/>
      <c r="AR5" s="171"/>
      <c r="AW5" s="160"/>
      <c r="AY5" s="1"/>
      <c r="BD5">
        <v>11</v>
      </c>
      <c r="BE5" s="171">
        <v>42740</v>
      </c>
      <c r="BF5" t="s">
        <v>434</v>
      </c>
      <c r="BG5" t="s">
        <v>435</v>
      </c>
      <c r="BH5">
        <v>1500</v>
      </c>
      <c r="BI5" t="s">
        <v>218</v>
      </c>
      <c r="BJ5" t="s">
        <v>127</v>
      </c>
      <c r="BK5" t="s">
        <v>351</v>
      </c>
      <c r="BL5" s="1">
        <v>42740</v>
      </c>
      <c r="BM5" t="s">
        <v>434</v>
      </c>
    </row>
    <row r="6" spans="1:65">
      <c r="A6" s="160"/>
      <c r="D6" s="155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7"/>
      <c r="Z6" s="158"/>
      <c r="AA6" s="158"/>
      <c r="AB6" s="12"/>
      <c r="AC6" s="12"/>
      <c r="AD6" s="12"/>
      <c r="AE6" s="12"/>
      <c r="AF6" s="12"/>
      <c r="AH6" s="159"/>
      <c r="AI6" s="11"/>
      <c r="AJ6" s="11"/>
      <c r="AK6" s="11"/>
      <c r="AL6" s="11"/>
      <c r="AM6" s="11"/>
      <c r="AR6" s="171"/>
      <c r="AW6" s="160"/>
      <c r="AY6" s="1"/>
      <c r="BD6" s="111">
        <v>21</v>
      </c>
      <c r="BE6" s="172">
        <v>42740</v>
      </c>
      <c r="BF6" s="111" t="s">
        <v>434</v>
      </c>
      <c r="BG6" s="111" t="s">
        <v>435</v>
      </c>
      <c r="BH6" s="111">
        <v>3500</v>
      </c>
      <c r="BI6" s="111" t="s">
        <v>220</v>
      </c>
      <c r="BJ6" s="111" t="s">
        <v>51</v>
      </c>
      <c r="BK6" s="111" t="s">
        <v>353</v>
      </c>
      <c r="BL6" s="173">
        <v>42740</v>
      </c>
      <c r="BM6" s="111" t="s">
        <v>434</v>
      </c>
    </row>
    <row r="7" spans="1:65">
      <c r="A7" s="160"/>
      <c r="D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7"/>
      <c r="Z7" s="158"/>
      <c r="AA7" s="158"/>
      <c r="AB7" s="12"/>
      <c r="AC7" s="12"/>
      <c r="AD7" s="12"/>
      <c r="AE7" s="12"/>
      <c r="AF7" s="12"/>
      <c r="AH7" s="159"/>
      <c r="AI7" s="11"/>
      <c r="AJ7" s="11"/>
      <c r="AK7" s="11"/>
      <c r="AL7" s="11"/>
      <c r="AM7" s="11"/>
      <c r="AR7" s="171"/>
      <c r="AW7" s="160"/>
      <c r="AY7" s="1"/>
      <c r="BD7" s="111">
        <v>21</v>
      </c>
      <c r="BE7" s="172">
        <v>42740</v>
      </c>
      <c r="BF7" s="111" t="s">
        <v>434</v>
      </c>
      <c r="BG7" s="111" t="s">
        <v>435</v>
      </c>
      <c r="BH7" s="111">
        <v>3500</v>
      </c>
      <c r="BI7" s="111" t="s">
        <v>220</v>
      </c>
      <c r="BJ7" s="111" t="s">
        <v>51</v>
      </c>
      <c r="BK7" s="111" t="s">
        <v>354</v>
      </c>
      <c r="BL7" s="173">
        <v>42740</v>
      </c>
      <c r="BM7" s="111" t="s">
        <v>434</v>
      </c>
    </row>
    <row r="8" spans="1:65">
      <c r="A8" s="160"/>
      <c r="D8" s="155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7"/>
      <c r="Z8" s="158"/>
      <c r="AA8" s="158"/>
      <c r="AB8" s="12"/>
      <c r="AC8" s="12"/>
      <c r="AD8" s="12"/>
      <c r="AE8" s="12"/>
      <c r="AF8" s="12"/>
      <c r="AH8" s="159"/>
      <c r="AI8" s="11"/>
      <c r="AJ8" s="11"/>
      <c r="AK8" s="11"/>
      <c r="AL8" s="11"/>
      <c r="AM8" s="11"/>
      <c r="AR8" s="171"/>
      <c r="AW8" s="160"/>
      <c r="AY8" s="1"/>
      <c r="BD8" s="111">
        <v>21</v>
      </c>
      <c r="BE8" s="172">
        <v>42740</v>
      </c>
      <c r="BF8" s="111" t="s">
        <v>434</v>
      </c>
      <c r="BG8" s="111" t="s">
        <v>435</v>
      </c>
      <c r="BH8" s="111">
        <v>3500</v>
      </c>
      <c r="BI8" s="111" t="s">
        <v>220</v>
      </c>
      <c r="BJ8" s="111" t="s">
        <v>51</v>
      </c>
      <c r="BK8" s="111" t="s">
        <v>355</v>
      </c>
      <c r="BL8" s="173">
        <v>42740</v>
      </c>
      <c r="BM8" s="111" t="s">
        <v>434</v>
      </c>
    </row>
    <row r="9" spans="1:65">
      <c r="A9" s="160"/>
      <c r="D9" s="155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7"/>
      <c r="Z9" s="158"/>
      <c r="AA9" s="158"/>
      <c r="AB9" s="12"/>
      <c r="AC9" s="12"/>
      <c r="AD9" s="12"/>
      <c r="AE9" s="12"/>
      <c r="AF9" s="12"/>
      <c r="AH9" s="159"/>
      <c r="AI9" s="11"/>
      <c r="AJ9" s="11"/>
      <c r="AK9" s="11"/>
      <c r="AL9" s="11"/>
      <c r="AM9" s="11"/>
      <c r="AR9" s="171"/>
      <c r="AW9" s="160"/>
      <c r="AY9" s="1"/>
      <c r="BD9" s="111">
        <v>21</v>
      </c>
      <c r="BE9" s="172">
        <v>42740</v>
      </c>
      <c r="BF9" s="111" t="s">
        <v>434</v>
      </c>
      <c r="BG9" s="111" t="s">
        <v>435</v>
      </c>
      <c r="BH9" s="111">
        <v>3500</v>
      </c>
      <c r="BI9" s="111" t="s">
        <v>220</v>
      </c>
      <c r="BJ9" s="111" t="s">
        <v>51</v>
      </c>
      <c r="BK9" s="111" t="s">
        <v>355</v>
      </c>
      <c r="BL9" s="173">
        <v>43470</v>
      </c>
      <c r="BM9" s="111" t="s">
        <v>434</v>
      </c>
    </row>
    <row r="10" spans="1:65">
      <c r="A10" s="160"/>
      <c r="D10" s="155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7"/>
      <c r="Z10" s="158"/>
      <c r="AA10" s="158"/>
      <c r="AB10" s="12"/>
      <c r="AC10" s="12"/>
      <c r="AD10" s="12"/>
      <c r="AE10" s="12"/>
      <c r="AF10" s="12"/>
      <c r="AH10" s="159"/>
      <c r="AI10" s="11"/>
      <c r="AJ10" s="11"/>
      <c r="AK10" s="11"/>
      <c r="AL10" s="11"/>
      <c r="AM10" s="11"/>
      <c r="AR10" s="171"/>
      <c r="AW10" s="160"/>
      <c r="AY10" s="1"/>
      <c r="BD10" s="111">
        <v>21</v>
      </c>
      <c r="BE10" s="172">
        <v>42740</v>
      </c>
      <c r="BF10" s="111" t="s">
        <v>434</v>
      </c>
      <c r="BG10" s="111" t="s">
        <v>435</v>
      </c>
      <c r="BH10" s="111">
        <v>3500</v>
      </c>
      <c r="BI10" s="111" t="s">
        <v>220</v>
      </c>
      <c r="BJ10" s="111" t="s">
        <v>51</v>
      </c>
      <c r="BK10" s="111" t="s">
        <v>356</v>
      </c>
      <c r="BL10" s="173">
        <v>43470</v>
      </c>
      <c r="BM10" s="111" t="s">
        <v>434</v>
      </c>
    </row>
    <row r="11" spans="1:65">
      <c r="A11" s="160"/>
      <c r="D11" s="155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7"/>
      <c r="Z11" s="158"/>
      <c r="AA11" s="158"/>
      <c r="AB11" s="12"/>
      <c r="AC11" s="12"/>
      <c r="AD11" s="12"/>
      <c r="AE11" s="12"/>
      <c r="AF11" s="12"/>
      <c r="AH11" s="159"/>
      <c r="AI11" s="11"/>
      <c r="AJ11" s="11"/>
      <c r="AK11" s="11"/>
      <c r="AL11" s="11"/>
      <c r="AM11" s="11"/>
      <c r="AR11" s="171"/>
      <c r="AW11" s="160"/>
      <c r="AY11" s="1"/>
      <c r="BD11">
        <v>22</v>
      </c>
      <c r="BE11" s="171">
        <v>43470</v>
      </c>
      <c r="BF11" t="s">
        <v>434</v>
      </c>
      <c r="BG11" t="s">
        <v>435</v>
      </c>
      <c r="BH11">
        <v>3500</v>
      </c>
      <c r="BI11" t="s">
        <v>221</v>
      </c>
      <c r="BJ11" t="s">
        <v>51</v>
      </c>
      <c r="BK11" t="s">
        <v>358</v>
      </c>
      <c r="BL11" s="1">
        <v>43470</v>
      </c>
      <c r="BM11" t="s">
        <v>434</v>
      </c>
    </row>
    <row r="12" spans="1:65">
      <c r="A12" s="160"/>
      <c r="D12" s="155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7"/>
      <c r="Z12" s="158"/>
      <c r="AA12" s="158"/>
      <c r="AB12" s="12"/>
      <c r="AC12" s="12"/>
      <c r="AD12" s="12"/>
      <c r="AE12" s="12"/>
      <c r="AF12" s="12"/>
      <c r="AH12" s="159"/>
      <c r="AI12" s="11"/>
      <c r="AJ12" s="11"/>
      <c r="AK12" s="11"/>
      <c r="AL12" s="11"/>
      <c r="AM12" s="11"/>
      <c r="AR12" s="171"/>
      <c r="AW12" s="160"/>
      <c r="AY12" s="1"/>
      <c r="BD12">
        <v>22</v>
      </c>
      <c r="BE12" s="171">
        <v>43470</v>
      </c>
      <c r="BF12" t="s">
        <v>434</v>
      </c>
      <c r="BG12" t="s">
        <v>435</v>
      </c>
      <c r="BH12">
        <v>3500</v>
      </c>
      <c r="BI12" t="s">
        <v>221</v>
      </c>
      <c r="BJ12" t="s">
        <v>51</v>
      </c>
      <c r="BK12" t="s">
        <v>360</v>
      </c>
      <c r="BL12" s="1">
        <v>43470</v>
      </c>
      <c r="BM12" t="s">
        <v>434</v>
      </c>
    </row>
    <row r="13" spans="1:65">
      <c r="A13" s="160"/>
      <c r="D13" s="155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7"/>
      <c r="Z13" s="158"/>
      <c r="AA13" s="158"/>
      <c r="AB13" s="12"/>
      <c r="AC13" s="12"/>
      <c r="AD13" s="12"/>
      <c r="AE13" s="12"/>
      <c r="AF13" s="12"/>
      <c r="AH13" s="159"/>
      <c r="AI13" s="11"/>
      <c r="AJ13" s="11"/>
      <c r="AK13" s="11"/>
      <c r="AL13" s="11"/>
      <c r="AM13" s="11"/>
      <c r="AR13" s="171"/>
      <c r="AW13" s="160"/>
      <c r="AY13" s="1"/>
      <c r="BD13">
        <v>22</v>
      </c>
      <c r="BE13" s="171">
        <v>43470</v>
      </c>
      <c r="BF13" t="s">
        <v>434</v>
      </c>
      <c r="BG13" t="s">
        <v>435</v>
      </c>
      <c r="BH13">
        <v>3500</v>
      </c>
      <c r="BI13" t="s">
        <v>221</v>
      </c>
      <c r="BJ13" t="s">
        <v>51</v>
      </c>
      <c r="BK13" t="s">
        <v>362</v>
      </c>
      <c r="BL13" s="1">
        <v>43470</v>
      </c>
      <c r="BM13" t="s">
        <v>434</v>
      </c>
    </row>
    <row r="14" spans="1:65">
      <c r="A14" s="160"/>
      <c r="D14" s="155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7"/>
      <c r="Z14" s="158"/>
      <c r="AA14" s="158"/>
      <c r="AB14" s="12"/>
      <c r="AC14" s="12"/>
      <c r="AD14" s="12"/>
      <c r="AE14" s="12"/>
      <c r="AF14" s="12"/>
      <c r="AH14" s="159"/>
      <c r="AI14" s="11"/>
      <c r="AJ14" s="11"/>
      <c r="AK14" s="11"/>
      <c r="AL14" s="11"/>
      <c r="AM14" s="11"/>
      <c r="AR14" s="171"/>
      <c r="AW14" s="160"/>
      <c r="AY14" s="1"/>
      <c r="BD14">
        <v>22</v>
      </c>
      <c r="BE14" s="171">
        <v>43470</v>
      </c>
      <c r="BF14" t="s">
        <v>434</v>
      </c>
      <c r="BG14" t="s">
        <v>435</v>
      </c>
      <c r="BH14">
        <v>3500</v>
      </c>
      <c r="BI14" t="s">
        <v>221</v>
      </c>
      <c r="BJ14" t="s">
        <v>51</v>
      </c>
      <c r="BK14" t="s">
        <v>364</v>
      </c>
      <c r="BL14" s="1">
        <v>43470</v>
      </c>
      <c r="BM14" t="s">
        <v>434</v>
      </c>
    </row>
    <row r="15" spans="1:65">
      <c r="A15" s="160"/>
      <c r="D15" s="155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7"/>
      <c r="Z15" s="158"/>
      <c r="AA15" s="158"/>
      <c r="AB15" s="12"/>
      <c r="AC15" s="12"/>
      <c r="AD15" s="12"/>
      <c r="AE15" s="12"/>
      <c r="AF15" s="12"/>
      <c r="AH15" s="159"/>
      <c r="AI15" s="11"/>
      <c r="AJ15" s="11"/>
      <c r="AK15" s="11"/>
      <c r="AL15" s="11"/>
      <c r="AM15" s="11"/>
      <c r="AR15" s="171"/>
      <c r="AW15" s="160"/>
      <c r="AY15" s="1"/>
      <c r="BD15">
        <v>22</v>
      </c>
      <c r="BE15" s="171">
        <v>43470</v>
      </c>
      <c r="BF15" t="s">
        <v>434</v>
      </c>
      <c r="BG15" t="s">
        <v>435</v>
      </c>
      <c r="BH15">
        <v>3500</v>
      </c>
      <c r="BI15" t="s">
        <v>221</v>
      </c>
      <c r="BJ15" t="s">
        <v>51</v>
      </c>
      <c r="BK15" t="s">
        <v>366</v>
      </c>
      <c r="BL15" s="1">
        <v>43470</v>
      </c>
      <c r="BM15" t="s">
        <v>434</v>
      </c>
    </row>
    <row r="16" spans="1:65">
      <c r="A16" s="160"/>
      <c r="D16" s="155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7"/>
      <c r="Z16" s="158"/>
      <c r="AA16" s="158"/>
      <c r="AB16" s="12"/>
      <c r="AC16" s="12"/>
      <c r="AD16" s="12"/>
      <c r="AE16" s="12"/>
      <c r="AF16" s="12"/>
      <c r="AH16" s="159"/>
      <c r="AI16" s="11"/>
      <c r="AJ16" s="11"/>
      <c r="AK16" s="11"/>
      <c r="AL16" s="11"/>
      <c r="AM16" s="11"/>
      <c r="AR16" s="171"/>
      <c r="AW16" s="160"/>
      <c r="AY16" s="1"/>
      <c r="BD16">
        <v>41</v>
      </c>
      <c r="BE16" s="171">
        <v>44930</v>
      </c>
      <c r="BF16" s="1">
        <v>45209</v>
      </c>
      <c r="BG16" t="s">
        <v>435</v>
      </c>
      <c r="BH16">
        <v>2500</v>
      </c>
      <c r="BI16" t="s">
        <v>317</v>
      </c>
      <c r="BJ16" t="s">
        <v>100</v>
      </c>
      <c r="BK16" t="s">
        <v>436</v>
      </c>
      <c r="BL16" s="1">
        <v>45050</v>
      </c>
      <c r="BM16" t="s">
        <v>437</v>
      </c>
    </row>
    <row r="17" spans="1:65">
      <c r="A17" s="160"/>
      <c r="D17" s="155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7"/>
      <c r="Z17" s="158"/>
      <c r="AA17" s="158"/>
      <c r="AB17" s="12"/>
      <c r="AC17" s="12"/>
      <c r="AD17" s="12"/>
      <c r="AE17" s="12"/>
      <c r="AF17" s="12"/>
      <c r="AH17" s="159"/>
      <c r="AI17" s="11"/>
      <c r="AJ17" s="11"/>
      <c r="AK17" s="11"/>
      <c r="AL17" s="11"/>
      <c r="AM17" s="11"/>
      <c r="AR17" s="171"/>
      <c r="AW17" s="160"/>
      <c r="AY17" s="1"/>
      <c r="BD17">
        <v>41</v>
      </c>
      <c r="BE17" s="171">
        <v>44930</v>
      </c>
      <c r="BF17" s="1">
        <v>45209</v>
      </c>
      <c r="BG17" t="s">
        <v>435</v>
      </c>
      <c r="BH17">
        <v>2500</v>
      </c>
      <c r="BI17" t="s">
        <v>317</v>
      </c>
      <c r="BJ17" t="s">
        <v>100</v>
      </c>
      <c r="BK17" t="s">
        <v>105</v>
      </c>
      <c r="BL17" s="1">
        <v>45050</v>
      </c>
      <c r="BM17" s="1">
        <v>45148</v>
      </c>
    </row>
    <row r="18" spans="1:65">
      <c r="A18" s="160" t="str">
        <f t="shared" ref="A18:A34" si="0">TEXT(AW18, "MM/DD/YYYY")</f>
        <v>17/06/2023</v>
      </c>
      <c r="B18">
        <v>10</v>
      </c>
      <c r="C18">
        <v>30</v>
      </c>
      <c r="D18" t="str">
        <f>TEXT(D35, "HH:MM")</f>
        <v>05:00</v>
      </c>
      <c r="E18" t="s">
        <v>218</v>
      </c>
      <c r="F18">
        <v>3</v>
      </c>
      <c r="G18">
        <f>(404 + ROW(A1))</f>
        <v>405</v>
      </c>
      <c r="H18" s="156" t="str">
        <f>"INSERT INTO Operacao (idOperacao, designacaoOperacaoAgricola, designacaoUnidade, idEstadoOperacao, quantidade, dataOperacao) VALUES ("&amp;G18&amp;",'Rega',min,1,"&amp;C18&amp;",TO_DATE('"&amp;A18&amp;" - "&amp;D18&amp;"', 'DD/MM/YYYY - HH24:MI'));"</f>
        <v>INSERT INTO Operacao (idOperacao, designacaoOperacaoAgricola, designacaoUnidade, idEstadoOperacao, quantidade, dataOperacao) VALUES (405,'Rega',min,1,30,TO_DATE('17/06/2023 - 05:00', 'DD/MM/YYYY - HH24:MI'));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Z18" s="158" t="str">
        <f>"INSERT INTO Rega (idOperacao, designacaoSetor) VALUES ("&amp;G18&amp;","&amp;B18&amp;");"</f>
        <v>INSERT INTO Rega (idOperacao, designacaoSetor) VALUES (405,10);</v>
      </c>
      <c r="AA18" s="12"/>
      <c r="AB18" s="12"/>
      <c r="AC18" s="12"/>
      <c r="AD18" s="12"/>
      <c r="AE18" s="12"/>
      <c r="AF18" s="12"/>
      <c r="AH18" s="159"/>
      <c r="AI18" s="11"/>
      <c r="AJ18" s="11"/>
      <c r="AK18" s="11"/>
      <c r="AL18" s="11"/>
      <c r="AM18" s="11"/>
      <c r="AR18" s="171"/>
      <c r="AW18" s="160" t="s">
        <v>438</v>
      </c>
      <c r="AY18" s="1"/>
      <c r="BD18">
        <v>42</v>
      </c>
      <c r="BE18" s="171">
        <v>44930</v>
      </c>
      <c r="BF18" s="1">
        <v>45209</v>
      </c>
      <c r="BG18" t="s">
        <v>435</v>
      </c>
      <c r="BH18">
        <v>3500</v>
      </c>
      <c r="BI18" t="s">
        <v>317</v>
      </c>
      <c r="BJ18" t="s">
        <v>276</v>
      </c>
      <c r="BK18" t="s">
        <v>439</v>
      </c>
      <c r="BL18" s="1">
        <v>45081</v>
      </c>
      <c r="BM18" s="1">
        <v>45208</v>
      </c>
    </row>
    <row r="19" spans="1:65">
      <c r="A19" s="160" t="str">
        <f t="shared" si="0"/>
        <v>17/07/2023</v>
      </c>
      <c r="B19">
        <v>10</v>
      </c>
      <c r="C19">
        <v>30</v>
      </c>
      <c r="D19" t="str">
        <f t="shared" ref="D19:D34" si="1">TEXT(D36, "HH:MM")</f>
        <v>05:00</v>
      </c>
      <c r="E19" t="s">
        <v>218</v>
      </c>
      <c r="F19">
        <v>3</v>
      </c>
      <c r="G19">
        <f t="shared" ref="G19:G34" si="2">(404 + ROW(A2))</f>
        <v>406</v>
      </c>
      <c r="H19" s="156" t="str">
        <f t="shared" ref="H19:H34" si="3">"INSERT INTO Operacao (idOperacao, designacaoOperacaoAgricola, designacaoUnidade, idEstadoOperacao, quantidade, dataOperacao) VALUES ("&amp;G19&amp;",'Rega',min,1,"&amp;C19&amp;",TO_DATE('"&amp;A19&amp;" - "&amp;D19&amp;"', 'DD/MM/YYYY - HH24:MI'));"</f>
        <v>INSERT INTO Operacao (idOperacao, designacaoOperacaoAgricola, designacaoUnidade, idEstadoOperacao, quantidade, dataOperacao) VALUES (406,'Rega',min,1,30,TO_DATE('17/07/2023 - 05:00', 'DD/MM/YYYY - HH24:MI'));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Z19" s="158" t="str">
        <f t="shared" ref="Z19:Z34" si="4">"INSERT INTO Rega (idOperacao, designacaoSetor) VALUES ("&amp;G19&amp;","&amp;B19&amp;");"</f>
        <v>INSERT INTO Rega (idOperacao, designacaoSetor) VALUES (406,10);</v>
      </c>
      <c r="AA19" s="12"/>
      <c r="AB19" s="12"/>
      <c r="AC19" s="12"/>
      <c r="AD19" s="12"/>
      <c r="AE19" s="12"/>
      <c r="AF19" s="12"/>
      <c r="AH19" s="159"/>
      <c r="AI19" s="11"/>
      <c r="AJ19" s="11"/>
      <c r="AK19" s="11"/>
      <c r="AL19" s="11"/>
      <c r="AM19" s="11"/>
      <c r="AR19" s="171"/>
      <c r="AW19" s="160" t="s">
        <v>440</v>
      </c>
      <c r="AY19" s="1"/>
    </row>
    <row r="20" spans="1:65">
      <c r="A20" s="160" t="str">
        <f t="shared" si="0"/>
        <v>17/08/2023</v>
      </c>
      <c r="B20">
        <v>10</v>
      </c>
      <c r="C20">
        <v>60</v>
      </c>
      <c r="D20" t="str">
        <f t="shared" si="1"/>
        <v>05:00</v>
      </c>
      <c r="E20" t="s">
        <v>218</v>
      </c>
      <c r="F20">
        <v>3</v>
      </c>
      <c r="G20">
        <f t="shared" si="2"/>
        <v>407</v>
      </c>
      <c r="H20" s="156" t="str">
        <f t="shared" si="3"/>
        <v>INSERT INTO Operacao (idOperacao, designacaoOperacaoAgricola, designacaoUnidade, idEstadoOperacao, quantidade, dataOperacao) VALUES (407,'Rega',min,1,60,TO_DATE('17/08/2023 - 05:00', 'DD/MM/YYYY - HH24:MI'));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Z20" s="158" t="str">
        <f t="shared" si="4"/>
        <v>INSERT INTO Rega (idOperacao, designacaoSetor) VALUES (407,10);</v>
      </c>
      <c r="AA20" s="12"/>
      <c r="AB20" s="12"/>
      <c r="AC20" s="12"/>
      <c r="AD20" s="12"/>
      <c r="AE20" s="12"/>
      <c r="AF20" s="12"/>
      <c r="AH20" s="159"/>
      <c r="AI20" s="11"/>
      <c r="AJ20" s="11"/>
      <c r="AK20" s="11"/>
      <c r="AL20" s="11"/>
      <c r="AM20" s="11"/>
      <c r="AR20" s="171"/>
      <c r="AW20" s="160" t="s">
        <v>441</v>
      </c>
      <c r="AY20" s="1"/>
    </row>
    <row r="21" spans="1:65">
      <c r="A21" s="160" t="str">
        <f t="shared" si="0"/>
        <v>04/09/2023</v>
      </c>
      <c r="B21">
        <v>10</v>
      </c>
      <c r="C21">
        <v>120</v>
      </c>
      <c r="D21" t="str">
        <f t="shared" si="1"/>
        <v>06:00</v>
      </c>
      <c r="E21" t="s">
        <v>218</v>
      </c>
      <c r="F21">
        <v>3</v>
      </c>
      <c r="G21">
        <f t="shared" si="2"/>
        <v>408</v>
      </c>
      <c r="H21" s="156" t="str">
        <f t="shared" si="3"/>
        <v>INSERT INTO Operacao (idOperacao, designacaoOperacaoAgricola, designacaoUnidade, idEstadoOperacao, quantidade, dataOperacao) VALUES (408,'Rega',min,1,120,TO_DATE('04/09/2023 - 06:00', 'DD/MM/YYYY - HH24:MI'));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Z21" s="158" t="str">
        <f t="shared" si="4"/>
        <v>INSERT INTO Rega (idOperacao, designacaoSetor) VALUES (408,10);</v>
      </c>
      <c r="AA21" s="12"/>
      <c r="AB21" s="12"/>
      <c r="AC21" s="12"/>
      <c r="AD21" s="12"/>
      <c r="AE21" s="12"/>
      <c r="AF21" s="12"/>
      <c r="AH21" s="159"/>
      <c r="AI21" s="11"/>
      <c r="AJ21" s="11"/>
      <c r="AK21" s="11"/>
      <c r="AL21" s="11"/>
      <c r="AM21" s="11"/>
      <c r="AR21" s="171"/>
      <c r="AS21" s="1"/>
      <c r="AW21" s="160">
        <v>45025</v>
      </c>
      <c r="AY21" s="1"/>
    </row>
    <row r="22" spans="1:65">
      <c r="A22" s="160" t="str">
        <f t="shared" si="0"/>
        <v>18/09/2023</v>
      </c>
      <c r="B22">
        <v>10</v>
      </c>
      <c r="C22">
        <v>30</v>
      </c>
      <c r="D22" t="str">
        <f t="shared" si="1"/>
        <v>05:00</v>
      </c>
      <c r="E22" t="s">
        <v>218</v>
      </c>
      <c r="F22">
        <v>3</v>
      </c>
      <c r="G22">
        <f t="shared" si="2"/>
        <v>409</v>
      </c>
      <c r="H22" s="156" t="str">
        <f t="shared" si="3"/>
        <v>INSERT INTO Operacao (idOperacao, designacaoOperacaoAgricola, designacaoUnidade, idEstadoOperacao, quantidade, dataOperacao) VALUES (409,'Rega',min,1,30,TO_DATE('18/09/2023 - 05:00', 'DD/MM/YYYY - HH24:MI'));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Z22" s="158" t="str">
        <f t="shared" si="4"/>
        <v>INSERT INTO Rega (idOperacao, designacaoSetor) VALUES (409,10);</v>
      </c>
      <c r="AA22" s="12"/>
      <c r="AB22" s="12"/>
      <c r="AC22" s="12"/>
      <c r="AD22" s="12"/>
      <c r="AE22" s="12"/>
      <c r="AF22" s="12"/>
      <c r="AH22" s="159"/>
      <c r="AI22" s="11"/>
      <c r="AJ22" s="11"/>
      <c r="AK22" s="11"/>
      <c r="AL22" s="11"/>
      <c r="AM22" s="11"/>
      <c r="AR22" s="171"/>
      <c r="AS22" s="1"/>
      <c r="AW22" s="160" t="s">
        <v>442</v>
      </c>
      <c r="AY22" s="1"/>
      <c r="AZ22" s="1"/>
    </row>
    <row r="23" spans="1:65">
      <c r="A23" s="160" t="str">
        <f t="shared" si="0"/>
        <v>02/10/2023</v>
      </c>
      <c r="B23">
        <v>10</v>
      </c>
      <c r="C23">
        <v>60</v>
      </c>
      <c r="D23" t="str">
        <f t="shared" si="1"/>
        <v>06:00</v>
      </c>
      <c r="E23" t="s">
        <v>218</v>
      </c>
      <c r="F23">
        <v>3</v>
      </c>
      <c r="G23">
        <f t="shared" si="2"/>
        <v>410</v>
      </c>
      <c r="H23" s="156" t="str">
        <f t="shared" si="3"/>
        <v>INSERT INTO Operacao (idOperacao, designacaoOperacaoAgricola, designacaoUnidade, idEstadoOperacao, quantidade, dataOperacao) VALUES (410,'Rega',min,1,60,TO_DATE('02/10/2023 - 06:00', 'DD/MM/YYYY - HH24:MI'));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Z23" s="158" t="str">
        <f t="shared" si="4"/>
        <v>INSERT INTO Rega (idOperacao, designacaoSetor) VALUES (410,10);</v>
      </c>
      <c r="AA23" s="12"/>
      <c r="AB23" s="12"/>
      <c r="AC23" s="12"/>
      <c r="AD23" s="12"/>
      <c r="AE23" s="12"/>
      <c r="AF23" s="12"/>
      <c r="AH23" s="159"/>
      <c r="AI23" s="11"/>
      <c r="AJ23" s="11"/>
      <c r="AK23" s="11"/>
      <c r="AL23" s="11"/>
      <c r="AM23" s="11"/>
      <c r="AR23" s="171"/>
      <c r="AS23" s="1"/>
      <c r="AW23" s="160">
        <v>44967</v>
      </c>
      <c r="AY23" s="1"/>
      <c r="AZ23" s="1"/>
    </row>
    <row r="24" spans="1:65">
      <c r="A24" s="160" t="str">
        <f t="shared" si="0"/>
        <v>13/05/2023</v>
      </c>
      <c r="B24">
        <v>22</v>
      </c>
      <c r="C24">
        <v>120</v>
      </c>
      <c r="D24" t="str">
        <f t="shared" si="1"/>
        <v>23:00</v>
      </c>
      <c r="E24" t="s">
        <v>443</v>
      </c>
      <c r="F24">
        <v>1.1000000000000001</v>
      </c>
      <c r="G24">
        <f t="shared" si="2"/>
        <v>411</v>
      </c>
      <c r="H24" s="156" t="str">
        <f t="shared" si="3"/>
        <v>INSERT INTO Operacao (idOperacao, designacaoOperacaoAgricola, designacaoUnidade, idEstadoOperacao, quantidade, dataOperacao) VALUES (411,'Rega',min,1,120,TO_DATE('13/05/2023 - 23:00', 'DD/MM/YYYY - HH24:MI'));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Z24" s="158" t="str">
        <f t="shared" si="4"/>
        <v>INSERT INTO Rega (idOperacao, designacaoSetor) VALUES (411,22);</v>
      </c>
      <c r="AA24" s="12"/>
      <c r="AB24" s="12"/>
      <c r="AC24" s="12"/>
      <c r="AD24" s="12"/>
      <c r="AE24" s="12"/>
      <c r="AF24" s="12"/>
      <c r="AH24" s="159"/>
      <c r="AI24" s="11"/>
      <c r="AJ24" s="11"/>
      <c r="AK24" s="11"/>
      <c r="AL24" s="11"/>
      <c r="AM24" s="11"/>
      <c r="AW24" s="160" t="s">
        <v>444</v>
      </c>
    </row>
    <row r="25" spans="1:65">
      <c r="A25" s="160" t="str">
        <f t="shared" si="0"/>
        <v>02/06/2023</v>
      </c>
      <c r="B25">
        <v>22</v>
      </c>
      <c r="C25">
        <v>120</v>
      </c>
      <c r="D25" t="str">
        <f t="shared" si="1"/>
        <v>23:00</v>
      </c>
      <c r="E25" t="s">
        <v>443</v>
      </c>
      <c r="F25">
        <v>1.1000000000000001</v>
      </c>
      <c r="G25">
        <f t="shared" si="2"/>
        <v>412</v>
      </c>
      <c r="H25" s="156" t="str">
        <f t="shared" si="3"/>
        <v>INSERT INTO Operacao (idOperacao, designacaoOperacaoAgricola, designacaoUnidade, idEstadoOperacao, quantidade, dataOperacao) VALUES (412,'Rega',min,1,120,TO_DATE('02/06/2023 - 23:00', 'DD/MM/YYYY - HH24:MI'));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Z25" s="158" t="str">
        <f t="shared" si="4"/>
        <v>INSERT INTO Rega (idOperacao, designacaoSetor) VALUES (412,22);</v>
      </c>
      <c r="AA25" s="12"/>
      <c r="AB25" s="12"/>
      <c r="AC25" s="12"/>
      <c r="AD25" s="12"/>
      <c r="AE25" s="12"/>
      <c r="AF25" s="12"/>
      <c r="AH25" s="159"/>
      <c r="AI25" s="11"/>
      <c r="AJ25" s="11"/>
      <c r="AK25" s="11"/>
      <c r="AL25" s="11"/>
      <c r="AM25" s="11"/>
      <c r="AW25" s="160">
        <v>44963</v>
      </c>
    </row>
    <row r="26" spans="1:65">
      <c r="A26" s="160" t="str">
        <f t="shared" si="0"/>
        <v>01/07/2023</v>
      </c>
      <c r="B26">
        <v>22</v>
      </c>
      <c r="C26">
        <v>120</v>
      </c>
      <c r="D26" t="str">
        <f t="shared" si="1"/>
        <v>23:00</v>
      </c>
      <c r="E26" t="s">
        <v>443</v>
      </c>
      <c r="F26">
        <v>1.1000000000000001</v>
      </c>
      <c r="G26">
        <f t="shared" si="2"/>
        <v>413</v>
      </c>
      <c r="H26" s="156" t="str">
        <f t="shared" si="3"/>
        <v>INSERT INTO Operacao (idOperacao, designacaoOperacaoAgricola, designacaoUnidade, idEstadoOperacao, quantidade, dataOperacao) VALUES (413,'Rega',min,1,120,TO_DATE('01/07/2023 - 23:00', 'DD/MM/YYYY - HH24:MI'));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Z26" s="158" t="str">
        <f t="shared" si="4"/>
        <v>INSERT INTO Rega (idOperacao, designacaoSetor) VALUES (413,22);</v>
      </c>
      <c r="AA26" s="12"/>
      <c r="AB26" s="12"/>
      <c r="AC26" s="12"/>
      <c r="AD26" s="12"/>
      <c r="AE26" s="12"/>
      <c r="AF26" s="12"/>
      <c r="AH26" s="159"/>
      <c r="AI26" s="11"/>
      <c r="AJ26" s="11"/>
      <c r="AK26" s="11"/>
      <c r="AL26" s="11"/>
      <c r="AM26" s="11"/>
      <c r="AW26" s="160">
        <v>44933</v>
      </c>
    </row>
    <row r="27" spans="1:65">
      <c r="A27" s="160" t="str">
        <f t="shared" si="0"/>
        <v>08/07/2023</v>
      </c>
      <c r="B27">
        <v>22</v>
      </c>
      <c r="C27">
        <v>180</v>
      </c>
      <c r="D27" t="str">
        <f t="shared" si="1"/>
        <v>23:00</v>
      </c>
      <c r="E27" t="s">
        <v>443</v>
      </c>
      <c r="F27">
        <v>1.1000000000000001</v>
      </c>
      <c r="G27">
        <f t="shared" si="2"/>
        <v>414</v>
      </c>
      <c r="H27" s="156" t="str">
        <f t="shared" si="3"/>
        <v>INSERT INTO Operacao (idOperacao, designacaoOperacaoAgricola, designacaoUnidade, idEstadoOperacao, quantidade, dataOperacao) VALUES (414,'Rega',min,1,180,TO_DATE('08/07/2023 - 23:00', 'DD/MM/YYYY - HH24:MI'));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Z27" s="158" t="str">
        <f t="shared" si="4"/>
        <v>INSERT INTO Rega (idOperacao, designacaoSetor) VALUES (414,22);</v>
      </c>
      <c r="AA27" s="12"/>
      <c r="AB27" s="12"/>
      <c r="AC27" s="12"/>
      <c r="AD27" s="12"/>
      <c r="AE27" s="12"/>
      <c r="AF27" s="12"/>
      <c r="AH27" s="159"/>
      <c r="AI27" s="11"/>
      <c r="AJ27" s="11"/>
      <c r="AK27" s="11"/>
      <c r="AL27" s="11"/>
      <c r="AM27" s="11"/>
      <c r="AW27" s="160">
        <v>45145</v>
      </c>
    </row>
    <row r="28" spans="1:65">
      <c r="A28" s="160" t="str">
        <f t="shared" si="0"/>
        <v>22/07/2023</v>
      </c>
      <c r="B28">
        <v>22</v>
      </c>
      <c r="C28">
        <v>180</v>
      </c>
      <c r="D28" t="str">
        <f t="shared" si="1"/>
        <v>23:00</v>
      </c>
      <c r="E28" t="s">
        <v>443</v>
      </c>
      <c r="F28">
        <v>1.1000000000000001</v>
      </c>
      <c r="G28">
        <f t="shared" si="2"/>
        <v>415</v>
      </c>
      <c r="H28" s="156" t="str">
        <f t="shared" si="3"/>
        <v>INSERT INTO Operacao (idOperacao, designacaoOperacaoAgricola, designacaoUnidade, idEstadoOperacao, quantidade, dataOperacao) VALUES (415,'Rega',min,1,180,TO_DATE('22/07/2023 - 23:00', 'DD/MM/YYYY - HH24:MI'));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Z28" s="158" t="str">
        <f t="shared" si="4"/>
        <v>INSERT INTO Rega (idOperacao, designacaoSetor) VALUES (415,22);</v>
      </c>
      <c r="AA28" s="12"/>
      <c r="AB28" s="12"/>
      <c r="AC28" s="12"/>
      <c r="AD28" s="12"/>
      <c r="AE28" s="12"/>
      <c r="AF28" s="12"/>
      <c r="AH28" s="159"/>
      <c r="AI28" s="11"/>
      <c r="AJ28" s="11"/>
      <c r="AK28" s="11"/>
      <c r="AL28" s="11"/>
      <c r="AM28" s="11"/>
      <c r="AW28" s="160" t="s">
        <v>445</v>
      </c>
    </row>
    <row r="29" spans="1:65">
      <c r="A29" s="160" t="str">
        <f t="shared" si="0"/>
        <v>29/07/2023</v>
      </c>
      <c r="B29">
        <v>22</v>
      </c>
      <c r="C29">
        <v>180</v>
      </c>
      <c r="D29" t="str">
        <f t="shared" si="1"/>
        <v>23:00</v>
      </c>
      <c r="E29" t="s">
        <v>443</v>
      </c>
      <c r="F29">
        <v>1.1000000000000001</v>
      </c>
      <c r="G29">
        <f t="shared" si="2"/>
        <v>416</v>
      </c>
      <c r="H29" s="156" t="str">
        <f t="shared" si="3"/>
        <v>INSERT INTO Operacao (idOperacao, designacaoOperacaoAgricola, designacaoUnidade, idEstadoOperacao, quantidade, dataOperacao) VALUES (416,'Rega',min,1,180,TO_DATE('29/07/2023 - 23:00', 'DD/MM/YYYY - HH24:MI'));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Z29" s="158" t="str">
        <f t="shared" si="4"/>
        <v>INSERT INTO Rega (idOperacao, designacaoSetor) VALUES (416,22);</v>
      </c>
      <c r="AA29" s="12"/>
      <c r="AB29" s="12"/>
      <c r="AC29" s="12"/>
      <c r="AD29" s="12"/>
      <c r="AE29" s="12"/>
      <c r="AF29" s="12"/>
      <c r="AH29" s="159"/>
      <c r="AI29" s="11"/>
      <c r="AJ29" s="11"/>
      <c r="AK29" s="11"/>
      <c r="AL29" s="11"/>
      <c r="AM29" s="11"/>
      <c r="AW29" s="160" t="s">
        <v>446</v>
      </c>
    </row>
    <row r="30" spans="1:65">
      <c r="A30" s="160" t="str">
        <f t="shared" si="0"/>
        <v>05/08/2023</v>
      </c>
      <c r="B30">
        <v>22</v>
      </c>
      <c r="C30">
        <v>150</v>
      </c>
      <c r="D30" t="str">
        <f t="shared" si="1"/>
        <v>23:00</v>
      </c>
      <c r="E30" t="s">
        <v>443</v>
      </c>
      <c r="F30">
        <v>1.1000000000000001</v>
      </c>
      <c r="G30">
        <f t="shared" si="2"/>
        <v>417</v>
      </c>
      <c r="H30" s="156" t="str">
        <f t="shared" si="3"/>
        <v>INSERT INTO Operacao (idOperacao, designacaoOperacaoAgricola, designacaoUnidade, idEstadoOperacao, quantidade, dataOperacao) VALUES (417,'Rega',min,1,150,TO_DATE('05/08/2023 - 23:00', 'DD/MM/YYYY - HH24:MI'));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Z30" s="158" t="str">
        <f t="shared" si="4"/>
        <v>INSERT INTO Rega (idOperacao, designacaoSetor) VALUES (417,22);</v>
      </c>
      <c r="AA30" s="12"/>
      <c r="AB30" s="12"/>
      <c r="AC30" s="12"/>
      <c r="AD30" s="12"/>
      <c r="AE30" s="12"/>
      <c r="AF30" s="12"/>
      <c r="AH30" s="159"/>
      <c r="AI30" s="11"/>
      <c r="AJ30" s="11"/>
      <c r="AK30" s="11"/>
      <c r="AL30" s="11"/>
      <c r="AM30" s="11"/>
      <c r="AW30" s="160">
        <v>45054</v>
      </c>
    </row>
    <row r="31" spans="1:65">
      <c r="A31" s="160" t="str">
        <f t="shared" si="0"/>
        <v>17/08/2023</v>
      </c>
      <c r="B31">
        <v>22</v>
      </c>
      <c r="C31">
        <v>150</v>
      </c>
      <c r="D31" t="str">
        <f t="shared" si="1"/>
        <v>23:00</v>
      </c>
      <c r="E31" t="s">
        <v>443</v>
      </c>
      <c r="F31">
        <v>1.1000000000000001</v>
      </c>
      <c r="G31">
        <f t="shared" si="2"/>
        <v>418</v>
      </c>
      <c r="H31" s="156" t="str">
        <f t="shared" si="3"/>
        <v>INSERT INTO Operacao (idOperacao, designacaoOperacaoAgricola, designacaoUnidade, idEstadoOperacao, quantidade, dataOperacao) VALUES (418,'Rega',min,1,150,TO_DATE('17/08/2023 - 23:00', 'DD/MM/YYYY - HH24:MI'));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Z31" s="158" t="str">
        <f t="shared" si="4"/>
        <v>INSERT INTO Rega (idOperacao, designacaoSetor) VALUES (418,22);</v>
      </c>
      <c r="AA31" s="12"/>
      <c r="AB31" s="12"/>
      <c r="AC31" s="12"/>
      <c r="AD31" s="12"/>
      <c r="AE31" s="12"/>
      <c r="AF31" s="12"/>
      <c r="AH31" s="159"/>
      <c r="AI31" s="11"/>
      <c r="AJ31" s="11"/>
      <c r="AK31" s="11"/>
      <c r="AL31" s="11"/>
      <c r="AM31" s="11"/>
      <c r="AW31" s="160" t="s">
        <v>441</v>
      </c>
    </row>
    <row r="32" spans="1:65">
      <c r="A32" s="160" t="str">
        <f t="shared" si="0"/>
        <v>24/08/2023</v>
      </c>
      <c r="B32">
        <v>22</v>
      </c>
      <c r="C32">
        <v>120</v>
      </c>
      <c r="D32" t="str">
        <f t="shared" si="1"/>
        <v>23:00</v>
      </c>
      <c r="E32" t="s">
        <v>443</v>
      </c>
      <c r="F32">
        <v>1.1000000000000001</v>
      </c>
      <c r="G32">
        <f t="shared" si="2"/>
        <v>419</v>
      </c>
      <c r="H32" s="156" t="str">
        <f t="shared" si="3"/>
        <v>INSERT INTO Operacao (idOperacao, designacaoOperacaoAgricola, designacaoUnidade, idEstadoOperacao, quantidade, dataOperacao) VALUES (419,'Rega',min,1,120,TO_DATE('24/08/2023 - 23:00', 'DD/MM/YYYY - HH24:MI'));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Z32" s="158" t="str">
        <f t="shared" si="4"/>
        <v>INSERT INTO Rega (idOperacao, designacaoSetor) VALUES (419,22);</v>
      </c>
      <c r="AA32" s="12"/>
      <c r="AB32" s="12"/>
      <c r="AC32" s="12"/>
      <c r="AD32" s="12"/>
      <c r="AE32" s="12"/>
      <c r="AF32" s="12"/>
      <c r="AH32" s="159"/>
      <c r="AI32" s="11"/>
      <c r="AJ32" s="11"/>
      <c r="AK32" s="11"/>
      <c r="AL32" s="11"/>
      <c r="AM32" s="11"/>
      <c r="AW32" s="160" t="s">
        <v>447</v>
      </c>
    </row>
    <row r="33" spans="1:49">
      <c r="A33" s="160" t="str">
        <f t="shared" si="0"/>
        <v>02/09/2023</v>
      </c>
      <c r="B33">
        <v>22</v>
      </c>
      <c r="C33">
        <v>120</v>
      </c>
      <c r="D33" t="str">
        <f t="shared" si="1"/>
        <v>23:00</v>
      </c>
      <c r="E33" t="s">
        <v>443</v>
      </c>
      <c r="F33">
        <v>1.1000000000000001</v>
      </c>
      <c r="G33">
        <f t="shared" si="2"/>
        <v>420</v>
      </c>
      <c r="H33" s="156" t="str">
        <f t="shared" si="3"/>
        <v>INSERT INTO Operacao (idOperacao, designacaoOperacaoAgricola, designacaoUnidade, idEstadoOperacao, quantidade, dataOperacao) VALUES (420,'Rega',min,1,120,TO_DATE('02/09/2023 - 23:00', 'DD/MM/YYYY - HH24:MI'));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Z33" s="158" t="str">
        <f t="shared" si="4"/>
        <v>INSERT INTO Rega (idOperacao, designacaoSetor) VALUES (420,22);</v>
      </c>
      <c r="AA33" s="12"/>
      <c r="AB33" s="12"/>
      <c r="AC33" s="12"/>
      <c r="AD33" s="12"/>
      <c r="AE33" s="12"/>
      <c r="AF33" s="12"/>
      <c r="AH33" s="159"/>
      <c r="AI33" s="11"/>
      <c r="AJ33" s="11"/>
      <c r="AK33" s="11"/>
      <c r="AL33" s="11"/>
      <c r="AM33" s="11"/>
      <c r="AW33" s="160">
        <v>44966</v>
      </c>
    </row>
    <row r="34" spans="1:49">
      <c r="A34" s="160" t="str">
        <f t="shared" si="0"/>
        <v>18/09/2023</v>
      </c>
      <c r="B34">
        <v>22</v>
      </c>
      <c r="C34">
        <v>120</v>
      </c>
      <c r="D34" t="str">
        <f t="shared" si="1"/>
        <v>23:00</v>
      </c>
      <c r="E34" t="s">
        <v>443</v>
      </c>
      <c r="F34">
        <v>1.1000000000000001</v>
      </c>
      <c r="G34">
        <f t="shared" si="2"/>
        <v>421</v>
      </c>
      <c r="H34" s="156" t="str">
        <f t="shared" si="3"/>
        <v>INSERT INTO Operacao (idOperacao, designacaoOperacaoAgricola, designacaoUnidade, idEstadoOperacao, quantidade, dataOperacao) VALUES (421,'Rega',min,1,120,TO_DATE('18/09/2023 - 23:00', 'DD/MM/YYYY - HH24:MI'));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Z34" s="158" t="str">
        <f t="shared" si="4"/>
        <v>INSERT INTO Rega (idOperacao, designacaoSetor) VALUES (421,22);</v>
      </c>
      <c r="AA34" s="12"/>
      <c r="AB34" s="12"/>
      <c r="AC34" s="12"/>
      <c r="AD34" s="12"/>
      <c r="AE34" s="12"/>
      <c r="AF34" s="12"/>
      <c r="AH34" s="159"/>
      <c r="AI34" s="11"/>
      <c r="AJ34" s="11"/>
      <c r="AK34" s="11"/>
      <c r="AL34" s="11"/>
      <c r="AM34" s="11"/>
      <c r="AW34" s="160" t="s">
        <v>442</v>
      </c>
    </row>
    <row r="35" spans="1:49">
      <c r="A35" s="160"/>
      <c r="D35" s="174">
        <v>0.20833333333333334</v>
      </c>
      <c r="H35" s="15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Z35" s="158"/>
      <c r="AA35" s="12"/>
      <c r="AB35" s="12"/>
      <c r="AC35" s="12"/>
      <c r="AD35" s="12"/>
      <c r="AE35" s="12"/>
      <c r="AF35" s="12"/>
      <c r="AH35" s="159"/>
      <c r="AI35" s="11"/>
      <c r="AJ35" s="11"/>
      <c r="AK35" s="11"/>
      <c r="AL35" s="11"/>
      <c r="AM35" s="11"/>
      <c r="AW35" s="160"/>
    </row>
    <row r="36" spans="1:49">
      <c r="A36" s="160"/>
      <c r="D36" s="174">
        <v>0.20833333333333334</v>
      </c>
      <c r="H36" s="15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Z36" s="158"/>
      <c r="AA36" s="12"/>
      <c r="AB36" s="12"/>
      <c r="AC36" s="12"/>
      <c r="AD36" s="12"/>
      <c r="AE36" s="12"/>
      <c r="AF36" s="12"/>
      <c r="AH36" s="159"/>
      <c r="AI36" s="11"/>
      <c r="AJ36" s="11"/>
      <c r="AK36" s="11"/>
      <c r="AL36" s="11"/>
      <c r="AM36" s="11"/>
      <c r="AW36" s="160"/>
    </row>
    <row r="37" spans="1:49">
      <c r="A37" s="160"/>
      <c r="D37" s="174">
        <v>0.20833333333333334</v>
      </c>
      <c r="H37" s="15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Z37" s="158"/>
      <c r="AA37" s="12"/>
      <c r="AB37" s="12"/>
      <c r="AC37" s="12"/>
      <c r="AD37" s="12"/>
      <c r="AE37" s="12"/>
      <c r="AF37" s="12"/>
      <c r="AH37" s="159"/>
      <c r="AI37" s="11"/>
      <c r="AJ37" s="11"/>
      <c r="AK37" s="11"/>
      <c r="AL37" s="11"/>
      <c r="AM37" s="11"/>
      <c r="AW37" s="160"/>
    </row>
    <row r="38" spans="1:49">
      <c r="A38" s="160"/>
      <c r="D38" s="174">
        <v>0.25</v>
      </c>
      <c r="H38" s="15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Z38" s="158"/>
      <c r="AA38" s="12"/>
      <c r="AB38" s="12"/>
      <c r="AC38" s="12"/>
      <c r="AD38" s="12"/>
      <c r="AE38" s="12"/>
      <c r="AF38" s="12"/>
      <c r="AH38" s="159"/>
      <c r="AI38" s="11"/>
      <c r="AJ38" s="11"/>
      <c r="AK38" s="11"/>
      <c r="AL38" s="11"/>
      <c r="AM38" s="11"/>
      <c r="AW38" s="160"/>
    </row>
    <row r="39" spans="1:49">
      <c r="A39" s="160"/>
      <c r="D39" s="174">
        <v>0.20833333333333334</v>
      </c>
      <c r="H39" s="15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Z39" s="158"/>
      <c r="AA39" s="12"/>
      <c r="AB39" s="12"/>
      <c r="AC39" s="12"/>
      <c r="AD39" s="12"/>
      <c r="AE39" s="12"/>
      <c r="AF39" s="12"/>
      <c r="AH39" s="159"/>
      <c r="AI39" s="11"/>
      <c r="AJ39" s="11"/>
      <c r="AK39" s="11"/>
      <c r="AL39" s="11"/>
      <c r="AM39" s="11"/>
      <c r="AW39" s="160"/>
    </row>
    <row r="40" spans="1:49">
      <c r="A40" s="160"/>
      <c r="D40" s="174">
        <v>0.25</v>
      </c>
      <c r="H40" s="15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Z40" s="158"/>
      <c r="AA40" s="12"/>
      <c r="AB40" s="12"/>
      <c r="AC40" s="12"/>
      <c r="AD40" s="12"/>
      <c r="AE40" s="12"/>
      <c r="AF40" s="12"/>
      <c r="AH40" s="159"/>
      <c r="AI40" s="11"/>
      <c r="AJ40" s="11"/>
      <c r="AK40" s="11"/>
      <c r="AL40" s="11"/>
      <c r="AM40" s="11"/>
      <c r="AW40" s="160"/>
    </row>
    <row r="41" spans="1:49">
      <c r="A41" s="160"/>
      <c r="D41" s="174">
        <v>0.95833333333333337</v>
      </c>
      <c r="H41" s="15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Z41" s="158"/>
      <c r="AA41" s="12"/>
      <c r="AB41" s="12"/>
      <c r="AC41" s="12"/>
      <c r="AD41" s="12"/>
      <c r="AE41" s="12"/>
      <c r="AF41" s="12"/>
      <c r="AH41" s="159"/>
      <c r="AI41" s="11"/>
      <c r="AJ41" s="11"/>
      <c r="AK41" s="11"/>
      <c r="AL41" s="11"/>
      <c r="AM41" s="11"/>
      <c r="AW41" s="160"/>
    </row>
    <row r="42" spans="1:49">
      <c r="A42" s="160"/>
      <c r="D42" s="174">
        <v>0.95833333333333337</v>
      </c>
      <c r="H42" s="15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Z42" s="158"/>
      <c r="AA42" s="12"/>
      <c r="AB42" s="12"/>
      <c r="AC42" s="12"/>
      <c r="AD42" s="12"/>
      <c r="AE42" s="12"/>
      <c r="AF42" s="12"/>
      <c r="AH42" s="159"/>
      <c r="AI42" s="11"/>
      <c r="AJ42" s="11"/>
      <c r="AK42" s="11"/>
      <c r="AL42" s="11"/>
      <c r="AM42" s="11"/>
      <c r="AW42" s="160"/>
    </row>
    <row r="43" spans="1:49">
      <c r="A43" s="160"/>
      <c r="D43" s="174">
        <v>0.95833333333333337</v>
      </c>
      <c r="H43" s="15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Z43" s="158"/>
      <c r="AA43" s="12"/>
      <c r="AB43" s="12"/>
      <c r="AC43" s="12"/>
      <c r="AD43" s="12"/>
      <c r="AE43" s="12"/>
      <c r="AF43" s="12"/>
      <c r="AH43" s="159"/>
      <c r="AI43" s="11"/>
      <c r="AJ43" s="11"/>
      <c r="AK43" s="11"/>
      <c r="AL43" s="11"/>
      <c r="AM43" s="11"/>
      <c r="AW43" s="160"/>
    </row>
    <row r="44" spans="1:49">
      <c r="A44" s="160"/>
      <c r="B44" s="155">
        <v>0.25</v>
      </c>
      <c r="D44" s="174">
        <v>0.95833333333333337</v>
      </c>
      <c r="H44" s="15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Z44" s="158"/>
      <c r="AA44" s="12"/>
      <c r="AB44" s="12"/>
      <c r="AC44" s="12"/>
      <c r="AD44" s="12"/>
      <c r="AE44" s="12"/>
      <c r="AF44" s="12"/>
      <c r="AH44" s="159"/>
      <c r="AI44" s="11"/>
      <c r="AJ44" s="11"/>
      <c r="AK44" s="11"/>
      <c r="AL44" s="11"/>
      <c r="AM44" s="11"/>
      <c r="AW44" s="160"/>
    </row>
    <row r="45" spans="1:49">
      <c r="A45" s="160"/>
      <c r="B45" s="155">
        <v>0.25</v>
      </c>
      <c r="D45" s="174">
        <v>0.95833333333333337</v>
      </c>
      <c r="H45" s="15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Z45" s="158"/>
      <c r="AA45" s="12"/>
      <c r="AB45" s="12"/>
      <c r="AC45" s="12"/>
      <c r="AD45" s="12"/>
      <c r="AE45" s="12"/>
      <c r="AF45" s="12"/>
      <c r="AH45" s="159"/>
      <c r="AI45" s="11"/>
      <c r="AJ45" s="11"/>
      <c r="AK45" s="11"/>
      <c r="AL45" s="11"/>
      <c r="AM45" s="11"/>
      <c r="AW45" s="160"/>
    </row>
    <row r="46" spans="1:49">
      <c r="A46" s="160"/>
      <c r="B46" s="155">
        <v>0.20833333333333334</v>
      </c>
      <c r="D46" s="174">
        <v>0.95833333333333337</v>
      </c>
      <c r="H46" s="15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Z46" s="158"/>
      <c r="AA46" s="12"/>
      <c r="AB46" s="12"/>
      <c r="AC46" s="12"/>
      <c r="AD46" s="12"/>
      <c r="AE46" s="12"/>
      <c r="AF46" s="12"/>
      <c r="AH46" s="159"/>
      <c r="AI46" s="11"/>
      <c r="AJ46" s="11"/>
      <c r="AK46" s="11"/>
      <c r="AL46" s="11"/>
      <c r="AM46" s="11"/>
      <c r="AW46" s="160"/>
    </row>
    <row r="47" spans="1:49">
      <c r="A47" s="160"/>
      <c r="B47" s="155">
        <v>0.95833333333333337</v>
      </c>
      <c r="D47" s="174">
        <v>0.95833333333333337</v>
      </c>
      <c r="H47" s="15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Z47" s="158"/>
      <c r="AA47" s="12"/>
      <c r="AB47" s="12"/>
      <c r="AC47" s="12"/>
      <c r="AD47" s="12"/>
      <c r="AE47" s="12"/>
      <c r="AF47" s="12"/>
      <c r="AH47" s="159"/>
      <c r="AI47" s="11"/>
      <c r="AJ47" s="11"/>
      <c r="AK47" s="11"/>
      <c r="AL47" s="11"/>
      <c r="AM47" s="11"/>
      <c r="AW47" s="160"/>
    </row>
    <row r="48" spans="1:49">
      <c r="A48" s="160"/>
      <c r="B48" s="155">
        <v>0.95833333333333337</v>
      </c>
      <c r="D48" s="174">
        <v>0.95833333333333337</v>
      </c>
      <c r="H48" s="15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Z48" s="158"/>
      <c r="AA48" s="12"/>
      <c r="AB48" s="12"/>
      <c r="AC48" s="12"/>
      <c r="AD48" s="12"/>
      <c r="AE48" s="12"/>
      <c r="AF48" s="12"/>
      <c r="AH48" s="159"/>
      <c r="AI48" s="11"/>
      <c r="AJ48" s="11"/>
      <c r="AK48" s="11"/>
      <c r="AL48" s="11"/>
      <c r="AM48" s="11"/>
      <c r="AW48" s="160"/>
    </row>
    <row r="49" spans="1:53">
      <c r="A49" s="160"/>
      <c r="B49" s="155">
        <v>0.95833333333333337</v>
      </c>
      <c r="D49" s="174">
        <v>0.95833333333333337</v>
      </c>
      <c r="H49" s="15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Z49" s="158"/>
      <c r="AA49" s="12"/>
      <c r="AB49" s="12"/>
      <c r="AC49" s="12"/>
      <c r="AD49" s="12"/>
      <c r="AE49" s="12"/>
      <c r="AF49" s="12"/>
      <c r="AH49" s="159"/>
      <c r="AI49" s="11"/>
      <c r="AJ49" s="11"/>
      <c r="AK49" s="11"/>
      <c r="AL49" s="11"/>
      <c r="AM49" s="11"/>
      <c r="AW49" s="160"/>
    </row>
    <row r="50" spans="1:53">
      <c r="A50" s="160"/>
      <c r="B50" s="155">
        <v>0.95833333333333337</v>
      </c>
      <c r="D50" s="174">
        <v>0.95833333333333337</v>
      </c>
      <c r="H50" s="15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Z50" s="158"/>
      <c r="AA50" s="12"/>
      <c r="AB50" s="12"/>
      <c r="AC50" s="12"/>
      <c r="AD50" s="12"/>
      <c r="AE50" s="12"/>
      <c r="AF50" s="12"/>
      <c r="AH50" s="159"/>
      <c r="AI50" s="11"/>
      <c r="AJ50" s="11"/>
      <c r="AK50" s="11"/>
      <c r="AL50" s="11"/>
      <c r="AM50" s="11"/>
      <c r="AW50" s="160"/>
    </row>
    <row r="51" spans="1:53">
      <c r="A51" s="160"/>
      <c r="B51" s="155">
        <v>0.16666666666666666</v>
      </c>
      <c r="D51" s="174">
        <v>0.95833333333333337</v>
      </c>
      <c r="H51" s="15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Z51" s="158"/>
      <c r="AA51" s="12"/>
      <c r="AB51" s="12"/>
      <c r="AC51" s="12"/>
      <c r="AD51" s="12"/>
      <c r="AE51" s="12"/>
      <c r="AF51" s="12"/>
      <c r="AH51" s="159"/>
      <c r="AI51" s="11"/>
      <c r="AJ51" s="11"/>
      <c r="AK51" s="11"/>
      <c r="AL51" s="11"/>
      <c r="AM51" s="11"/>
      <c r="AW51" s="160"/>
    </row>
    <row r="52" spans="1:53">
      <c r="A52" s="160"/>
      <c r="B52" s="155">
        <v>0.16666666666666666</v>
      </c>
      <c r="D52" s="154"/>
      <c r="H52" s="15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Z52" s="158"/>
      <c r="AA52" s="12"/>
      <c r="AB52" s="12"/>
      <c r="AC52" s="12"/>
      <c r="AD52" s="12"/>
      <c r="AE52" s="12"/>
      <c r="AF52" s="12"/>
      <c r="AH52" s="159"/>
      <c r="AI52" s="11"/>
      <c r="AJ52" s="11"/>
      <c r="AK52" s="11"/>
      <c r="AL52" s="11"/>
      <c r="AM52" s="11"/>
      <c r="AW52" s="160"/>
    </row>
    <row r="53" spans="1:53">
      <c r="A53" s="160"/>
      <c r="B53" s="155">
        <v>0.16666666666666666</v>
      </c>
      <c r="D53" s="154"/>
      <c r="H53" s="15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Z53" s="158"/>
      <c r="AA53" s="12"/>
      <c r="AB53" s="12"/>
      <c r="AC53" s="12"/>
      <c r="AD53" s="12"/>
      <c r="AE53" s="12"/>
      <c r="AF53" s="12"/>
      <c r="AH53" s="159"/>
      <c r="AI53" s="11"/>
      <c r="AJ53" s="11"/>
      <c r="AK53" s="11"/>
      <c r="AL53" s="11"/>
      <c r="AM53" s="11"/>
      <c r="AW53" s="160"/>
    </row>
    <row r="54" spans="1:53">
      <c r="A54" s="160"/>
      <c r="B54" s="155">
        <v>0.89583333333333337</v>
      </c>
      <c r="D54" s="154"/>
      <c r="H54" s="15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Z54" s="158"/>
      <c r="AA54" s="12"/>
      <c r="AB54" s="12"/>
      <c r="AC54" s="12"/>
      <c r="AD54" s="12"/>
      <c r="AE54" s="12"/>
      <c r="AF54" s="12"/>
      <c r="AH54" s="159"/>
      <c r="AI54" s="11"/>
      <c r="AJ54" s="11"/>
      <c r="AK54" s="11"/>
      <c r="AL54" s="11"/>
      <c r="AM54" s="11"/>
      <c r="AW54" s="160"/>
    </row>
    <row r="55" spans="1:53">
      <c r="A55" s="160"/>
      <c r="B55" s="155">
        <v>0.3125</v>
      </c>
      <c r="D55" s="154"/>
      <c r="H55" s="15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Z55" s="158"/>
      <c r="AA55" s="12"/>
      <c r="AB55" s="12"/>
      <c r="AC55" s="12"/>
      <c r="AD55" s="12"/>
      <c r="AE55" s="12"/>
      <c r="AF55" s="12"/>
      <c r="AH55" s="159"/>
      <c r="AI55" s="11"/>
      <c r="AJ55" s="11"/>
      <c r="AK55" s="11"/>
      <c r="AL55" s="11"/>
      <c r="AM55" s="11"/>
      <c r="AW55" s="160"/>
    </row>
    <row r="56" spans="1:53">
      <c r="B56" s="155">
        <v>0.2638888888888889</v>
      </c>
      <c r="H56" s="157"/>
    </row>
    <row r="57" spans="1:53">
      <c r="A57" t="s">
        <v>316</v>
      </c>
      <c r="B57" t="s">
        <v>424</v>
      </c>
      <c r="C57" t="s">
        <v>425</v>
      </c>
      <c r="D57" t="s">
        <v>448</v>
      </c>
      <c r="E57" t="s">
        <v>449</v>
      </c>
      <c r="F57" t="s">
        <v>427</v>
      </c>
      <c r="G57" t="s">
        <v>450</v>
      </c>
      <c r="H57" t="s">
        <v>451</v>
      </c>
      <c r="J57" s="176" t="s">
        <v>287</v>
      </c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B57" s="175" t="s">
        <v>234</v>
      </c>
      <c r="AC57" s="175"/>
      <c r="AD57" s="175"/>
      <c r="AE57" s="175"/>
      <c r="AF57" s="175"/>
      <c r="AG57" s="175"/>
      <c r="AH57" s="175"/>
      <c r="AJ57" s="181" t="s">
        <v>429</v>
      </c>
      <c r="AK57" s="181"/>
      <c r="AL57" s="181"/>
      <c r="AM57" s="181"/>
      <c r="AN57" s="181"/>
      <c r="AO57" s="181"/>
      <c r="AQ57" s="180" t="s">
        <v>452</v>
      </c>
      <c r="AR57" s="180"/>
      <c r="AS57" s="180"/>
      <c r="AT57" s="180"/>
      <c r="AU57" s="180"/>
      <c r="AV57" s="180"/>
      <c r="AW57" s="180"/>
      <c r="AX57" s="180"/>
      <c r="AY57" s="180"/>
    </row>
    <row r="58" spans="1:53">
      <c r="A58" s="1" t="str">
        <f>TEXT(BA58, "MM/DD/YYYY")</f>
        <v>02/06/2023</v>
      </c>
      <c r="B58">
        <v>10</v>
      </c>
      <c r="C58">
        <v>60</v>
      </c>
      <c r="D58" t="str">
        <f>TEXT(B44, "HH:MM")</f>
        <v>06:00</v>
      </c>
      <c r="E58">
        <v>10</v>
      </c>
      <c r="F58" t="s">
        <v>218</v>
      </c>
      <c r="G58">
        <f>(406 + ROW(A17)-1)</f>
        <v>422</v>
      </c>
      <c r="H58">
        <v>3</v>
      </c>
      <c r="J58" s="156" t="str">
        <f>"INSERT INTO Operacao (idOperacao, designacaoOperacaoAgricola, designacaoUnidade, idEstadoOperacao, quantidade, dataOperacao) VALUES ("&amp;G58&amp;",'Fertirrega',min,1,"&amp;C58&amp;",TO_DATE('"&amp;A58&amp;" - "&amp;D58&amp;"', 'DD/MM/YYYY - HH24:MI'));"</f>
        <v>INSERT INTO Operacao (idOperacao, designacaoOperacaoAgricola, designacaoUnidade, idEstadoOperacao, quantidade, dataOperacao) VALUES (422,'Fertirrega',min,1,60,TO_DATE('02/06/2023 - 06:00', 'DD/MM/YYYY - HH24:MI'));</v>
      </c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B58" s="158" t="str">
        <f>"INSERT INTO Rega (idOperacao, designacaoSetor) VALUES ("&amp;G58&amp;","&amp;B58&amp;");"</f>
        <v>INSERT INTO Rega (idOperacao, designacaoSetor) VALUES (422,10);</v>
      </c>
      <c r="AC58" s="12"/>
      <c r="AD58" s="12"/>
      <c r="AE58" s="12"/>
      <c r="AF58" s="12"/>
      <c r="AG58" s="12"/>
      <c r="AH58" s="12"/>
      <c r="AJ58" s="159"/>
      <c r="AK58" s="11"/>
      <c r="AL58" s="11"/>
      <c r="AM58" s="11"/>
      <c r="AN58" s="11"/>
      <c r="AO58" s="11"/>
      <c r="AQ58" s="111" t="str">
        <f>"INSERT INTO AplicacaoFatorProducao (nomeComercial, idOperacao) VALUES ('EPSO TOP',"&amp;G58&amp;");"</f>
        <v>INSERT INTO AplicacaoFatorProducao (nomeComercial, idOperacao) VALUES ('EPSO TOP',422);</v>
      </c>
      <c r="AR58" s="111"/>
      <c r="AS58" s="111"/>
      <c r="AT58" s="111"/>
      <c r="AU58" s="111"/>
      <c r="AV58" s="111"/>
      <c r="AW58" s="111"/>
      <c r="AX58" s="111"/>
      <c r="AY58" s="111"/>
      <c r="BA58" s="1">
        <v>44963</v>
      </c>
    </row>
    <row r="59" spans="1:53">
      <c r="A59" s="1" t="str">
        <f t="shared" ref="A59:A70" si="5">TEXT(BA59, "MM/DD/YYYY")</f>
        <v>02/07/2023</v>
      </c>
      <c r="B59">
        <v>10</v>
      </c>
      <c r="C59">
        <v>120</v>
      </c>
      <c r="D59" t="str">
        <f t="shared" ref="D59:D70" si="6">TEXT(B45, "HH:MM")</f>
        <v>06:00</v>
      </c>
      <c r="E59">
        <v>10</v>
      </c>
      <c r="F59" t="s">
        <v>218</v>
      </c>
      <c r="G59">
        <f t="shared" ref="G59:G64" si="7">(406 + ROW(A18)-1)</f>
        <v>423</v>
      </c>
      <c r="H59">
        <v>3</v>
      </c>
      <c r="J59" s="156" t="str">
        <f t="shared" ref="J59:J70" si="8">"INSERT INTO Operacao (idOperacao, designacaoOperacaoAgricola, designacaoUnidade, idEstadoOperacao, quantidade, dataOperacao) VALUES ("&amp;G59&amp;",'Fertirrega',min,1,"&amp;C59&amp;",TO_DATE('"&amp;A59&amp;" - "&amp;D59&amp;"', 'DD/MM/YYYY - HH24:MI'));"</f>
        <v>INSERT INTO Operacao (idOperacao, designacaoOperacaoAgricola, designacaoUnidade, idEstadoOperacao, quantidade, dataOperacao) VALUES (423,'Fertirrega',min,1,120,TO_DATE('02/07/2023 - 06:00', 'DD/MM/YYYY - HH24:MI'));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B59" s="158" t="str">
        <f t="shared" ref="AB59:AB70" si="9">"INSERT INTO Rega (idOperacao, designacaoSetor) VALUES ("&amp;G59&amp;","&amp;B59&amp;");"</f>
        <v>INSERT INTO Rega (idOperacao, designacaoSetor) VALUES (423,10);</v>
      </c>
      <c r="AC59" s="12"/>
      <c r="AD59" s="12"/>
      <c r="AE59" s="12"/>
      <c r="AF59" s="12"/>
      <c r="AG59" s="12"/>
      <c r="AH59" s="12"/>
      <c r="AJ59" s="159"/>
      <c r="AK59" s="11"/>
      <c r="AL59" s="11"/>
      <c r="AM59" s="11"/>
      <c r="AN59" s="11"/>
      <c r="AO59" s="11"/>
      <c r="AQ59" s="111" t="str">
        <f t="shared" ref="AQ59:AQ61" si="10">"INSERT INTO AplicacaoFatorProducao (nomeComercial, idOperacao) VALUES ('EPSO TOP',"&amp;G59&amp;");"</f>
        <v>INSERT INTO AplicacaoFatorProducao (nomeComercial, idOperacao) VALUES ('EPSO TOP',423);</v>
      </c>
      <c r="AR59" s="111"/>
      <c r="AS59" s="111"/>
      <c r="AT59" s="111"/>
      <c r="AU59" s="111"/>
      <c r="AV59" s="111"/>
      <c r="AW59" s="111"/>
      <c r="AX59" s="111"/>
      <c r="AY59" s="111"/>
      <c r="BA59" s="1">
        <v>44964</v>
      </c>
    </row>
    <row r="60" spans="1:53">
      <c r="A60" s="1" t="str">
        <f t="shared" si="5"/>
        <v>02/08/2023</v>
      </c>
      <c r="B60">
        <v>10</v>
      </c>
      <c r="C60">
        <v>180</v>
      </c>
      <c r="D60" t="str">
        <f t="shared" si="6"/>
        <v>05:00</v>
      </c>
      <c r="E60">
        <v>10</v>
      </c>
      <c r="F60" t="s">
        <v>218</v>
      </c>
      <c r="G60">
        <f t="shared" si="7"/>
        <v>424</v>
      </c>
      <c r="H60">
        <v>3</v>
      </c>
      <c r="J60" s="156" t="str">
        <f t="shared" si="8"/>
        <v>INSERT INTO Operacao (idOperacao, designacaoOperacaoAgricola, designacaoUnidade, idEstadoOperacao, quantidade, dataOperacao) VALUES (424,'Fertirrega',min,1,180,TO_DATE('02/08/2023 - 05:00', 'DD/MM/YYYY - HH24:MI'));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B60" s="158" t="str">
        <f t="shared" si="9"/>
        <v>INSERT INTO Rega (idOperacao, designacaoSetor) VALUES (424,10);</v>
      </c>
      <c r="AC60" s="12"/>
      <c r="AD60" s="12"/>
      <c r="AE60" s="12"/>
      <c r="AF60" s="12"/>
      <c r="AG60" s="12"/>
      <c r="AH60" s="12"/>
      <c r="AJ60" s="159"/>
      <c r="AK60" s="11"/>
      <c r="AL60" s="11"/>
      <c r="AM60" s="11"/>
      <c r="AN60" s="11"/>
      <c r="AO60" s="11"/>
      <c r="AQ60" s="111" t="str">
        <f t="shared" si="10"/>
        <v>INSERT INTO AplicacaoFatorProducao (nomeComercial, idOperacao) VALUES ('EPSO TOP',424);</v>
      </c>
      <c r="AR60" s="111"/>
      <c r="AS60" s="111"/>
      <c r="AT60" s="111"/>
      <c r="AU60" s="111"/>
      <c r="AV60" s="111"/>
      <c r="AW60" s="111"/>
      <c r="AX60" s="111"/>
      <c r="AY60" s="111"/>
      <c r="BA60" s="1">
        <v>44965</v>
      </c>
    </row>
    <row r="61" spans="1:53">
      <c r="A61" s="1" t="str">
        <f t="shared" si="5"/>
        <v>16/06/2023</v>
      </c>
      <c r="B61">
        <v>22</v>
      </c>
      <c r="C61">
        <v>120</v>
      </c>
      <c r="D61" t="str">
        <f t="shared" si="6"/>
        <v>23:00</v>
      </c>
      <c r="E61">
        <v>10</v>
      </c>
      <c r="F61" t="s">
        <v>443</v>
      </c>
      <c r="G61">
        <f t="shared" si="7"/>
        <v>425</v>
      </c>
      <c r="H61">
        <v>1.1000000000000001</v>
      </c>
      <c r="J61" s="156" t="str">
        <f t="shared" si="8"/>
        <v>INSERT INTO Operacao (idOperacao, designacaoOperacaoAgricola, designacaoUnidade, idEstadoOperacao, quantidade, dataOperacao) VALUES (425,'Fertirrega',min,1,120,TO_DATE('16/06/2023 - 23:00', 'DD/MM/YYYY - HH24:MI'));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B61" s="158" t="str">
        <f t="shared" si="9"/>
        <v>INSERT INTO Rega (idOperacao, designacaoSetor) VALUES (425,22);</v>
      </c>
      <c r="AC61" s="12"/>
      <c r="AD61" s="12"/>
      <c r="AE61" s="12"/>
      <c r="AF61" s="12"/>
      <c r="AG61" s="12"/>
      <c r="AH61" s="12"/>
      <c r="AJ61" s="159"/>
      <c r="AK61" s="11"/>
      <c r="AL61" s="11"/>
      <c r="AM61" s="11"/>
      <c r="AN61" s="11"/>
      <c r="AO61" s="11"/>
      <c r="AQ61" s="111" t="str">
        <f t="shared" si="10"/>
        <v>INSERT INTO AplicacaoFatorProducao (nomeComercial, idOperacao) VALUES ('EPSO TOP',425);</v>
      </c>
      <c r="AR61" s="111"/>
      <c r="AS61" s="111"/>
      <c r="AT61" s="111"/>
      <c r="AU61" s="111"/>
      <c r="AV61" s="111"/>
      <c r="AW61" s="111"/>
      <c r="AX61" s="111"/>
      <c r="AY61" s="111"/>
      <c r="BA61" t="s">
        <v>453</v>
      </c>
    </row>
    <row r="62" spans="1:53">
      <c r="A62" s="1" t="str">
        <f t="shared" si="5"/>
        <v>15/07/2023</v>
      </c>
      <c r="B62">
        <v>22</v>
      </c>
      <c r="C62">
        <v>180</v>
      </c>
      <c r="D62" t="str">
        <f t="shared" si="6"/>
        <v>23:00</v>
      </c>
      <c r="E62">
        <v>11</v>
      </c>
      <c r="F62" t="s">
        <v>443</v>
      </c>
      <c r="G62">
        <f t="shared" si="7"/>
        <v>426</v>
      </c>
      <c r="H62">
        <v>1.1000000000000001</v>
      </c>
      <c r="J62" s="156" t="str">
        <f t="shared" si="8"/>
        <v>INSERT INTO Operacao (idOperacao, designacaoOperacaoAgricola, designacaoUnidade, idEstadoOperacao, quantidade, dataOperacao) VALUES (426,'Fertirrega',min,1,180,TO_DATE('15/07/2023 - 23:00', 'DD/MM/YYYY - HH24:MI'));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B62" s="158" t="str">
        <f t="shared" si="9"/>
        <v>INSERT INTO Rega (idOperacao, designacaoSetor) VALUES (426,22);</v>
      </c>
      <c r="AC62" s="12"/>
      <c r="AD62" s="12"/>
      <c r="AE62" s="12"/>
      <c r="AF62" s="12"/>
      <c r="AG62" s="12"/>
      <c r="AH62" s="12"/>
      <c r="AJ62" s="159"/>
      <c r="AK62" s="11"/>
      <c r="AL62" s="11"/>
      <c r="AM62" s="11"/>
      <c r="AN62" s="11"/>
      <c r="AO62" s="11"/>
      <c r="AQ62" s="111" t="str">
        <f>"INSERT INTO AplicacaoFatorProducao (nomeComercial, idOperacao) VALUES ('soluSOP 52',"&amp;G58&amp;");"</f>
        <v>INSERT INTO AplicacaoFatorProducao (nomeComercial, idOperacao) VALUES ('soluSOP 52',422);</v>
      </c>
      <c r="AR62" s="111"/>
      <c r="AS62" s="111"/>
      <c r="AT62" s="111"/>
      <c r="AU62" s="111"/>
      <c r="AV62" s="111"/>
      <c r="AW62" s="111"/>
      <c r="AX62" s="111"/>
      <c r="AY62" s="111"/>
      <c r="BA62" t="s">
        <v>454</v>
      </c>
    </row>
    <row r="63" spans="1:53">
      <c r="A63" s="1" t="str">
        <f t="shared" si="5"/>
        <v>10/08/2023</v>
      </c>
      <c r="B63">
        <v>22</v>
      </c>
      <c r="C63">
        <v>150</v>
      </c>
      <c r="D63" t="str">
        <f t="shared" si="6"/>
        <v>23:00</v>
      </c>
      <c r="E63">
        <v>10</v>
      </c>
      <c r="F63" t="s">
        <v>443</v>
      </c>
      <c r="G63">
        <f t="shared" si="7"/>
        <v>427</v>
      </c>
      <c r="H63">
        <v>1.1000000000000001</v>
      </c>
      <c r="J63" s="156" t="str">
        <f t="shared" si="8"/>
        <v>INSERT INTO Operacao (idOperacao, designacaoOperacaoAgricola, designacaoUnidade, idEstadoOperacao, quantidade, dataOperacao) VALUES (427,'Fertirrega',min,1,150,TO_DATE('10/08/2023 - 23:00', 'DD/MM/YYYY - HH24:MI'));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B63" s="158" t="str">
        <f t="shared" si="9"/>
        <v>INSERT INTO Rega (idOperacao, designacaoSetor) VALUES (427,22);</v>
      </c>
      <c r="AC63" s="12"/>
      <c r="AD63" s="12"/>
      <c r="AE63" s="12"/>
      <c r="AF63" s="12"/>
      <c r="AG63" s="12"/>
      <c r="AH63" s="12"/>
      <c r="AJ63" s="159"/>
      <c r="AK63" s="11"/>
      <c r="AL63" s="11"/>
      <c r="AM63" s="11"/>
      <c r="AN63" s="11"/>
      <c r="AO63" s="11"/>
      <c r="AQ63" s="111" t="str">
        <f t="shared" ref="AQ63:AQ65" si="11">"INSERT INTO AplicacaoFatorProducao (nomeComercial, idOperacao) VALUES ('soluSOP 52',"&amp;G59&amp;");"</f>
        <v>INSERT INTO AplicacaoFatorProducao (nomeComercial, idOperacao) VALUES ('soluSOP 52',423);</v>
      </c>
      <c r="AR63" s="111"/>
      <c r="AS63" s="111"/>
      <c r="AT63" s="111"/>
      <c r="AU63" s="111"/>
      <c r="AV63" s="111"/>
      <c r="AW63" s="111"/>
      <c r="AX63" s="111"/>
      <c r="AY63" s="111"/>
      <c r="BA63" s="1">
        <v>45207</v>
      </c>
    </row>
    <row r="64" spans="1:53">
      <c r="A64" s="1" t="str">
        <f t="shared" si="5"/>
        <v>09/09/2023</v>
      </c>
      <c r="B64">
        <v>22</v>
      </c>
      <c r="C64">
        <v>120</v>
      </c>
      <c r="D64" t="str">
        <f t="shared" si="6"/>
        <v>23:00</v>
      </c>
      <c r="E64">
        <v>10</v>
      </c>
      <c r="F64" t="s">
        <v>443</v>
      </c>
      <c r="G64">
        <f t="shared" si="7"/>
        <v>428</v>
      </c>
      <c r="H64">
        <v>1.1000000000000001</v>
      </c>
      <c r="J64" s="156" t="str">
        <f t="shared" si="8"/>
        <v>INSERT INTO Operacao (idOperacao, designacaoOperacaoAgricola, designacaoUnidade, idEstadoOperacao, quantidade, dataOperacao) VALUES (428,'Fertirrega',min,1,120,TO_DATE('09/09/2023 - 23:00', 'DD/MM/YYYY - HH24:MI'));</v>
      </c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B64" s="158" t="str">
        <f t="shared" si="9"/>
        <v>INSERT INTO Rega (idOperacao, designacaoSetor) VALUES (428,22);</v>
      </c>
      <c r="AC64" s="12"/>
      <c r="AD64" s="12"/>
      <c r="AE64" s="12"/>
      <c r="AF64" s="12"/>
      <c r="AG64" s="12"/>
      <c r="AH64" s="12"/>
      <c r="AJ64" s="159"/>
      <c r="AK64" s="11"/>
      <c r="AL64" s="11"/>
      <c r="AM64" s="11"/>
      <c r="AN64" s="11"/>
      <c r="AO64" s="11"/>
      <c r="AQ64" s="111" t="str">
        <f t="shared" si="11"/>
        <v>INSERT INTO AplicacaoFatorProducao (nomeComercial, idOperacao) VALUES ('soluSOP 52',424);</v>
      </c>
      <c r="AR64" s="111"/>
      <c r="AS64" s="111"/>
      <c r="AT64" s="111"/>
      <c r="AU64" s="111"/>
      <c r="AV64" s="111"/>
      <c r="AW64" s="111"/>
      <c r="AX64" s="111"/>
      <c r="AY64" s="111"/>
      <c r="BA64" s="1">
        <v>45178</v>
      </c>
    </row>
    <row r="65" spans="1:53">
      <c r="A65" s="1" t="str">
        <f t="shared" si="5"/>
        <v>30/06/2023</v>
      </c>
      <c r="B65">
        <v>42</v>
      </c>
      <c r="C65">
        <v>120</v>
      </c>
      <c r="D65" t="str">
        <f t="shared" si="6"/>
        <v>04:00</v>
      </c>
      <c r="E65">
        <v>11</v>
      </c>
      <c r="F65" t="s">
        <v>317</v>
      </c>
      <c r="G65">
        <v>302</v>
      </c>
      <c r="H65">
        <v>1.1000000000000001</v>
      </c>
      <c r="J65" s="156" t="str">
        <f t="shared" si="8"/>
        <v>INSERT INTO Operacao (idOperacao, designacaoOperacaoAgricola, designacaoUnidade, idEstadoOperacao, quantidade, dataOperacao) VALUES (302,'Fertirrega',min,1,120,TO_DATE('30/06/2023 - 04:00', 'DD/MM/YYYY - HH24:MI'));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B65" s="158" t="str">
        <f t="shared" si="9"/>
        <v>INSERT INTO Rega (idOperacao, designacaoSetor) VALUES (302,42);</v>
      </c>
      <c r="AC65" s="12"/>
      <c r="AD65" s="12"/>
      <c r="AE65" s="12"/>
      <c r="AF65" s="12"/>
      <c r="AG65" s="12"/>
      <c r="AH65" s="12"/>
      <c r="AJ65" s="159"/>
      <c r="AK65" s="11"/>
      <c r="AL65" s="11"/>
      <c r="AM65" s="11"/>
      <c r="AN65" s="11"/>
      <c r="AO65" s="11"/>
      <c r="AQ65" s="111" t="str">
        <f t="shared" si="11"/>
        <v>INSERT INTO AplicacaoFatorProducao (nomeComercial, idOperacao) VALUES ('soluSOP 52',425);</v>
      </c>
      <c r="AR65" s="111"/>
      <c r="AS65" s="111"/>
      <c r="AT65" s="111"/>
      <c r="AU65" s="111"/>
      <c r="AV65" s="111"/>
      <c r="AW65" s="111"/>
      <c r="AX65" s="111"/>
      <c r="AY65" s="111"/>
      <c r="BA65" t="s">
        <v>455</v>
      </c>
    </row>
    <row r="66" spans="1:53">
      <c r="A66" s="1" t="str">
        <f t="shared" si="5"/>
        <v>15/07/2023</v>
      </c>
      <c r="B66">
        <v>42</v>
      </c>
      <c r="C66">
        <v>120</v>
      </c>
      <c r="D66" t="str">
        <f t="shared" si="6"/>
        <v>04:00</v>
      </c>
      <c r="E66">
        <v>10</v>
      </c>
      <c r="F66" t="s">
        <v>317</v>
      </c>
      <c r="G66">
        <v>304</v>
      </c>
      <c r="H66">
        <v>1.1000000000000001</v>
      </c>
      <c r="J66" s="156" t="str">
        <f t="shared" si="8"/>
        <v>INSERT INTO Operacao (idOperacao, designacaoOperacaoAgricola, designacaoUnidade, idEstadoOperacao, quantidade, dataOperacao) VALUES (304,'Fertirrega',min,1,120,TO_DATE('15/07/2023 - 04:00', 'DD/MM/YYYY - HH24:MI'));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B66" s="158" t="str">
        <f t="shared" si="9"/>
        <v>INSERT INTO Rega (idOperacao, designacaoSetor) VALUES (304,42);</v>
      </c>
      <c r="AC66" s="12"/>
      <c r="AD66" s="12"/>
      <c r="AE66" s="12"/>
      <c r="AF66" s="12"/>
      <c r="AG66" s="12"/>
      <c r="AH66" s="12"/>
      <c r="AJ66" s="159"/>
      <c r="AK66" s="11"/>
      <c r="AL66" s="11"/>
      <c r="AM66" s="11"/>
      <c r="AN66" s="11"/>
      <c r="AO66" s="11"/>
      <c r="AQ66" s="111" t="str">
        <f>"INSERT INTO AplicacaoFatorProducao (nomeComercial, idOperacao) VALUES ('Floracal Flow SL',"&amp;G58&amp;");"</f>
        <v>INSERT INTO AplicacaoFatorProducao (nomeComercial, idOperacao) VALUES ('Floracal Flow SL',422);</v>
      </c>
      <c r="AR66" s="111"/>
      <c r="AS66" s="111"/>
      <c r="AT66" s="111"/>
      <c r="AU66" s="111"/>
      <c r="AV66" s="111"/>
      <c r="AW66" s="111"/>
      <c r="AX66" s="111"/>
      <c r="AY66" s="111"/>
      <c r="BA66" t="s">
        <v>454</v>
      </c>
    </row>
    <row r="67" spans="1:53">
      <c r="A67" s="1" t="str">
        <f t="shared" si="5"/>
        <v>29/07/2023</v>
      </c>
      <c r="B67">
        <v>42</v>
      </c>
      <c r="C67">
        <v>150</v>
      </c>
      <c r="D67" t="str">
        <f t="shared" si="6"/>
        <v>04:00</v>
      </c>
      <c r="E67">
        <v>11</v>
      </c>
      <c r="F67" t="s">
        <v>317</v>
      </c>
      <c r="G67">
        <v>306</v>
      </c>
      <c r="H67">
        <v>1.1000000000000001</v>
      </c>
      <c r="J67" s="156" t="str">
        <f t="shared" si="8"/>
        <v>INSERT INTO Operacao (idOperacao, designacaoOperacaoAgricola, designacaoUnidade, idEstadoOperacao, quantidade, dataOperacao) VALUES (306,'Fertirrega',min,1,150,TO_DATE('29/07/2023 - 04:00', 'DD/MM/YYYY - HH24:MI'));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B67" s="158" t="str">
        <f t="shared" si="9"/>
        <v>INSERT INTO Rega (idOperacao, designacaoSetor) VALUES (306,42);</v>
      </c>
      <c r="AC67" s="12"/>
      <c r="AD67" s="12"/>
      <c r="AE67" s="12"/>
      <c r="AF67" s="12"/>
      <c r="AG67" s="12"/>
      <c r="AH67" s="12"/>
      <c r="AJ67" s="159"/>
      <c r="AK67" s="11"/>
      <c r="AL67" s="11"/>
      <c r="AM67" s="11"/>
      <c r="AN67" s="11"/>
      <c r="AO67" s="11"/>
      <c r="AQ67" s="111" t="str">
        <f t="shared" ref="AQ67:AQ69" si="12">"INSERT INTO AplicacaoFatorProducao (nomeComercial, idOperacao) VALUES ('Floracal Flow SL',"&amp;G59&amp;");"</f>
        <v>INSERT INTO AplicacaoFatorProducao (nomeComercial, idOperacao) VALUES ('Floracal Flow SL',423);</v>
      </c>
      <c r="AR67" s="111"/>
      <c r="AS67" s="111"/>
      <c r="AT67" s="111"/>
      <c r="AU67" s="111"/>
      <c r="AV67" s="111"/>
      <c r="AW67" s="111"/>
      <c r="AX67" s="111"/>
      <c r="AY67" s="111"/>
      <c r="BA67" t="s">
        <v>446</v>
      </c>
    </row>
    <row r="68" spans="1:53">
      <c r="A68" s="1" t="str">
        <f t="shared" si="5"/>
        <v>12/08/2023</v>
      </c>
      <c r="B68">
        <v>42</v>
      </c>
      <c r="C68">
        <v>120</v>
      </c>
      <c r="D68" t="str">
        <f t="shared" si="6"/>
        <v>21:30</v>
      </c>
      <c r="E68">
        <v>10</v>
      </c>
      <c r="F68" t="s">
        <v>317</v>
      </c>
      <c r="G68">
        <v>308</v>
      </c>
      <c r="H68">
        <v>1.1000000000000001</v>
      </c>
      <c r="J68" s="156" t="str">
        <f t="shared" si="8"/>
        <v>INSERT INTO Operacao (idOperacao, designacaoOperacaoAgricola, designacaoUnidade, idEstadoOperacao, quantidade, dataOperacao) VALUES (308,'Fertirrega',min,1,120,TO_DATE('12/08/2023 - 21:30', 'DD/MM/YYYY - HH24:MI'));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B68" s="158" t="str">
        <f t="shared" si="9"/>
        <v>INSERT INTO Rega (idOperacao, designacaoSetor) VALUES (308,42);</v>
      </c>
      <c r="AC68" s="12"/>
      <c r="AD68" s="12"/>
      <c r="AE68" s="12"/>
      <c r="AF68" s="12"/>
      <c r="AG68" s="12"/>
      <c r="AH68" s="12"/>
      <c r="AJ68" s="159"/>
      <c r="AK68" s="11"/>
      <c r="AL68" s="11"/>
      <c r="AM68" s="11"/>
      <c r="AN68" s="11"/>
      <c r="AO68" s="11"/>
      <c r="AQ68" s="111" t="str">
        <f t="shared" si="12"/>
        <v>INSERT INTO AplicacaoFatorProducao (nomeComercial, idOperacao) VALUES ('Floracal Flow SL',424);</v>
      </c>
      <c r="AR68" s="111"/>
      <c r="AS68" s="111"/>
      <c r="AT68" s="111"/>
      <c r="AU68" s="111"/>
      <c r="AV68" s="111"/>
      <c r="AW68" s="111"/>
      <c r="AX68" s="111"/>
      <c r="AY68" s="111"/>
      <c r="BA68" s="1">
        <v>45268</v>
      </c>
    </row>
    <row r="69" spans="1:53">
      <c r="A69" s="1" t="str">
        <f t="shared" si="5"/>
        <v>20/05/2023</v>
      </c>
      <c r="B69">
        <v>41</v>
      </c>
      <c r="C69">
        <v>120</v>
      </c>
      <c r="D69" t="str">
        <f t="shared" si="6"/>
        <v>07:30</v>
      </c>
      <c r="E69">
        <v>11</v>
      </c>
      <c r="F69" t="s">
        <v>317</v>
      </c>
      <c r="G69">
        <v>313</v>
      </c>
      <c r="H69">
        <v>1.1000000000000001</v>
      </c>
      <c r="J69" s="156" t="str">
        <f t="shared" si="8"/>
        <v>INSERT INTO Operacao (idOperacao, designacaoOperacaoAgricola, designacaoUnidade, idEstadoOperacao, quantidade, dataOperacao) VALUES (313,'Fertirrega',min,1,120,TO_DATE('20/05/2023 - 07:30', 'DD/MM/YYYY - HH24:MI'));</v>
      </c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B69" s="158" t="str">
        <f t="shared" si="9"/>
        <v>INSERT INTO Rega (idOperacao, designacaoSetor) VALUES (313,41);</v>
      </c>
      <c r="AC69" s="12"/>
      <c r="AD69" s="12"/>
      <c r="AE69" s="12"/>
      <c r="AF69" s="12"/>
      <c r="AG69" s="12"/>
      <c r="AH69" s="12"/>
      <c r="AJ69" s="159"/>
      <c r="AK69" s="11"/>
      <c r="AL69" s="11"/>
      <c r="AM69" s="11"/>
      <c r="AN69" s="11"/>
      <c r="AO69" s="11"/>
      <c r="AQ69" s="111" t="str">
        <f t="shared" si="12"/>
        <v>INSERT INTO AplicacaoFatorProducao (nomeComercial, idOperacao) VALUES ('Floracal Flow SL',425);</v>
      </c>
      <c r="AR69" s="111"/>
      <c r="AS69" s="111"/>
      <c r="AT69" s="111"/>
      <c r="AU69" s="111"/>
      <c r="AV69" s="111"/>
      <c r="AW69" s="111"/>
      <c r="AX69" s="111"/>
      <c r="AY69" s="111"/>
      <c r="BA69" t="s">
        <v>456</v>
      </c>
    </row>
    <row r="70" spans="1:53">
      <c r="A70" s="1" t="str">
        <f t="shared" si="5"/>
        <v>09/07/2023</v>
      </c>
      <c r="B70">
        <v>41</v>
      </c>
      <c r="C70">
        <v>120</v>
      </c>
      <c r="D70" t="str">
        <f t="shared" si="6"/>
        <v>06:20</v>
      </c>
      <c r="E70">
        <v>10</v>
      </c>
      <c r="F70" t="s">
        <v>317</v>
      </c>
      <c r="G70">
        <v>315</v>
      </c>
      <c r="H70">
        <v>1.1000000000000001</v>
      </c>
      <c r="J70" s="156" t="str">
        <f t="shared" si="8"/>
        <v>INSERT INTO Operacao (idOperacao, designacaoOperacaoAgricola, designacaoUnidade, idEstadoOperacao, quantidade, dataOperacao) VALUES (315,'Fertirrega',min,1,120,TO_DATE('09/07/2023 - 06:20', 'DD/MM/YYYY - HH24:MI'));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B70" s="158" t="str">
        <f t="shared" si="9"/>
        <v>INSERT INTO Rega (idOperacao, designacaoSetor) VALUES (315,41);</v>
      </c>
      <c r="AC70" s="12"/>
      <c r="AD70" s="12"/>
      <c r="AE70" s="12"/>
      <c r="AF70" s="12"/>
      <c r="AG70" s="12"/>
      <c r="AH70" s="12"/>
      <c r="AJ70" s="159"/>
      <c r="AK70" s="11"/>
      <c r="AL70" s="11"/>
      <c r="AM70" s="11"/>
      <c r="AN70" s="11"/>
      <c r="AO70" s="11"/>
      <c r="AQ70" s="166" t="str">
        <f>"INSERT INTO AplicacaoFatorProducao (nomeComercial, idOperacao) VALUES ('Tecniferti MOL',"&amp;G62&amp;");"</f>
        <v>INSERT INTO AplicacaoFatorProducao (nomeComercial, idOperacao) VALUES ('Tecniferti MOL',426);</v>
      </c>
      <c r="AR70" s="166"/>
      <c r="AS70" s="166"/>
      <c r="AT70" s="166"/>
      <c r="AU70" s="166"/>
      <c r="AV70" s="166"/>
      <c r="AW70" s="166"/>
      <c r="AX70" s="166"/>
      <c r="AY70" s="166"/>
      <c r="BA70" s="1">
        <v>45176</v>
      </c>
    </row>
    <row r="71" spans="1:53">
      <c r="AQ71" s="166" t="str">
        <f>"INSERT INTO AplicacaoFatorProducao (nomeComercial, idOperacao) VALUES ('Kiplant AllGrip',"&amp;G62&amp;");"</f>
        <v>INSERT INTO AplicacaoFatorProducao (nomeComercial, idOperacao) VALUES ('Kiplant AllGrip',426);</v>
      </c>
      <c r="AR71" s="166"/>
      <c r="AS71" s="166"/>
      <c r="AT71" s="166"/>
      <c r="AU71" s="166"/>
      <c r="AV71" s="166"/>
      <c r="AW71" s="166"/>
      <c r="AX71" s="166"/>
      <c r="AY71" s="166"/>
    </row>
    <row r="72" spans="1:53">
      <c r="B72">
        <v>21</v>
      </c>
      <c r="C72">
        <v>120</v>
      </c>
      <c r="E72" t="s">
        <v>434</v>
      </c>
      <c r="G72">
        <f>265+ROW(A1)</f>
        <v>266</v>
      </c>
      <c r="I72" s="179" t="s">
        <v>234</v>
      </c>
      <c r="J72" s="179"/>
      <c r="K72" s="179"/>
      <c r="L72" s="179"/>
      <c r="M72" s="179"/>
      <c r="N72" s="179"/>
      <c r="O72" s="179"/>
      <c r="P72" s="179"/>
      <c r="Q72" s="179"/>
      <c r="R72" s="179"/>
      <c r="AQ72" s="111" t="str">
        <f>"INSERT INTO AplicacaoFatorProducao (nomeComercial, idOperacao) VALUES ('EPSO TOP',"&amp;G63&amp;");"</f>
        <v>INSERT INTO AplicacaoFatorProducao (nomeComercial, idOperacao) VALUES ('EPSO TOP',427);</v>
      </c>
      <c r="AR72" s="111"/>
      <c r="AS72" s="111"/>
      <c r="AT72" s="111"/>
      <c r="AU72" s="111"/>
      <c r="AV72" s="111"/>
      <c r="AW72" s="111"/>
      <c r="AX72" s="111"/>
      <c r="AY72" s="111"/>
      <c r="AZ72" s="111"/>
    </row>
    <row r="73" spans="1:53">
      <c r="B73">
        <v>21</v>
      </c>
      <c r="C73">
        <v>120</v>
      </c>
      <c r="E73" t="s">
        <v>434</v>
      </c>
      <c r="G73">
        <f t="shared" ref="G73:G132" si="13">265+ROW(A2)</f>
        <v>267</v>
      </c>
      <c r="I73" s="16" t="str">
        <f>"INSERT INTO Rega (idOperacao, designacaoSetor) VALUES ("&amp;G72&amp;","&amp;B72&amp;");"</f>
        <v>INSERT INTO Rega (idOperacao, designacaoSetor) VALUES (266,21);</v>
      </c>
      <c r="J73" s="16"/>
      <c r="K73" s="16"/>
      <c r="L73" s="16"/>
      <c r="M73" s="16"/>
      <c r="N73" s="16"/>
      <c r="O73" s="16"/>
      <c r="P73" s="16"/>
      <c r="Q73" s="16"/>
      <c r="R73" s="16"/>
      <c r="AQ73" s="111" t="str">
        <f>"INSERT INTO AplicacaoFatorProducao (nomeComercial, idOperacao) VALUES ('EPSO TOP',"&amp;G64&amp;");"</f>
        <v>INSERT INTO AplicacaoFatorProducao (nomeComercial, idOperacao) VALUES ('EPSO TOP',428);</v>
      </c>
      <c r="AR73" s="111"/>
      <c r="AS73" s="111"/>
      <c r="AT73" s="111"/>
      <c r="AU73" s="111"/>
      <c r="AV73" s="111"/>
      <c r="AW73" s="111"/>
      <c r="AX73" s="111"/>
      <c r="AY73" s="111"/>
      <c r="AZ73" s="111"/>
    </row>
    <row r="74" spans="1:53">
      <c r="B74">
        <v>21</v>
      </c>
      <c r="C74">
        <v>120</v>
      </c>
      <c r="E74" t="s">
        <v>434</v>
      </c>
      <c r="G74">
        <f t="shared" si="13"/>
        <v>268</v>
      </c>
      <c r="I74" s="16" t="str">
        <f t="shared" ref="I74:I133" si="14">"INSERT INTO Rega (idOperacao, designacaoSetor) VALUES ("&amp;G73&amp;","&amp;B73&amp;");"</f>
        <v>INSERT INTO Rega (idOperacao, designacaoSetor) VALUES (267,21);</v>
      </c>
      <c r="J74" s="16"/>
      <c r="K74" s="16"/>
      <c r="L74" s="16"/>
      <c r="M74" s="16"/>
      <c r="N74" s="16"/>
      <c r="O74" s="16"/>
      <c r="P74" s="16"/>
      <c r="Q74" s="16"/>
      <c r="R74" s="16"/>
      <c r="AD74" t="s">
        <v>421</v>
      </c>
      <c r="AQ74" s="111" t="str">
        <f>"INSERT INTO AplicacaoFatorProducao (nomeComercial, idOperacao) VALUES ('soluSOP 52',"&amp;G63&amp;");"</f>
        <v>INSERT INTO AplicacaoFatorProducao (nomeComercial, idOperacao) VALUES ('soluSOP 52',427);</v>
      </c>
      <c r="AR74" s="111"/>
      <c r="AS74" s="111"/>
      <c r="AT74" s="111"/>
      <c r="AU74" s="111"/>
      <c r="AV74" s="111"/>
      <c r="AW74" s="111"/>
      <c r="AX74" s="111"/>
      <c r="AY74" s="111"/>
      <c r="AZ74" s="111"/>
    </row>
    <row r="75" spans="1:53">
      <c r="B75">
        <v>21</v>
      </c>
      <c r="C75">
        <v>120</v>
      </c>
      <c r="E75" t="s">
        <v>434</v>
      </c>
      <c r="G75">
        <f t="shared" si="13"/>
        <v>269</v>
      </c>
      <c r="I75" s="16" t="str">
        <f t="shared" si="14"/>
        <v>INSERT INTO Rega (idOperacao, designacaoSetor) VALUES (268,21);</v>
      </c>
      <c r="J75" s="16"/>
      <c r="K75" s="16"/>
      <c r="L75" s="16"/>
      <c r="M75" s="16"/>
      <c r="N75" s="16"/>
      <c r="O75" s="16"/>
      <c r="P75" s="16"/>
      <c r="Q75" s="16"/>
      <c r="R75" s="16"/>
      <c r="AD75" t="s">
        <v>407</v>
      </c>
      <c r="AQ75" s="111" t="str">
        <f>"INSERT INTO AplicacaoFatorProducao (nomeComercial, idOperacao) VALUES ('soluSOP 52',"&amp;G64&amp;");"</f>
        <v>INSERT INTO AplicacaoFatorProducao (nomeComercial, idOperacao) VALUES ('soluSOP 52',428);</v>
      </c>
      <c r="AR75" s="111"/>
      <c r="AS75" s="111"/>
      <c r="AT75" s="111"/>
      <c r="AU75" s="111"/>
      <c r="AV75" s="111"/>
      <c r="AW75" s="111"/>
      <c r="AX75" s="111"/>
      <c r="AY75" s="111"/>
      <c r="AZ75" s="111"/>
    </row>
    <row r="76" spans="1:53">
      <c r="B76">
        <v>21</v>
      </c>
      <c r="C76">
        <v>180</v>
      </c>
      <c r="E76" t="s">
        <v>434</v>
      </c>
      <c r="G76">
        <f t="shared" si="13"/>
        <v>270</v>
      </c>
      <c r="I76" s="16" t="str">
        <f t="shared" si="14"/>
        <v>INSERT INTO Rega (idOperacao, designacaoSetor) VALUES (269,21);</v>
      </c>
      <c r="J76" s="16"/>
      <c r="K76" s="16"/>
      <c r="L76" s="16"/>
      <c r="M76" s="16"/>
      <c r="N76" s="16"/>
      <c r="O76" s="16"/>
      <c r="P76" s="16"/>
      <c r="Q76" s="16"/>
      <c r="R76" s="16"/>
      <c r="AD76" t="s">
        <v>411</v>
      </c>
      <c r="AQ76" s="111" t="str">
        <f>"INSERT INTO AplicacaoFatorProducao (nomeComercial, idOperacao) VALUES ('Floracal Flow SL',"&amp;G63&amp;");"</f>
        <v>INSERT INTO AplicacaoFatorProducao (nomeComercial, idOperacao) VALUES ('Floracal Flow SL',427);</v>
      </c>
      <c r="AR76" s="111"/>
      <c r="AS76" s="111"/>
      <c r="AT76" s="111"/>
      <c r="AU76" s="111"/>
      <c r="AV76" s="111"/>
      <c r="AW76" s="111"/>
      <c r="AX76" s="111"/>
      <c r="AY76" s="111"/>
    </row>
    <row r="77" spans="1:53">
      <c r="B77">
        <v>21</v>
      </c>
      <c r="C77">
        <v>180</v>
      </c>
      <c r="E77" t="s">
        <v>434</v>
      </c>
      <c r="G77">
        <f t="shared" si="13"/>
        <v>271</v>
      </c>
      <c r="I77" s="16" t="str">
        <f t="shared" si="14"/>
        <v>INSERT INTO Rega (idOperacao, designacaoSetor) VALUES (270,21);</v>
      </c>
      <c r="J77" s="16"/>
      <c r="K77" s="16"/>
      <c r="L77" s="16"/>
      <c r="M77" s="16"/>
      <c r="N77" s="16"/>
      <c r="O77" s="16"/>
      <c r="P77" s="16"/>
      <c r="Q77" s="16"/>
      <c r="R77" s="16"/>
      <c r="AD77" t="s">
        <v>402</v>
      </c>
      <c r="AQ77" s="111" t="str">
        <f>"INSERT INTO AplicacaoFatorProducao (nomeComercial, idOperacao) VALUES ('Floracal Flow SL',"&amp;G64&amp;");"</f>
        <v>INSERT INTO AplicacaoFatorProducao (nomeComercial, idOperacao) VALUES ('Floracal Flow SL',428);</v>
      </c>
      <c r="AR77" s="111"/>
      <c r="AS77" s="111"/>
      <c r="AT77" s="111"/>
      <c r="AU77" s="111"/>
      <c r="AV77" s="111"/>
      <c r="AW77" s="111"/>
      <c r="AX77" s="111"/>
      <c r="AY77" s="111"/>
    </row>
    <row r="78" spans="1:53">
      <c r="B78">
        <v>21</v>
      </c>
      <c r="C78">
        <v>180</v>
      </c>
      <c r="E78" t="s">
        <v>434</v>
      </c>
      <c r="G78">
        <f t="shared" si="13"/>
        <v>272</v>
      </c>
      <c r="I78" s="16" t="str">
        <f t="shared" si="14"/>
        <v>INSERT INTO Rega (idOperacao, designacaoSetor) VALUES (271,21);</v>
      </c>
      <c r="J78" s="16"/>
      <c r="K78" s="16"/>
      <c r="L78" s="16"/>
      <c r="M78" s="16"/>
      <c r="N78" s="16"/>
      <c r="O78" s="16"/>
      <c r="P78" s="16"/>
      <c r="Q78" s="16"/>
      <c r="R78" s="16"/>
      <c r="AD78" t="s">
        <v>414</v>
      </c>
      <c r="AQ78" s="166" t="str">
        <f>"INSERT INTO AplicacaoFatorProducao (nomeComercial, idOperacao) VALUES ('Tecniferti MOL',"&amp;G65&amp;");"</f>
        <v>INSERT INTO AplicacaoFatorProducao (nomeComercial, idOperacao) VALUES ('Tecniferti MOL',302);</v>
      </c>
      <c r="AR78" s="166"/>
      <c r="AS78" s="166"/>
      <c r="AT78" s="166"/>
      <c r="AU78" s="166"/>
      <c r="AV78" s="166"/>
      <c r="AW78" s="166"/>
      <c r="AX78" s="166"/>
      <c r="AY78" s="166"/>
    </row>
    <row r="79" spans="1:53">
      <c r="B79">
        <v>21</v>
      </c>
      <c r="C79">
        <v>180</v>
      </c>
      <c r="E79" t="s">
        <v>434</v>
      </c>
      <c r="G79">
        <f t="shared" si="13"/>
        <v>273</v>
      </c>
      <c r="I79" s="16" t="str">
        <f t="shared" si="14"/>
        <v>INSERT INTO Rega (idOperacao, designacaoSetor) VALUES (272,21);</v>
      </c>
      <c r="J79" s="16"/>
      <c r="K79" s="16"/>
      <c r="L79" s="16"/>
      <c r="M79" s="16"/>
      <c r="N79" s="16"/>
      <c r="O79" s="16"/>
      <c r="P79" s="16"/>
      <c r="Q79" s="16"/>
      <c r="R79" s="16"/>
      <c r="AQ79" s="166" t="str">
        <f>"INSERT INTO AplicacaoFatorProducao (nomeComercial, idOperacao) VALUES ('Kiplant AllGrip',"&amp;G65&amp;");"</f>
        <v>INSERT INTO AplicacaoFatorProducao (nomeComercial, idOperacao) VALUES ('Kiplant AllGrip',302);</v>
      </c>
      <c r="AR79" s="166"/>
      <c r="AS79" s="166"/>
      <c r="AT79" s="166"/>
      <c r="AU79" s="166"/>
      <c r="AV79" s="166"/>
      <c r="AW79" s="166"/>
      <c r="AX79" s="166"/>
      <c r="AY79" s="166"/>
    </row>
    <row r="80" spans="1:53">
      <c r="B80">
        <v>21</v>
      </c>
      <c r="C80">
        <v>150</v>
      </c>
      <c r="E80" t="s">
        <v>434</v>
      </c>
      <c r="G80">
        <f t="shared" si="13"/>
        <v>274</v>
      </c>
      <c r="I80" s="16" t="str">
        <f t="shared" si="14"/>
        <v>INSERT INTO Rega (idOperacao, designacaoSetor) VALUES (273,21);</v>
      </c>
      <c r="J80" s="16"/>
      <c r="K80" s="16"/>
      <c r="L80" s="16"/>
      <c r="M80" s="16"/>
      <c r="N80" s="16"/>
      <c r="O80" s="16"/>
      <c r="P80" s="16"/>
      <c r="Q80" s="16"/>
      <c r="R80" s="16"/>
      <c r="AQ80" s="111" t="s">
        <v>457</v>
      </c>
      <c r="AR80" s="111"/>
      <c r="AS80" s="111"/>
      <c r="AT80" s="111"/>
      <c r="AU80" s="111"/>
      <c r="AV80" s="111"/>
      <c r="AW80" s="111"/>
      <c r="AX80" s="111"/>
      <c r="AY80" s="111"/>
    </row>
    <row r="81" spans="2:51">
      <c r="B81">
        <v>21</v>
      </c>
      <c r="C81">
        <v>150</v>
      </c>
      <c r="E81" t="s">
        <v>434</v>
      </c>
      <c r="G81">
        <f t="shared" si="13"/>
        <v>275</v>
      </c>
      <c r="I81" s="16" t="str">
        <f t="shared" si="14"/>
        <v>INSERT INTO Rega (idOperacao, designacaoSetor) VALUES (274,21);</v>
      </c>
      <c r="J81" s="16"/>
      <c r="K81" s="16"/>
      <c r="L81" s="16"/>
      <c r="M81" s="16"/>
      <c r="N81" s="16"/>
      <c r="O81" s="16"/>
      <c r="P81" s="16"/>
      <c r="Q81" s="16"/>
      <c r="R81" s="16"/>
      <c r="AQ81" s="111" t="s">
        <v>458</v>
      </c>
      <c r="AR81" s="111"/>
      <c r="AS81" s="111"/>
      <c r="AT81" s="111"/>
      <c r="AU81" s="111"/>
      <c r="AV81" s="111"/>
      <c r="AW81" s="111"/>
      <c r="AX81" s="111"/>
      <c r="AY81" s="111"/>
    </row>
    <row r="82" spans="2:51">
      <c r="B82">
        <v>21</v>
      </c>
      <c r="C82">
        <v>150</v>
      </c>
      <c r="E82" t="s">
        <v>434</v>
      </c>
      <c r="G82">
        <f t="shared" si="13"/>
        <v>276</v>
      </c>
      <c r="I82" s="16" t="str">
        <f t="shared" si="14"/>
        <v>INSERT INTO Rega (idOperacao, designacaoSetor) VALUES (275,21);</v>
      </c>
      <c r="J82" s="16"/>
      <c r="K82" s="16"/>
      <c r="L82" s="16"/>
      <c r="M82" s="16"/>
      <c r="N82" s="16"/>
      <c r="O82" s="16"/>
      <c r="P82" s="16"/>
      <c r="Q82" s="16"/>
      <c r="R82" s="16"/>
      <c r="AQ82" s="111" t="s">
        <v>459</v>
      </c>
      <c r="AR82" s="111"/>
      <c r="AS82" s="111"/>
      <c r="AT82" s="111"/>
      <c r="AU82" s="111"/>
      <c r="AV82" s="111"/>
      <c r="AW82" s="111"/>
      <c r="AX82" s="111"/>
      <c r="AY82" s="111"/>
    </row>
    <row r="83" spans="2:51">
      <c r="B83">
        <v>21</v>
      </c>
      <c r="C83">
        <v>120</v>
      </c>
      <c r="E83" t="s">
        <v>434</v>
      </c>
      <c r="G83">
        <f t="shared" si="13"/>
        <v>277</v>
      </c>
      <c r="I83" s="16" t="str">
        <f t="shared" si="14"/>
        <v>INSERT INTO Rega (idOperacao, designacaoSetor) VALUES (276,21);</v>
      </c>
      <c r="J83" s="16"/>
      <c r="K83" s="16"/>
      <c r="L83" s="16"/>
      <c r="M83" s="16"/>
      <c r="N83" s="16"/>
      <c r="O83" s="16"/>
      <c r="P83" s="16"/>
      <c r="Q83" s="16"/>
      <c r="R83" s="16"/>
      <c r="AQ83" s="166" t="str">
        <f>"INSERT INTO AplicacaoFatorProducao (nomeComercial, idOperacao) VALUES ('Tecniferti MOL',306);"</f>
        <v>INSERT INTO AplicacaoFatorProducao (nomeComercial, idOperacao) VALUES ('Tecniferti MOL',306);</v>
      </c>
      <c r="AR83" s="166"/>
      <c r="AS83" s="166"/>
      <c r="AT83" s="166"/>
      <c r="AU83" s="166"/>
      <c r="AV83" s="166"/>
      <c r="AW83" s="166"/>
      <c r="AX83" s="166"/>
      <c r="AY83" s="166"/>
    </row>
    <row r="84" spans="2:51">
      <c r="B84">
        <v>21</v>
      </c>
      <c r="C84">
        <v>120</v>
      </c>
      <c r="E84" t="s">
        <v>434</v>
      </c>
      <c r="G84">
        <f t="shared" si="13"/>
        <v>278</v>
      </c>
      <c r="I84" s="16" t="str">
        <f t="shared" si="14"/>
        <v>INSERT INTO Rega (idOperacao, designacaoSetor) VALUES (277,21);</v>
      </c>
      <c r="J84" s="16"/>
      <c r="K84" s="16"/>
      <c r="L84" s="16"/>
      <c r="M84" s="16"/>
      <c r="N84" s="16"/>
      <c r="O84" s="16"/>
      <c r="P84" s="16"/>
      <c r="Q84" s="16"/>
      <c r="R84" s="16"/>
      <c r="AQ84" s="166" t="str">
        <f>"INSERT INTO AplicacaoFatorProducao (nomeComercial, idOperacao) VALUES ('Kiplant AllGrip',306);"</f>
        <v>INSERT INTO AplicacaoFatorProducao (nomeComercial, idOperacao) VALUES ('Kiplant AllGrip',306);</v>
      </c>
      <c r="AR84" s="166"/>
      <c r="AS84" s="166"/>
      <c r="AT84" s="166"/>
      <c r="AU84" s="166"/>
      <c r="AV84" s="166"/>
      <c r="AW84" s="166"/>
      <c r="AX84" s="166"/>
      <c r="AY84" s="166"/>
    </row>
    <row r="85" spans="2:51">
      <c r="B85">
        <v>21</v>
      </c>
      <c r="C85">
        <v>120</v>
      </c>
      <c r="E85" t="s">
        <v>434</v>
      </c>
      <c r="G85">
        <f t="shared" si="13"/>
        <v>279</v>
      </c>
      <c r="I85" s="16" t="str">
        <f t="shared" si="14"/>
        <v>INSERT INTO Rega (idOperacao, designacaoSetor) VALUES (278,21);</v>
      </c>
      <c r="J85" s="16"/>
      <c r="K85" s="16"/>
      <c r="L85" s="16"/>
      <c r="M85" s="16"/>
      <c r="N85" s="16"/>
      <c r="O85" s="16"/>
      <c r="P85" s="16"/>
      <c r="Q85" s="16"/>
      <c r="R85" s="16"/>
      <c r="AQ85" s="111" t="s">
        <v>460</v>
      </c>
      <c r="AR85" s="111"/>
      <c r="AS85" s="111"/>
      <c r="AT85" s="111"/>
      <c r="AU85" s="111"/>
      <c r="AV85" s="111"/>
      <c r="AW85" s="111"/>
      <c r="AX85" s="111"/>
      <c r="AY85" s="111"/>
    </row>
    <row r="86" spans="2:51">
      <c r="B86">
        <v>22</v>
      </c>
      <c r="C86">
        <v>120</v>
      </c>
      <c r="E86" t="s">
        <v>434</v>
      </c>
      <c r="G86">
        <f t="shared" si="13"/>
        <v>280</v>
      </c>
      <c r="I86" s="16" t="str">
        <f t="shared" si="14"/>
        <v>INSERT INTO Rega (idOperacao, designacaoSetor) VALUES (279,21);</v>
      </c>
      <c r="J86" s="16"/>
      <c r="K86" s="16"/>
      <c r="L86" s="16"/>
      <c r="M86" s="16"/>
      <c r="N86" s="16"/>
      <c r="O86" s="16"/>
      <c r="P86" s="16"/>
      <c r="Q86" s="16"/>
      <c r="R86" s="16"/>
      <c r="AQ86" s="111" t="s">
        <v>461</v>
      </c>
      <c r="AR86" s="111"/>
      <c r="AS86" s="111"/>
      <c r="AT86" s="111"/>
      <c r="AU86" s="111"/>
      <c r="AV86" s="111"/>
      <c r="AW86" s="111"/>
      <c r="AX86" s="111"/>
      <c r="AY86" s="111"/>
    </row>
    <row r="87" spans="2:51">
      <c r="B87">
        <v>22</v>
      </c>
      <c r="C87">
        <v>120</v>
      </c>
      <c r="E87" t="s">
        <v>434</v>
      </c>
      <c r="G87">
        <f t="shared" si="13"/>
        <v>281</v>
      </c>
      <c r="I87" s="16" t="str">
        <f t="shared" si="14"/>
        <v>INSERT INTO Rega (idOperacao, designacaoSetor) VALUES (280,22);</v>
      </c>
      <c r="J87" s="16"/>
      <c r="K87" s="16"/>
      <c r="L87" s="16"/>
      <c r="M87" s="16"/>
      <c r="N87" s="16"/>
      <c r="O87" s="16"/>
      <c r="P87" s="16"/>
      <c r="Q87" s="16"/>
      <c r="R87" s="16"/>
      <c r="AQ87" s="111" t="s">
        <v>462</v>
      </c>
      <c r="AR87" s="111"/>
      <c r="AS87" s="111"/>
      <c r="AT87" s="111"/>
      <c r="AU87" s="111"/>
      <c r="AV87" s="111"/>
      <c r="AW87" s="111"/>
      <c r="AX87" s="111"/>
      <c r="AY87" s="111"/>
    </row>
    <row r="88" spans="2:51">
      <c r="B88">
        <v>22</v>
      </c>
      <c r="C88">
        <v>120</v>
      </c>
      <c r="E88" t="s">
        <v>434</v>
      </c>
      <c r="G88">
        <f t="shared" si="13"/>
        <v>282</v>
      </c>
      <c r="I88" s="16" t="str">
        <f t="shared" si="14"/>
        <v>INSERT INTO Rega (idOperacao, designacaoSetor) VALUES (281,22);</v>
      </c>
      <c r="J88" s="16"/>
      <c r="K88" s="16"/>
      <c r="L88" s="16"/>
      <c r="M88" s="16"/>
      <c r="N88" s="16"/>
      <c r="O88" s="16"/>
      <c r="P88" s="16"/>
      <c r="Q88" s="16"/>
      <c r="R88" s="16"/>
      <c r="AQ88" s="166" t="str">
        <f>"INSERT INTO AplicacaoFatorProducao (nomeComercial, idOperacao) VALUES ('Tecniferti MOL',313);"</f>
        <v>INSERT INTO AplicacaoFatorProducao (nomeComercial, idOperacao) VALUES ('Tecniferti MOL',313);</v>
      </c>
      <c r="AR88" s="166"/>
      <c r="AS88" s="166"/>
      <c r="AT88" s="166"/>
      <c r="AU88" s="166"/>
      <c r="AV88" s="166"/>
      <c r="AW88" s="166"/>
      <c r="AX88" s="166"/>
      <c r="AY88" s="166"/>
    </row>
    <row r="89" spans="2:51">
      <c r="B89">
        <v>22</v>
      </c>
      <c r="C89">
        <v>120</v>
      </c>
      <c r="E89" t="s">
        <v>434</v>
      </c>
      <c r="G89">
        <f t="shared" si="13"/>
        <v>283</v>
      </c>
      <c r="I89" s="16" t="str">
        <f t="shared" si="14"/>
        <v>INSERT INTO Rega (idOperacao, designacaoSetor) VALUES (282,22);</v>
      </c>
      <c r="J89" s="16"/>
      <c r="K89" s="16"/>
      <c r="L89" s="16"/>
      <c r="M89" s="16"/>
      <c r="N89" s="16"/>
      <c r="O89" s="16"/>
      <c r="P89" s="16"/>
      <c r="Q89" s="16"/>
      <c r="R89" s="16"/>
      <c r="AQ89" s="166" t="str">
        <f>"INSERT INTO AplicacaoFatorProducao (nomeComercial, idOperacao) VALUES ('Kiplant AllGrip',313);"</f>
        <v>INSERT INTO AplicacaoFatorProducao (nomeComercial, idOperacao) VALUES ('Kiplant AllGrip',313);</v>
      </c>
      <c r="AR89" s="166"/>
      <c r="AS89" s="166"/>
      <c r="AT89" s="166"/>
      <c r="AU89" s="166"/>
      <c r="AV89" s="166"/>
      <c r="AW89" s="166"/>
      <c r="AX89" s="166"/>
      <c r="AY89" s="166"/>
    </row>
    <row r="90" spans="2:51">
      <c r="B90">
        <v>22</v>
      </c>
      <c r="C90">
        <v>180</v>
      </c>
      <c r="E90" t="s">
        <v>434</v>
      </c>
      <c r="G90">
        <f t="shared" si="13"/>
        <v>284</v>
      </c>
      <c r="I90" s="16" t="str">
        <f t="shared" si="14"/>
        <v>INSERT INTO Rega (idOperacao, designacaoSetor) VALUES (283,22);</v>
      </c>
      <c r="J90" s="16"/>
      <c r="K90" s="16"/>
      <c r="L90" s="16"/>
      <c r="M90" s="16"/>
      <c r="N90" s="16"/>
      <c r="O90" s="16"/>
      <c r="P90" s="16"/>
      <c r="Q90" s="16"/>
      <c r="R90" s="16"/>
      <c r="AQ90" s="111" t="s">
        <v>463</v>
      </c>
      <c r="AR90" s="111"/>
      <c r="AS90" s="111"/>
      <c r="AT90" s="111"/>
      <c r="AU90" s="111"/>
      <c r="AV90" s="111"/>
      <c r="AW90" s="111"/>
      <c r="AX90" s="111"/>
      <c r="AY90" s="111"/>
    </row>
    <row r="91" spans="2:51">
      <c r="B91">
        <v>22</v>
      </c>
      <c r="C91">
        <v>180</v>
      </c>
      <c r="E91" t="s">
        <v>434</v>
      </c>
      <c r="G91">
        <f t="shared" si="13"/>
        <v>285</v>
      </c>
      <c r="I91" s="16" t="str">
        <f t="shared" si="14"/>
        <v>INSERT INTO Rega (idOperacao, designacaoSetor) VALUES (284,22);</v>
      </c>
      <c r="J91" s="16"/>
      <c r="K91" s="16"/>
      <c r="L91" s="16"/>
      <c r="M91" s="16"/>
      <c r="N91" s="16"/>
      <c r="O91" s="16"/>
      <c r="P91" s="16"/>
      <c r="Q91" s="16"/>
      <c r="R91" s="16"/>
      <c r="AQ91" s="111" t="s">
        <v>464</v>
      </c>
      <c r="AR91" s="111"/>
      <c r="AS91" s="111"/>
      <c r="AT91" s="111"/>
      <c r="AU91" s="111"/>
      <c r="AV91" s="111"/>
      <c r="AW91" s="111"/>
      <c r="AX91" s="111"/>
      <c r="AY91" s="111"/>
    </row>
    <row r="92" spans="2:51">
      <c r="B92">
        <v>22</v>
      </c>
      <c r="C92">
        <v>180</v>
      </c>
      <c r="E92" t="s">
        <v>434</v>
      </c>
      <c r="G92">
        <f t="shared" si="13"/>
        <v>286</v>
      </c>
      <c r="I92" s="16" t="str">
        <f t="shared" si="14"/>
        <v>INSERT INTO Rega (idOperacao, designacaoSetor) VALUES (285,22);</v>
      </c>
      <c r="J92" s="16"/>
      <c r="K92" s="16"/>
      <c r="L92" s="16"/>
      <c r="M92" s="16"/>
      <c r="N92" s="16"/>
      <c r="O92" s="16"/>
      <c r="P92" s="16"/>
      <c r="Q92" s="16"/>
      <c r="R92" s="16"/>
      <c r="AQ92" s="111" t="s">
        <v>465</v>
      </c>
      <c r="AR92" s="111"/>
      <c r="AS92" s="111"/>
      <c r="AT92" s="111"/>
      <c r="AU92" s="111"/>
      <c r="AV92" s="111"/>
      <c r="AW92" s="111"/>
      <c r="AX92" s="111"/>
      <c r="AY92" s="111"/>
    </row>
    <row r="93" spans="2:51">
      <c r="B93">
        <v>22</v>
      </c>
      <c r="C93">
        <v>180</v>
      </c>
      <c r="E93" t="s">
        <v>434</v>
      </c>
      <c r="G93">
        <f t="shared" si="13"/>
        <v>287</v>
      </c>
      <c r="I93" s="16" t="str">
        <f t="shared" si="14"/>
        <v>INSERT INTO Rega (idOperacao, designacaoSetor) VALUES (286,22);</v>
      </c>
      <c r="J93" s="16"/>
      <c r="K93" s="16"/>
      <c r="L93" s="16"/>
      <c r="M93" s="16"/>
      <c r="N93" s="16"/>
      <c r="O93" s="16"/>
      <c r="P93" s="16"/>
      <c r="Q93" s="16"/>
      <c r="R93" s="16"/>
    </row>
    <row r="94" spans="2:51">
      <c r="B94">
        <v>22</v>
      </c>
      <c r="C94">
        <v>150</v>
      </c>
      <c r="E94" t="s">
        <v>434</v>
      </c>
      <c r="G94">
        <f t="shared" si="13"/>
        <v>288</v>
      </c>
      <c r="I94" s="16" t="str">
        <f t="shared" si="14"/>
        <v>INSERT INTO Rega (idOperacao, designacaoSetor) VALUES (287,22);</v>
      </c>
      <c r="J94" s="16"/>
      <c r="K94" s="16"/>
      <c r="L94" s="16"/>
      <c r="M94" s="16"/>
      <c r="N94" s="16"/>
      <c r="O94" s="16"/>
      <c r="P94" s="16"/>
      <c r="Q94" s="16"/>
      <c r="R94" s="16"/>
    </row>
    <row r="95" spans="2:51">
      <c r="B95">
        <v>22</v>
      </c>
      <c r="C95">
        <v>150</v>
      </c>
      <c r="E95" t="s">
        <v>434</v>
      </c>
      <c r="G95">
        <f t="shared" si="13"/>
        <v>289</v>
      </c>
      <c r="I95" s="16" t="str">
        <f t="shared" si="14"/>
        <v>INSERT INTO Rega (idOperacao, designacaoSetor) VALUES (288,22);</v>
      </c>
      <c r="J95" s="16"/>
      <c r="K95" s="16"/>
      <c r="L95" s="16"/>
      <c r="M95" s="16"/>
      <c r="N95" s="16"/>
      <c r="O95" s="16"/>
      <c r="P95" s="16"/>
      <c r="Q95" s="16"/>
      <c r="R95" s="16"/>
    </row>
    <row r="96" spans="2:51">
      <c r="B96">
        <v>22</v>
      </c>
      <c r="C96">
        <v>150</v>
      </c>
      <c r="E96" t="s">
        <v>434</v>
      </c>
      <c r="G96">
        <f t="shared" si="13"/>
        <v>290</v>
      </c>
      <c r="I96" s="16" t="str">
        <f t="shared" si="14"/>
        <v>INSERT INTO Rega (idOperacao, designacaoSetor) VALUES (289,22);</v>
      </c>
      <c r="J96" s="16"/>
      <c r="K96" s="16"/>
      <c r="L96" s="16"/>
      <c r="M96" s="16"/>
      <c r="N96" s="16"/>
      <c r="O96" s="16"/>
      <c r="P96" s="16"/>
      <c r="Q96" s="16"/>
      <c r="R96" s="16"/>
    </row>
    <row r="97" spans="2:18">
      <c r="B97">
        <v>22</v>
      </c>
      <c r="C97">
        <v>120</v>
      </c>
      <c r="E97" t="s">
        <v>434</v>
      </c>
      <c r="G97">
        <f t="shared" si="13"/>
        <v>291</v>
      </c>
      <c r="I97" s="16" t="str">
        <f t="shared" si="14"/>
        <v>INSERT INTO Rega (idOperacao, designacaoSetor) VALUES (290,22);</v>
      </c>
      <c r="J97" s="16"/>
      <c r="K97" s="16"/>
      <c r="L97" s="16"/>
      <c r="M97" s="16"/>
      <c r="N97" s="16"/>
      <c r="O97" s="16"/>
      <c r="P97" s="16"/>
      <c r="Q97" s="16"/>
      <c r="R97" s="16"/>
    </row>
    <row r="98" spans="2:18">
      <c r="B98">
        <v>22</v>
      </c>
      <c r="C98">
        <v>120</v>
      </c>
      <c r="E98" t="s">
        <v>434</v>
      </c>
      <c r="G98">
        <f t="shared" si="13"/>
        <v>292</v>
      </c>
      <c r="I98" s="16" t="str">
        <f t="shared" si="14"/>
        <v>INSERT INTO Rega (idOperacao, designacaoSetor) VALUES (291,22);</v>
      </c>
      <c r="J98" s="16"/>
      <c r="K98" s="16"/>
      <c r="L98" s="16"/>
      <c r="M98" s="16"/>
      <c r="N98" s="16"/>
      <c r="O98" s="16"/>
      <c r="P98" s="16"/>
      <c r="Q98" s="16"/>
      <c r="R98" s="16"/>
    </row>
    <row r="99" spans="2:18">
      <c r="B99">
        <v>22</v>
      </c>
      <c r="C99">
        <v>120</v>
      </c>
      <c r="E99" t="s">
        <v>434</v>
      </c>
      <c r="G99">
        <f t="shared" si="13"/>
        <v>293</v>
      </c>
      <c r="I99" s="16" t="str">
        <f t="shared" si="14"/>
        <v>INSERT INTO Rega (idOperacao, designacaoSetor) VALUES (292,22);</v>
      </c>
      <c r="J99" s="16"/>
      <c r="K99" s="16"/>
      <c r="L99" s="16"/>
      <c r="M99" s="16"/>
      <c r="N99" s="16"/>
      <c r="O99" s="16"/>
      <c r="P99" s="16"/>
      <c r="Q99" s="16"/>
      <c r="R99" s="16"/>
    </row>
    <row r="100" spans="2:18">
      <c r="B100">
        <v>22</v>
      </c>
      <c r="C100">
        <v>120</v>
      </c>
      <c r="E100" t="s">
        <v>434</v>
      </c>
      <c r="G100">
        <f t="shared" si="13"/>
        <v>294</v>
      </c>
      <c r="I100" s="16" t="str">
        <f t="shared" si="14"/>
        <v>INSERT INTO Rega (idOperacao, designacaoSetor) VALUES (293,22);</v>
      </c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2:18">
      <c r="B101">
        <v>10</v>
      </c>
      <c r="C101">
        <v>60</v>
      </c>
      <c r="E101" t="s">
        <v>434</v>
      </c>
      <c r="G101">
        <f t="shared" si="13"/>
        <v>295</v>
      </c>
      <c r="I101" s="16" t="str">
        <f t="shared" si="14"/>
        <v>INSERT INTO Rega (idOperacao, designacaoSetor) VALUES (294,22);</v>
      </c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2:18">
      <c r="B102">
        <v>10</v>
      </c>
      <c r="C102">
        <v>120</v>
      </c>
      <c r="E102" t="s">
        <v>434</v>
      </c>
      <c r="G102">
        <f t="shared" si="13"/>
        <v>296</v>
      </c>
      <c r="I102" s="16" t="str">
        <f t="shared" si="14"/>
        <v>INSERT INTO Rega (idOperacao, designacaoSetor) VALUES (295,10);</v>
      </c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2:18">
      <c r="B103">
        <v>10</v>
      </c>
      <c r="C103">
        <v>180</v>
      </c>
      <c r="E103" t="s">
        <v>434</v>
      </c>
      <c r="G103">
        <f t="shared" si="13"/>
        <v>297</v>
      </c>
      <c r="I103" s="16" t="str">
        <f t="shared" si="14"/>
        <v>INSERT INTO Rega (idOperacao, designacaoSetor) VALUES (296,10);</v>
      </c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2:18">
      <c r="B104">
        <v>10</v>
      </c>
      <c r="C104">
        <v>120</v>
      </c>
      <c r="E104" t="s">
        <v>434</v>
      </c>
      <c r="G104">
        <f t="shared" si="13"/>
        <v>298</v>
      </c>
      <c r="I104" s="16" t="str">
        <f t="shared" si="14"/>
        <v>INSERT INTO Rega (idOperacao, designacaoSetor) VALUES (297,10);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2:18">
      <c r="B105">
        <v>10</v>
      </c>
      <c r="C105">
        <v>60</v>
      </c>
      <c r="E105" t="s">
        <v>434</v>
      </c>
      <c r="G105">
        <f t="shared" si="13"/>
        <v>299</v>
      </c>
      <c r="I105" s="16" t="str">
        <f t="shared" si="14"/>
        <v>INSERT INTO Rega (idOperacao, designacaoSetor) VALUES (298,10);</v>
      </c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2:18">
      <c r="B106">
        <v>42</v>
      </c>
      <c r="C106">
        <v>60</v>
      </c>
      <c r="E106" t="s">
        <v>434</v>
      </c>
      <c r="G106">
        <f t="shared" si="13"/>
        <v>300</v>
      </c>
      <c r="I106" s="16" t="str">
        <f t="shared" si="14"/>
        <v>INSERT INTO Rega (idOperacao, designacaoSetor) VALUES (299,10);</v>
      </c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2:18">
      <c r="B107">
        <v>42</v>
      </c>
      <c r="C107">
        <v>60</v>
      </c>
      <c r="E107" t="s">
        <v>434</v>
      </c>
      <c r="G107">
        <f t="shared" si="13"/>
        <v>301</v>
      </c>
      <c r="I107" s="16" t="str">
        <f t="shared" si="14"/>
        <v>INSERT INTO Rega (idOperacao, designacaoSetor) VALUES (300,42);</v>
      </c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2:18">
      <c r="B108">
        <v>42</v>
      </c>
      <c r="C108">
        <v>120</v>
      </c>
      <c r="E108" t="s">
        <v>434</v>
      </c>
      <c r="G108">
        <f t="shared" si="13"/>
        <v>302</v>
      </c>
      <c r="I108" s="16" t="str">
        <f t="shared" si="14"/>
        <v>INSERT INTO Rega (idOperacao, designacaoSetor) VALUES (301,42);</v>
      </c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2:18">
      <c r="B109">
        <v>42</v>
      </c>
      <c r="C109">
        <v>120</v>
      </c>
      <c r="E109" t="s">
        <v>434</v>
      </c>
      <c r="G109">
        <f t="shared" si="13"/>
        <v>303</v>
      </c>
      <c r="I109" s="16" t="str">
        <f t="shared" si="14"/>
        <v>INSERT INTO Rega (idOperacao, designacaoSetor) VALUES (302,42);</v>
      </c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2:18">
      <c r="B110">
        <v>42</v>
      </c>
      <c r="C110">
        <v>120</v>
      </c>
      <c r="E110" t="s">
        <v>434</v>
      </c>
      <c r="G110">
        <f t="shared" si="13"/>
        <v>304</v>
      </c>
      <c r="I110" s="16" t="str">
        <f t="shared" si="14"/>
        <v>INSERT INTO Rega (idOperacao, designacaoSetor) VALUES (303,42);</v>
      </c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2:18">
      <c r="B111">
        <v>42</v>
      </c>
      <c r="C111">
        <v>150</v>
      </c>
      <c r="E111" t="s">
        <v>434</v>
      </c>
      <c r="G111">
        <f t="shared" si="13"/>
        <v>305</v>
      </c>
      <c r="I111" s="16" t="str">
        <f t="shared" si="14"/>
        <v>INSERT INTO Rega (idOperacao, designacaoSetor) VALUES (304,42);</v>
      </c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2:18">
      <c r="B112">
        <v>42</v>
      </c>
      <c r="C112">
        <v>150</v>
      </c>
      <c r="E112" t="s">
        <v>434</v>
      </c>
      <c r="G112">
        <f t="shared" si="13"/>
        <v>306</v>
      </c>
      <c r="I112" s="16" t="str">
        <f t="shared" si="14"/>
        <v>INSERT INTO Rega (idOperacao, designacaoSetor) VALUES (305,42);</v>
      </c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2:18">
      <c r="B113">
        <v>42</v>
      </c>
      <c r="C113">
        <v>120</v>
      </c>
      <c r="E113" t="s">
        <v>434</v>
      </c>
      <c r="G113">
        <f t="shared" si="13"/>
        <v>307</v>
      </c>
      <c r="I113" s="16" t="str">
        <f t="shared" si="14"/>
        <v>INSERT INTO Rega (idOperacao, designacaoSetor) VALUES (306,42);</v>
      </c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2:18">
      <c r="B114">
        <v>42</v>
      </c>
      <c r="C114">
        <v>120</v>
      </c>
      <c r="E114" t="s">
        <v>434</v>
      </c>
      <c r="G114">
        <f t="shared" si="13"/>
        <v>308</v>
      </c>
      <c r="I114" s="16" t="str">
        <f t="shared" si="14"/>
        <v>INSERT INTO Rega (idOperacao, designacaoSetor) VALUES (307,42);</v>
      </c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>
        <v>42</v>
      </c>
      <c r="C115">
        <v>120</v>
      </c>
      <c r="E115" t="s">
        <v>434</v>
      </c>
      <c r="G115">
        <f t="shared" si="13"/>
        <v>309</v>
      </c>
      <c r="I115" s="16" t="str">
        <f t="shared" si="14"/>
        <v>INSERT INTO Rega (idOperacao, designacaoSetor) VALUES (308,42);</v>
      </c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2:18">
      <c r="B116">
        <v>42</v>
      </c>
      <c r="C116">
        <v>120</v>
      </c>
      <c r="E116" t="s">
        <v>434</v>
      </c>
      <c r="G116">
        <f t="shared" si="13"/>
        <v>310</v>
      </c>
      <c r="I116" s="16" t="str">
        <f t="shared" si="14"/>
        <v>INSERT INTO Rega (idOperacao, designacaoSetor) VALUES (309,42);</v>
      </c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2:18">
      <c r="B117">
        <v>42</v>
      </c>
      <c r="C117">
        <v>120</v>
      </c>
      <c r="E117" t="s">
        <v>434</v>
      </c>
      <c r="G117">
        <f t="shared" si="13"/>
        <v>311</v>
      </c>
      <c r="I117" s="16" t="str">
        <f t="shared" si="14"/>
        <v>INSERT INTO Rega (idOperacao, designacaoSetor) VALUES (310,42);</v>
      </c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2:18">
      <c r="B118">
        <v>42</v>
      </c>
      <c r="C118">
        <v>120</v>
      </c>
      <c r="E118" t="s">
        <v>434</v>
      </c>
      <c r="G118">
        <f t="shared" si="13"/>
        <v>312</v>
      </c>
      <c r="I118" s="16" t="str">
        <f t="shared" si="14"/>
        <v>INSERT INTO Rega (idOperacao, designacaoSetor) VALUES (311,42);</v>
      </c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2:18">
      <c r="B119">
        <v>41</v>
      </c>
      <c r="C119">
        <v>120</v>
      </c>
      <c r="E119" t="s">
        <v>434</v>
      </c>
      <c r="G119">
        <f t="shared" si="13"/>
        <v>313</v>
      </c>
      <c r="I119" s="16" t="str">
        <f t="shared" si="14"/>
        <v>INSERT INTO Rega (idOperacao, designacaoSetor) VALUES (312,42);</v>
      </c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2:18">
      <c r="B120">
        <v>41</v>
      </c>
      <c r="C120">
        <v>120</v>
      </c>
      <c r="E120" t="s">
        <v>434</v>
      </c>
      <c r="G120">
        <f t="shared" si="13"/>
        <v>314</v>
      </c>
      <c r="I120" s="16" t="str">
        <f t="shared" si="14"/>
        <v>INSERT INTO Rega (idOperacao, designacaoSetor) VALUES (313,41);</v>
      </c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2:18">
      <c r="B121">
        <v>41</v>
      </c>
      <c r="C121">
        <v>120</v>
      </c>
      <c r="E121" t="s">
        <v>434</v>
      </c>
      <c r="G121">
        <f t="shared" si="13"/>
        <v>315</v>
      </c>
      <c r="I121" s="16" t="str">
        <f t="shared" si="14"/>
        <v>INSERT INTO Rega (idOperacao, designacaoSetor) VALUES (314,41);</v>
      </c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2:18">
      <c r="B122">
        <v>41</v>
      </c>
      <c r="C122">
        <v>120</v>
      </c>
      <c r="E122" t="s">
        <v>434</v>
      </c>
      <c r="G122">
        <f t="shared" si="13"/>
        <v>316</v>
      </c>
      <c r="I122" s="16" t="str">
        <f t="shared" si="14"/>
        <v>INSERT INTO Rega (idOperacao, designacaoSetor) VALUES (315,41);</v>
      </c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2:18">
      <c r="B123">
        <v>41</v>
      </c>
      <c r="C123">
        <v>120</v>
      </c>
      <c r="E123" t="s">
        <v>434</v>
      </c>
      <c r="G123">
        <f t="shared" si="13"/>
        <v>317</v>
      </c>
      <c r="I123" s="16" t="str">
        <f t="shared" si="14"/>
        <v>INSERT INTO Rega (idOperacao, designacaoSetor) VALUES (316,41);</v>
      </c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2:18">
      <c r="B124">
        <v>41</v>
      </c>
      <c r="C124">
        <v>120</v>
      </c>
      <c r="E124" t="s">
        <v>434</v>
      </c>
      <c r="G124">
        <f t="shared" si="13"/>
        <v>318</v>
      </c>
      <c r="I124" s="16" t="str">
        <f t="shared" si="14"/>
        <v>INSERT INTO Rega (idOperacao, designacaoSetor) VALUES (317,41);</v>
      </c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2:18">
      <c r="B125">
        <v>41</v>
      </c>
      <c r="C125">
        <v>120</v>
      </c>
      <c r="E125" t="s">
        <v>434</v>
      </c>
      <c r="G125">
        <f t="shared" si="13"/>
        <v>319</v>
      </c>
      <c r="I125" s="16" t="str">
        <f t="shared" si="14"/>
        <v>INSERT INTO Rega (idOperacao, designacaoSetor) VALUES (318,41);</v>
      </c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2:18">
      <c r="B126">
        <v>41</v>
      </c>
      <c r="C126">
        <v>120</v>
      </c>
      <c r="E126" t="s">
        <v>434</v>
      </c>
      <c r="G126">
        <f t="shared" si="13"/>
        <v>320</v>
      </c>
      <c r="I126" s="16" t="str">
        <f t="shared" si="14"/>
        <v>INSERT INTO Rega (idOperacao, designacaoSetor) VALUES (319,41);</v>
      </c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2:18">
      <c r="B127">
        <v>41</v>
      </c>
      <c r="C127">
        <v>120</v>
      </c>
      <c r="E127" t="s">
        <v>434</v>
      </c>
      <c r="G127">
        <f t="shared" si="13"/>
        <v>321</v>
      </c>
      <c r="I127" s="16" t="str">
        <f t="shared" si="14"/>
        <v>INSERT INTO Rega (idOperacao, designacaoSetor) VALUES (320,41);</v>
      </c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2:18">
      <c r="B128">
        <v>41</v>
      </c>
      <c r="C128">
        <v>120</v>
      </c>
      <c r="E128" t="s">
        <v>434</v>
      </c>
      <c r="G128">
        <f t="shared" si="13"/>
        <v>322</v>
      </c>
      <c r="I128" s="16" t="str">
        <f t="shared" si="14"/>
        <v>INSERT INTO Rega (idOperacao, designacaoSetor) VALUES (321,41);</v>
      </c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2:18">
      <c r="B129">
        <v>41</v>
      </c>
      <c r="C129">
        <v>120</v>
      </c>
      <c r="E129" t="s">
        <v>434</v>
      </c>
      <c r="G129">
        <f t="shared" si="13"/>
        <v>323</v>
      </c>
      <c r="I129" s="16" t="str">
        <f t="shared" si="14"/>
        <v>INSERT INTO Rega (idOperacao, designacaoSetor) VALUES (322,41);</v>
      </c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2:18">
      <c r="B130">
        <v>41</v>
      </c>
      <c r="C130">
        <v>120</v>
      </c>
      <c r="E130" t="s">
        <v>434</v>
      </c>
      <c r="G130">
        <f t="shared" si="13"/>
        <v>324</v>
      </c>
      <c r="I130" s="16" t="str">
        <f t="shared" si="14"/>
        <v>INSERT INTO Rega (idOperacao, designacaoSetor) VALUES (323,41);</v>
      </c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2:18">
      <c r="B131">
        <v>41</v>
      </c>
      <c r="C131">
        <v>120</v>
      </c>
      <c r="E131" t="s">
        <v>434</v>
      </c>
      <c r="G131">
        <f t="shared" si="13"/>
        <v>325</v>
      </c>
      <c r="I131" s="16" t="str">
        <f t="shared" si="14"/>
        <v>INSERT INTO Rega (idOperacao, designacaoSetor) VALUES (324,41);</v>
      </c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2:18">
      <c r="B132">
        <v>41</v>
      </c>
      <c r="C132">
        <v>120</v>
      </c>
      <c r="E132" t="s">
        <v>434</v>
      </c>
      <c r="G132">
        <f t="shared" si="13"/>
        <v>326</v>
      </c>
      <c r="I132" s="16" t="str">
        <f t="shared" si="14"/>
        <v>INSERT INTO Rega (idOperacao, designacaoSetor) VALUES (325,41);</v>
      </c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2:18">
      <c r="I133" s="16" t="str">
        <f t="shared" si="14"/>
        <v>INSERT INTO Rega (idOperacao, designacaoSetor) VALUES (326,41);</v>
      </c>
      <c r="J133" s="16"/>
      <c r="K133" s="16"/>
      <c r="L133" s="16"/>
      <c r="M133" s="16"/>
      <c r="N133" s="16"/>
      <c r="O133" s="16"/>
      <c r="P133" s="16"/>
      <c r="Q133" s="16"/>
      <c r="R133" s="16"/>
    </row>
  </sheetData>
  <mergeCells count="8">
    <mergeCell ref="I72:R72"/>
    <mergeCell ref="AQ57:AY57"/>
    <mergeCell ref="Z2:AF2"/>
    <mergeCell ref="AH2:AM2"/>
    <mergeCell ref="J57:Z57"/>
    <mergeCell ref="AB57:AH57"/>
    <mergeCell ref="AJ57:AO57"/>
    <mergeCell ref="H2:X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17C2-36BA-40B2-A334-083305A481BF}">
  <dimension ref="A1:DE130"/>
  <sheetViews>
    <sheetView zoomScale="66" workbookViewId="0">
      <selection activeCell="AB84" sqref="AB84"/>
    </sheetView>
  </sheetViews>
  <sheetFormatPr defaultRowHeight="14.25"/>
  <cols>
    <col min="2" max="2" width="23.53125" bestFit="1" customWidth="1"/>
    <col min="3" max="3" width="10.1328125" bestFit="1" customWidth="1"/>
    <col min="10" max="10" width="9.1328125" bestFit="1" customWidth="1"/>
  </cols>
  <sheetData>
    <row r="1" spans="1:56">
      <c r="A1" t="s">
        <v>214</v>
      </c>
      <c r="B1" t="s">
        <v>282</v>
      </c>
      <c r="C1" t="s">
        <v>433</v>
      </c>
      <c r="D1" t="s">
        <v>2</v>
      </c>
      <c r="E1" t="s">
        <v>259</v>
      </c>
      <c r="F1" t="s">
        <v>213</v>
      </c>
      <c r="G1" t="s">
        <v>466</v>
      </c>
      <c r="H1" t="s">
        <v>467</v>
      </c>
      <c r="J1" s="176" t="s">
        <v>468</v>
      </c>
      <c r="K1" s="176"/>
      <c r="L1" s="176"/>
      <c r="M1" s="176"/>
      <c r="N1" s="176"/>
      <c r="O1" s="176"/>
      <c r="P1" s="176"/>
      <c r="Q1" s="176"/>
      <c r="S1" s="182" t="s">
        <v>287</v>
      </c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K1" s="181" t="s">
        <v>469</v>
      </c>
      <c r="AL1" s="181"/>
      <c r="AM1" s="181"/>
      <c r="AN1" s="181"/>
      <c r="AO1" s="181"/>
      <c r="AP1" s="181"/>
      <c r="AR1" s="182" t="s">
        <v>470</v>
      </c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</row>
    <row r="2" spans="1:56">
      <c r="B2" s="160"/>
      <c r="J2" s="156"/>
      <c r="K2" s="46"/>
      <c r="L2" s="46"/>
      <c r="M2" s="46"/>
      <c r="N2" s="46"/>
      <c r="O2" s="165"/>
      <c r="P2" s="46"/>
      <c r="Q2" s="46"/>
      <c r="S2" s="162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K2" s="159"/>
      <c r="AL2" s="11"/>
      <c r="AM2" s="11"/>
      <c r="AN2" s="11"/>
      <c r="AO2" s="11"/>
      <c r="AP2" s="11"/>
      <c r="AR2" s="162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</row>
    <row r="3" spans="1:56">
      <c r="B3" s="160"/>
      <c r="J3" s="156"/>
      <c r="K3" s="46"/>
      <c r="L3" s="46"/>
      <c r="M3" s="46"/>
      <c r="N3" s="46"/>
      <c r="O3" s="165"/>
      <c r="P3" s="46"/>
      <c r="Q3" s="46"/>
      <c r="S3" s="162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K3" s="159"/>
      <c r="AL3" s="11"/>
      <c r="AM3" s="11"/>
      <c r="AN3" s="11"/>
      <c r="AO3" s="11"/>
      <c r="AP3" s="11"/>
      <c r="AR3" s="162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</row>
    <row r="4" spans="1:56">
      <c r="B4" s="1"/>
      <c r="J4" s="156"/>
      <c r="K4" s="46"/>
      <c r="L4" s="46"/>
      <c r="M4" s="46"/>
      <c r="N4" s="46"/>
      <c r="O4" s="165"/>
      <c r="P4" s="46"/>
      <c r="Q4" s="46"/>
      <c r="S4" s="162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K4" s="159"/>
      <c r="AL4" s="11"/>
      <c r="AM4" s="11"/>
      <c r="AN4" s="11"/>
      <c r="AO4" s="11"/>
      <c r="AP4" s="11"/>
      <c r="AR4" s="162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</row>
    <row r="5" spans="1:56">
      <c r="B5" s="1"/>
      <c r="J5" s="156"/>
      <c r="K5" s="46"/>
      <c r="L5" s="46"/>
      <c r="M5" s="46"/>
      <c r="N5" s="46"/>
      <c r="O5" s="165"/>
      <c r="P5" s="46"/>
      <c r="Q5" s="46"/>
      <c r="S5" s="162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K5" s="159"/>
      <c r="AL5" s="11"/>
      <c r="AM5" s="11"/>
      <c r="AN5" s="11"/>
      <c r="AO5" s="11"/>
      <c r="AP5" s="11"/>
      <c r="AR5" s="162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</row>
    <row r="6" spans="1:56">
      <c r="B6" s="160"/>
      <c r="J6" s="156"/>
      <c r="K6" s="46"/>
      <c r="L6" s="46"/>
      <c r="M6" s="46"/>
      <c r="N6" s="46"/>
      <c r="O6" s="165"/>
      <c r="P6" s="46"/>
      <c r="Q6" s="46"/>
      <c r="S6" s="162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K6" s="159"/>
      <c r="AL6" s="11"/>
      <c r="AM6" s="11"/>
      <c r="AN6" s="11"/>
      <c r="AO6" s="11"/>
      <c r="AP6" s="11"/>
      <c r="AR6" s="162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</row>
    <row r="7" spans="1:56">
      <c r="B7" s="1"/>
      <c r="J7" s="156"/>
      <c r="K7" s="46"/>
      <c r="L7" s="46"/>
      <c r="M7" s="46"/>
      <c r="N7" s="46"/>
      <c r="O7" s="165"/>
      <c r="P7" s="46"/>
      <c r="Q7" s="46"/>
      <c r="S7" s="162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K7" s="159"/>
      <c r="AL7" s="11"/>
      <c r="AM7" s="11"/>
      <c r="AN7" s="11"/>
      <c r="AO7" s="11"/>
      <c r="AP7" s="11"/>
      <c r="AR7" s="162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</row>
    <row r="8" spans="1:56">
      <c r="B8" s="160"/>
      <c r="J8" s="156"/>
      <c r="K8" s="46"/>
      <c r="L8" s="46"/>
      <c r="M8" s="46"/>
      <c r="N8" s="46"/>
      <c r="O8" s="165"/>
      <c r="P8" s="46"/>
      <c r="Q8" s="46"/>
      <c r="S8" s="162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K8" s="159"/>
      <c r="AL8" s="11"/>
      <c r="AM8" s="11"/>
      <c r="AN8" s="11"/>
      <c r="AO8" s="11"/>
      <c r="AP8" s="11"/>
      <c r="AR8" s="162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</row>
    <row r="9" spans="1:56">
      <c r="B9" s="160"/>
      <c r="J9" s="156"/>
      <c r="K9" s="46"/>
      <c r="L9" s="46"/>
      <c r="M9" s="46"/>
      <c r="N9" s="46"/>
      <c r="O9" s="165"/>
      <c r="P9" s="46"/>
      <c r="Q9" s="46"/>
      <c r="S9" s="162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K9" s="159"/>
      <c r="AL9" s="11"/>
      <c r="AM9" s="11"/>
      <c r="AN9" s="11"/>
      <c r="AO9" s="11"/>
      <c r="AP9" s="11"/>
      <c r="AR9" s="162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1:56">
      <c r="B10" s="160"/>
      <c r="J10" s="156"/>
      <c r="K10" s="46"/>
      <c r="L10" s="46"/>
      <c r="M10" s="46"/>
      <c r="N10" s="46"/>
      <c r="O10" s="165"/>
      <c r="P10" s="46"/>
      <c r="Q10" s="46"/>
      <c r="S10" s="162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K10" s="159"/>
      <c r="AL10" s="11"/>
      <c r="AM10" s="11"/>
      <c r="AN10" s="11"/>
      <c r="AO10" s="11"/>
      <c r="AP10" s="11"/>
      <c r="AR10" s="162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>
      <c r="B11" s="160"/>
      <c r="J11" s="156"/>
      <c r="K11" s="46"/>
      <c r="L11" s="46"/>
      <c r="M11" s="46"/>
      <c r="N11" s="46"/>
      <c r="O11" s="165"/>
      <c r="P11" s="46"/>
      <c r="Q11" s="46"/>
      <c r="S11" s="16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K11" s="159"/>
      <c r="AL11" s="11"/>
      <c r="AM11" s="11"/>
      <c r="AN11" s="11"/>
      <c r="AO11" s="11"/>
      <c r="AP11" s="11"/>
      <c r="AR11" s="162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>
      <c r="B12" s="1"/>
      <c r="J12" s="156"/>
      <c r="K12" s="46"/>
      <c r="L12" s="46"/>
      <c r="M12" s="46"/>
      <c r="N12" s="46"/>
      <c r="O12" s="165"/>
      <c r="P12" s="46"/>
      <c r="Q12" s="46"/>
      <c r="S12" s="16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K12" s="159"/>
      <c r="AL12" s="11"/>
      <c r="AM12" s="11"/>
      <c r="AN12" s="11"/>
      <c r="AO12" s="11"/>
      <c r="AP12" s="11"/>
      <c r="AR12" s="162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>
      <c r="B13" s="160"/>
      <c r="J13" s="156"/>
      <c r="K13" s="46"/>
      <c r="L13" s="46"/>
      <c r="M13" s="46"/>
      <c r="N13" s="46"/>
      <c r="O13" s="165"/>
      <c r="P13" s="46"/>
      <c r="Q13" s="46"/>
      <c r="S13" s="16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K13" s="159"/>
      <c r="AL13" s="11"/>
      <c r="AM13" s="11"/>
      <c r="AN13" s="11"/>
      <c r="AO13" s="11"/>
      <c r="AP13" s="11"/>
      <c r="AR13" s="162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>
      <c r="B14" s="160"/>
      <c r="J14" s="156"/>
      <c r="K14" s="46"/>
      <c r="L14" s="46"/>
      <c r="M14" s="46"/>
      <c r="N14" s="46"/>
      <c r="O14" s="165"/>
      <c r="P14" s="46"/>
      <c r="Q14" s="46"/>
      <c r="S14" s="162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K14" s="159"/>
      <c r="AL14" s="11"/>
      <c r="AM14" s="11"/>
      <c r="AN14" s="11"/>
      <c r="AO14" s="11"/>
      <c r="AP14" s="11"/>
      <c r="AR14" s="162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>
      <c r="B15" s="1"/>
      <c r="J15" s="156"/>
      <c r="K15" s="46"/>
      <c r="L15" s="46"/>
      <c r="M15" s="46"/>
      <c r="N15" s="46"/>
      <c r="O15" s="165"/>
      <c r="P15" s="46"/>
      <c r="Q15" s="46"/>
      <c r="S15" s="16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K15" s="159"/>
      <c r="AL15" s="11"/>
      <c r="AM15" s="11"/>
      <c r="AN15" s="11"/>
      <c r="AO15" s="11"/>
      <c r="AP15" s="11"/>
      <c r="AR15" s="162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>
      <c r="B16" s="160"/>
      <c r="J16" s="156"/>
      <c r="K16" s="46"/>
      <c r="L16" s="46"/>
      <c r="M16" s="46"/>
      <c r="N16" s="46"/>
      <c r="O16" s="165"/>
      <c r="P16" s="46"/>
      <c r="Q16" s="46"/>
      <c r="S16" s="162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K16" s="159"/>
      <c r="AL16" s="11"/>
      <c r="AM16" s="11"/>
      <c r="AN16" s="11"/>
      <c r="AO16" s="11"/>
      <c r="AP16" s="11"/>
      <c r="AR16" s="162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81">
      <c r="A17" t="s">
        <v>218</v>
      </c>
      <c r="B17" s="1">
        <v>44968</v>
      </c>
      <c r="C17" t="s">
        <v>272</v>
      </c>
      <c r="D17" t="s">
        <v>351</v>
      </c>
      <c r="E17">
        <v>400</v>
      </c>
      <c r="F17" t="s">
        <v>292</v>
      </c>
      <c r="G17">
        <f t="shared" ref="G17:G25" si="0">(471 + ROW(A16)-1)</f>
        <v>486</v>
      </c>
      <c r="H17" t="s">
        <v>7</v>
      </c>
      <c r="I17" t="s">
        <v>127</v>
      </c>
      <c r="J17" s="156" t="str">
        <f t="shared" ref="J17:J26" si="1">"INSERT INTO ProdutoColhido (idOperacao, nomeProduto, designacaoUnidade, quantidade) VALUES ("&amp;G17&amp;",'"&amp;C17&amp;"','"&amp;F17&amp;"', "&amp;E17&amp;");"</f>
        <v>INSERT INTO ProdutoColhido (idOperacao, nomeProduto, designacaoUnidade, quantidade) VALUES (486,'Azeitona','kg', 400);</v>
      </c>
      <c r="K17" s="46"/>
      <c r="L17" s="46"/>
      <c r="M17" s="46"/>
      <c r="N17" s="46"/>
      <c r="O17" s="165"/>
      <c r="P17" s="46"/>
      <c r="Q17" s="46"/>
      <c r="S17" s="162" t="str">
        <f t="shared" ref="S17:S26" si="2">"INSERT INTO Operacao (idOperacao, designacaoOperacaoAgricola, designacaoUnidade, idEstadoOperacao, quantidade, dataOperacao, instanteRegistoOperacao) VALUES ("&amp;G17&amp;",'"&amp;H17&amp;"','"&amp;F17&amp;"',1,"&amp;E17&amp;",TO_DATE('"&amp;BF17&amp;"', 'DD/MM/YYYY'),CURRENT_TIMESTAMP);"</f>
        <v>INSERT INTO Operacao (idOperacao, designacaoOperacaoAgricola, designacaoUnidade, idEstadoOperacao, quantidade, dataOperacao, instanteRegistoOperacao) VALUES (486,'Colheita','kg',1,400,TO_DATE('02/11/2023', 'DD/MM/YYYY'),CURRENT_TIMESTAMP);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K17" s="159"/>
      <c r="AL17" s="11"/>
      <c r="AM17" s="11"/>
      <c r="AN17" s="11"/>
      <c r="AO17" s="11"/>
      <c r="AP17" s="11"/>
      <c r="AR17" s="162" t="str">
        <f>"INSERT INTO OperacaoCultura (idOperacao, nomeParcela, dataInicial, nomeComum, variedade) VALUES ("&amp;G17&amp;", '"&amp;A17&amp;"', TO_DATE('"&amp;BF17&amp;"', 'DD/MM/YYYY'), '"&amp;I17&amp;"', UPPER('"&amp;D17&amp;"') );"</f>
        <v>INSERT INTO OperacaoCultura (idOperacao, nomeParcela, dataInicial, nomeComum, variedade) VALUES (486, 'Campo Grande', TO_DATE('02/11/2023', 'DD/MM/YYYY'), 'Oliveira', UPPER('Arbequina') );</v>
      </c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F17" t="str">
        <f t="shared" ref="BF17:BF25" si="3">TEXT(B17,"MM/DD/YYYY")</f>
        <v>02/11/2023</v>
      </c>
    </row>
    <row r="18" spans="1:81">
      <c r="A18" t="s">
        <v>218</v>
      </c>
      <c r="B18" s="1">
        <v>45057</v>
      </c>
      <c r="C18" t="s">
        <v>272</v>
      </c>
      <c r="D18" t="s">
        <v>349</v>
      </c>
      <c r="E18">
        <v>300</v>
      </c>
      <c r="F18" t="s">
        <v>292</v>
      </c>
      <c r="G18">
        <f t="shared" si="0"/>
        <v>487</v>
      </c>
      <c r="H18" t="s">
        <v>7</v>
      </c>
      <c r="I18" t="s">
        <v>127</v>
      </c>
      <c r="J18" s="156" t="str">
        <f t="shared" si="1"/>
        <v>INSERT INTO ProdutoColhido (idOperacao, nomeProduto, designacaoUnidade, quantidade) VALUES (487,'Azeitona','kg', 300);</v>
      </c>
      <c r="K18" s="46"/>
      <c r="L18" s="46"/>
      <c r="M18" s="46"/>
      <c r="N18" s="46"/>
      <c r="O18" s="165"/>
      <c r="P18" s="46"/>
      <c r="Q18" s="46"/>
      <c r="S18" s="162" t="str">
        <f t="shared" si="2"/>
        <v>INSERT INTO Operacao (idOperacao, designacaoOperacaoAgricola, designacaoUnidade, idEstadoOperacao, quantidade, dataOperacao, instanteRegistoOperacao) VALUES (487,'Colheita','kg',1,300,TO_DATE('05/11/2023', 'DD/MM/YYYY'),CURRENT_TIMESTAMP);</v>
      </c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K18" s="159"/>
      <c r="AL18" s="11"/>
      <c r="AM18" s="11"/>
      <c r="AN18" s="11"/>
      <c r="AO18" s="11"/>
      <c r="AP18" s="11"/>
      <c r="AR18" s="162" t="str">
        <f t="shared" ref="AR18:AR19" si="4">"INSERT INTO OperacaoCultura (idOperacao, nomeParcela, dataInicial, nomeComum, variedade) VALUES ("&amp;G18&amp;", '"&amp;A18&amp;"', TO_DATE('"&amp;BF18&amp;"', 'DD/MM/YYYY'), '"&amp;I18&amp;"', UPPER('"&amp;D18&amp;"') );"</f>
        <v>INSERT INTO OperacaoCultura (idOperacao, nomeParcela, dataInicial, nomeComum, variedade) VALUES (487, 'Campo Grande', TO_DATE('05/11/2023', 'DD/MM/YYYY'), 'Oliveira', UPPER('Picual') );</v>
      </c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F18" t="str">
        <f t="shared" si="3"/>
        <v>05/11/2023</v>
      </c>
    </row>
    <row r="19" spans="1:81">
      <c r="A19" t="s">
        <v>218</v>
      </c>
      <c r="B19" s="1">
        <v>45149</v>
      </c>
      <c r="C19" t="s">
        <v>272</v>
      </c>
      <c r="D19" t="s">
        <v>136</v>
      </c>
      <c r="E19">
        <v>350</v>
      </c>
      <c r="F19" t="s">
        <v>292</v>
      </c>
      <c r="G19">
        <f t="shared" si="0"/>
        <v>488</v>
      </c>
      <c r="H19" t="s">
        <v>7</v>
      </c>
      <c r="I19" t="s">
        <v>127</v>
      </c>
      <c r="J19" s="156" t="str">
        <f t="shared" si="1"/>
        <v>INSERT INTO ProdutoColhido (idOperacao, nomeProduto, designacaoUnidade, quantidade) VALUES (488,'Azeitona','kg', 350);</v>
      </c>
      <c r="K19" s="46"/>
      <c r="L19" s="46"/>
      <c r="M19" s="46"/>
      <c r="N19" s="46"/>
      <c r="O19" s="165"/>
      <c r="P19" s="46"/>
      <c r="Q19" s="46"/>
      <c r="S19" s="162" t="str">
        <f t="shared" si="2"/>
        <v>INSERT INTO Operacao (idOperacao, designacaoOperacaoAgricola, designacaoUnidade, idEstadoOperacao, quantidade, dataOperacao, instanteRegistoOperacao) VALUES (488,'Colheita','kg',1,350,TO_DATE('08/11/2023', 'DD/MM/YYYY'),CURRENT_TIMESTAMP);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K19" s="159"/>
      <c r="AL19" s="11"/>
      <c r="AM19" s="11"/>
      <c r="AN19" s="11"/>
      <c r="AO19" s="11"/>
      <c r="AP19" s="11"/>
      <c r="AR19" s="162" t="str">
        <f t="shared" si="4"/>
        <v>INSERT INTO OperacaoCultura (idOperacao, nomeParcela, dataInicial, nomeComum, variedade) VALUES (488, 'Campo Grande', TO_DATE('08/11/2023', 'DD/MM/YYYY'), 'Oliveira', UPPER('Galega') );</v>
      </c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F19" t="str">
        <f t="shared" si="3"/>
        <v>08/11/2023</v>
      </c>
    </row>
    <row r="20" spans="1:81">
      <c r="A20" t="s">
        <v>317</v>
      </c>
      <c r="B20" s="160" t="s">
        <v>471</v>
      </c>
      <c r="C20" t="s">
        <v>100</v>
      </c>
      <c r="D20" t="s">
        <v>472</v>
      </c>
      <c r="E20">
        <v>1500</v>
      </c>
      <c r="F20" t="s">
        <v>292</v>
      </c>
      <c r="G20">
        <f t="shared" si="0"/>
        <v>489</v>
      </c>
      <c r="H20" t="s">
        <v>7</v>
      </c>
      <c r="J20" s="156" t="str">
        <f t="shared" si="1"/>
        <v>INSERT INTO ProdutoColhido (idOperacao, nomeProduto, designacaoUnidade, quantidade) VALUES (489,'Cenoura','kg', 1500);</v>
      </c>
      <c r="K20" s="46"/>
      <c r="L20" s="46"/>
      <c r="M20" s="46"/>
      <c r="N20" s="46"/>
      <c r="O20" s="165"/>
      <c r="P20" s="46"/>
      <c r="Q20" s="46"/>
      <c r="S20" s="162" t="str">
        <f t="shared" si="2"/>
        <v>INSERT INTO Operacao (idOperacao, designacaoOperacaoAgricola, designacaoUnidade, idEstadoOperacao, quantidade, dataOperacao, instanteRegistoOperacao) VALUES (489,'Colheita','kg',1,1500,TO_DATE('14/06/2023', 'DD/MM/YYYY'),CURRENT_TIMESTAMP);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K20" s="159"/>
      <c r="AL20" s="11"/>
      <c r="AM20" s="11"/>
      <c r="AN20" s="11"/>
      <c r="AO20" s="11"/>
      <c r="AP20" s="11"/>
      <c r="AR20" s="162" t="str">
        <f>"INSERT INTO OperacaoCultura (idOperacao, nomeParcela, dataInicial, nomeComum, variedade) VALUES ("&amp;G20&amp;", '"&amp;A20&amp;"', TO_DATE('"&amp;BF20&amp;"', 'DD/MM/YYYY'), '"&amp;C20&amp;"', UPPER('"&amp;D20&amp;"') );"</f>
        <v>INSERT INTO OperacaoCultura (idOperacao, nomeParcela, dataInicial, nomeComum, variedade) VALUES (489, 'Campo Novo', TO_DATE('14/06/2023', 'DD/MM/YYYY'), 'Cenoura', UPPER('Sugarsnax') );</v>
      </c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F20" t="str">
        <f t="shared" si="3"/>
        <v>14/06/2023</v>
      </c>
    </row>
    <row r="21" spans="1:81">
      <c r="A21" t="s">
        <v>317</v>
      </c>
      <c r="B21" s="160" t="s">
        <v>473</v>
      </c>
      <c r="C21" t="s">
        <v>100</v>
      </c>
      <c r="D21" t="s">
        <v>472</v>
      </c>
      <c r="E21">
        <v>2500</v>
      </c>
      <c r="F21" t="s">
        <v>292</v>
      </c>
      <c r="G21">
        <f t="shared" si="0"/>
        <v>490</v>
      </c>
      <c r="H21" t="s">
        <v>7</v>
      </c>
      <c r="J21" s="156" t="str">
        <f t="shared" si="1"/>
        <v>INSERT INTO ProdutoColhido (idOperacao, nomeProduto, designacaoUnidade, quantidade) VALUES (490,'Cenoura','kg', 2500);</v>
      </c>
      <c r="K21" s="46"/>
      <c r="L21" s="46"/>
      <c r="M21" s="46"/>
      <c r="N21" s="46"/>
      <c r="O21" s="165"/>
      <c r="P21" s="46"/>
      <c r="Q21" s="46"/>
      <c r="S21" s="162" t="str">
        <f t="shared" si="2"/>
        <v>INSERT INTO Operacao (idOperacao, designacaoOperacaoAgricola, designacaoUnidade, idEstadoOperacao, quantidade, dataOperacao, instanteRegistoOperacao) VALUES (490,'Colheita','kg',1,2500,TO_DATE('28/06/2023', 'DD/MM/YYYY'),CURRENT_TIMESTAMP);</v>
      </c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K21" s="159"/>
      <c r="AL21" s="11"/>
      <c r="AM21" s="11"/>
      <c r="AN21" s="11"/>
      <c r="AO21" s="11"/>
      <c r="AP21" s="11"/>
      <c r="AR21" s="162" t="str">
        <f t="shared" ref="AR21:AR25" si="5">"INSERT INTO OperacaoCultura (idOperacao, nomeParcela, dataInicial, nomeComum, variedade) VALUES ("&amp;G21&amp;", '"&amp;A21&amp;"', TO_DATE('"&amp;BF21&amp;"', 'DD/MM/YYYY'), '"&amp;C21&amp;"', UPPER('"&amp;D21&amp;"') );"</f>
        <v>INSERT INTO OperacaoCultura (idOperacao, nomeParcela, dataInicial, nomeComum, variedade) VALUES (490, 'Campo Novo', TO_DATE('28/06/2023', 'DD/MM/YYYY'), 'Cenoura', UPPER('Sugarsnax') );</v>
      </c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F21" t="str">
        <f t="shared" si="3"/>
        <v>28/06/2023</v>
      </c>
    </row>
    <row r="22" spans="1:81">
      <c r="A22" t="s">
        <v>317</v>
      </c>
      <c r="B22" s="160" t="s">
        <v>474</v>
      </c>
      <c r="C22" t="s">
        <v>276</v>
      </c>
      <c r="D22" t="s">
        <v>439</v>
      </c>
      <c r="E22">
        <v>8000</v>
      </c>
      <c r="F22" t="s">
        <v>292</v>
      </c>
      <c r="G22">
        <f t="shared" si="0"/>
        <v>491</v>
      </c>
      <c r="H22" t="s">
        <v>7</v>
      </c>
      <c r="J22" s="156" t="str">
        <f t="shared" si="1"/>
        <v>INSERT INTO ProdutoColhido (idOperacao, nomeProduto, designacaoUnidade, quantidade) VALUES (491,'Abóbora','kg', 8000);</v>
      </c>
      <c r="K22" s="46"/>
      <c r="L22" s="46"/>
      <c r="M22" s="46"/>
      <c r="N22" s="46"/>
      <c r="O22" s="165"/>
      <c r="P22" s="46"/>
      <c r="Q22" s="46"/>
      <c r="S22" s="162" t="str">
        <f t="shared" si="2"/>
        <v>INSERT INTO Operacao (idOperacao, designacaoOperacaoAgricola, designacaoUnidade, idEstadoOperacao, quantidade, dataOperacao, instanteRegistoOperacao) VALUES (491,'Colheita','kg',1,8000,TO_DATE('15/09/2023', 'DD/MM/YYYY'),CURRENT_TIMESTAMP);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K22" s="159"/>
      <c r="AL22" s="11"/>
      <c r="AM22" s="11"/>
      <c r="AN22" s="11"/>
      <c r="AO22" s="11"/>
      <c r="AP22" s="11"/>
      <c r="AR22" s="162" t="str">
        <f t="shared" si="5"/>
        <v>INSERT INTO OperacaoCultura (idOperacao, nomeParcela, dataInicial, nomeComum, variedade) VALUES (491, 'Campo Novo', TO_DATE('15/09/2023', 'DD/MM/YYYY'), 'Abóbora', UPPER('Manteiga') );</v>
      </c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F22" t="str">
        <f t="shared" si="3"/>
        <v>15/09/2023</v>
      </c>
    </row>
    <row r="23" spans="1:81">
      <c r="A23" t="s">
        <v>317</v>
      </c>
      <c r="B23" s="160" t="s">
        <v>475</v>
      </c>
      <c r="C23" t="s">
        <v>276</v>
      </c>
      <c r="D23" t="s">
        <v>439</v>
      </c>
      <c r="E23">
        <v>5000</v>
      </c>
      <c r="F23" t="s">
        <v>292</v>
      </c>
      <c r="G23">
        <f t="shared" si="0"/>
        <v>492</v>
      </c>
      <c r="H23" t="s">
        <v>7</v>
      </c>
      <c r="J23" s="156" t="str">
        <f t="shared" si="1"/>
        <v>INSERT INTO ProdutoColhido (idOperacao, nomeProduto, designacaoUnidade, quantidade) VALUES (492,'Abóbora','kg', 5000);</v>
      </c>
      <c r="K23" s="46"/>
      <c r="L23" s="46"/>
      <c r="M23" s="46"/>
      <c r="N23" s="46"/>
      <c r="O23" s="165"/>
      <c r="P23" s="46"/>
      <c r="Q23" s="46"/>
      <c r="S23" s="162" t="str">
        <f t="shared" si="2"/>
        <v>INSERT INTO Operacao (idOperacao, designacaoOperacaoAgricola, designacaoUnidade, idEstadoOperacao, quantidade, dataOperacao, instanteRegistoOperacao) VALUES (492,'Colheita','kg',1,5000,TO_DATE('25/09/2023', 'DD/MM/YYYY'),CURRENT_TIMESTAMP);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K23" s="159"/>
      <c r="AL23" s="11"/>
      <c r="AM23" s="11"/>
      <c r="AN23" s="11"/>
      <c r="AO23" s="11"/>
      <c r="AP23" s="11"/>
      <c r="AR23" s="162" t="str">
        <f t="shared" si="5"/>
        <v>INSERT INTO OperacaoCultura (idOperacao, nomeParcela, dataInicial, nomeComum, variedade) VALUES (492, 'Campo Novo', TO_DATE('25/09/2023', 'DD/MM/YYYY'), 'Abóbora', UPPER('Manteiga') );</v>
      </c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F23" t="str">
        <f t="shared" si="3"/>
        <v>25/09/2023</v>
      </c>
    </row>
    <row r="24" spans="1:81">
      <c r="A24" t="s">
        <v>317</v>
      </c>
      <c r="B24" s="160" t="s">
        <v>442</v>
      </c>
      <c r="C24" t="s">
        <v>100</v>
      </c>
      <c r="D24" t="s">
        <v>105</v>
      </c>
      <c r="E24">
        <v>900</v>
      </c>
      <c r="F24" t="s">
        <v>292</v>
      </c>
      <c r="G24">
        <f t="shared" si="0"/>
        <v>493</v>
      </c>
      <c r="H24" t="s">
        <v>7</v>
      </c>
      <c r="J24" s="156" t="str">
        <f t="shared" si="1"/>
        <v>INSERT INTO ProdutoColhido (idOperacao, nomeProduto, designacaoUnidade, quantidade) VALUES (493,'Cenoura','kg', 900);</v>
      </c>
      <c r="K24" s="46"/>
      <c r="L24" s="46"/>
      <c r="M24" s="46"/>
      <c r="N24" s="46"/>
      <c r="O24" s="165"/>
      <c r="P24" s="46"/>
      <c r="Q24" s="46"/>
      <c r="S24" s="162" t="str">
        <f t="shared" si="2"/>
        <v>INSERT INTO Operacao (idOperacao, designacaoOperacaoAgricola, designacaoUnidade, idEstadoOperacao, quantidade, dataOperacao, instanteRegistoOperacao) VALUES (493,'Colheita','kg',1,900,TO_DATE('18/09/2023', 'DD/MM/YYYY'),CURRENT_TIMESTAMP);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K24" s="159"/>
      <c r="AL24" s="11"/>
      <c r="AM24" s="11"/>
      <c r="AN24" s="11"/>
      <c r="AO24" s="11"/>
      <c r="AP24" s="11"/>
      <c r="AR24" s="162" t="str">
        <f t="shared" si="5"/>
        <v>INSERT INTO OperacaoCultura (idOperacao, nomeParcela, dataInicial, nomeComum, variedade) VALUES (493, 'Campo Novo', TO_DATE('18/09/2023', 'DD/MM/YYYY'), 'Cenoura', UPPER('Danvers Half Long') );</v>
      </c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F24" t="str">
        <f t="shared" si="3"/>
        <v>18/09/2023</v>
      </c>
    </row>
    <row r="25" spans="1:81">
      <c r="A25" t="s">
        <v>317</v>
      </c>
      <c r="B25" s="160" t="s">
        <v>476</v>
      </c>
      <c r="C25" t="s">
        <v>100</v>
      </c>
      <c r="D25" t="s">
        <v>105</v>
      </c>
      <c r="E25">
        <v>1500</v>
      </c>
      <c r="F25" t="s">
        <v>292</v>
      </c>
      <c r="G25">
        <f t="shared" si="0"/>
        <v>494</v>
      </c>
      <c r="H25" t="s">
        <v>7</v>
      </c>
      <c r="J25" s="156" t="str">
        <f t="shared" si="1"/>
        <v>INSERT INTO ProdutoColhido (idOperacao, nomeProduto, designacaoUnidade, quantidade) VALUES (494,'Cenoura','kg', 1500);</v>
      </c>
      <c r="K25" s="46"/>
      <c r="L25" s="46"/>
      <c r="M25" s="46"/>
      <c r="N25" s="46"/>
      <c r="O25" s="165"/>
      <c r="P25" s="46"/>
      <c r="Q25" s="46"/>
      <c r="S25" s="162" t="str">
        <f t="shared" si="2"/>
        <v>INSERT INTO Operacao (idOperacao, designacaoOperacaoAgricola, designacaoUnidade, idEstadoOperacao, quantidade, dataOperacao, instanteRegistoOperacao) VALUES (494,'Colheita','kg',1,1500,TO_DATE('22/09/2023', 'DD/MM/YYYY'),CURRENT_TIMESTAMP);</v>
      </c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K25" s="159"/>
      <c r="AL25" s="11"/>
      <c r="AM25" s="11"/>
      <c r="AN25" s="11"/>
      <c r="AO25" s="11"/>
      <c r="AP25" s="11"/>
      <c r="AR25" s="162" t="str">
        <f t="shared" si="5"/>
        <v>INSERT INTO OperacaoCultura (idOperacao, nomeParcela, dataInicial, nomeComum, variedade) VALUES (494, 'Campo Novo', TO_DATE('22/09/2023', 'DD/MM/YYYY'), 'Cenoura', UPPER('Danvers Half Long') );</v>
      </c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F25" t="str">
        <f t="shared" si="3"/>
        <v>22/09/2023</v>
      </c>
    </row>
    <row r="26" spans="1:81">
      <c r="A26" t="s">
        <v>317</v>
      </c>
      <c r="B26" s="1">
        <v>45056</v>
      </c>
      <c r="C26" t="s">
        <v>100</v>
      </c>
      <c r="D26" t="s">
        <v>105</v>
      </c>
      <c r="E26">
        <v>1200</v>
      </c>
      <c r="F26" t="s">
        <v>292</v>
      </c>
      <c r="G26">
        <f>(471 + ROW(A25)-1)</f>
        <v>495</v>
      </c>
      <c r="H26" t="s">
        <v>7</v>
      </c>
      <c r="J26" s="156" t="str">
        <f t="shared" si="1"/>
        <v>INSERT INTO ProdutoColhido (idOperacao, nomeProduto, designacaoUnidade, quantidade) VALUES (495,'Cenoura','kg', 1200);</v>
      </c>
      <c r="K26" s="46"/>
      <c r="L26" s="46"/>
      <c r="M26" s="46"/>
      <c r="N26" s="46"/>
      <c r="O26" s="165"/>
      <c r="P26" s="46"/>
      <c r="Q26" s="46"/>
      <c r="S26" s="162" t="str">
        <f t="shared" si="2"/>
        <v>INSERT INTO Operacao (idOperacao, designacaoOperacaoAgricola, designacaoUnidade, idEstadoOperacao, quantidade, dataOperacao, instanteRegistoOperacao) VALUES (495,'Colheita','kg',1,1200,TO_DATE('05/10/2023', 'DD/MM/YYYY'),CURRENT_TIMESTAMP);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K26" s="159"/>
      <c r="AL26" s="11"/>
      <c r="AM26" s="11"/>
      <c r="AN26" s="11"/>
      <c r="AO26" s="11"/>
      <c r="AP26" s="11"/>
      <c r="AR26" s="162" t="str">
        <f>"INSERT INTO OperacaoCultura (idOperacao, nomeParcela, dataInicial, nomeComum, variedade) VALUES ("&amp;G26&amp;", '"&amp;A26&amp;"', TO_DATE('"&amp;BF26&amp;"', 'DD/MM/YYYY'), '"&amp;C26&amp;"', UPPER('"&amp;D26&amp;"') );"</f>
        <v>INSERT INTO OperacaoCultura (idOperacao, nomeParcela, dataInicial, nomeComum, variedade) VALUES (495, 'Campo Novo', TO_DATE('05/10/2023', 'DD/MM/YYYY'), 'Cenoura', UPPER('Danvers Half Long') );</v>
      </c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F26" t="str">
        <f>TEXT(B26,"MM/DD/YYYY")</f>
        <v>05/10/2023</v>
      </c>
    </row>
    <row r="27" spans="1:81">
      <c r="B27" s="160"/>
      <c r="I27" t="s">
        <v>477</v>
      </c>
      <c r="J27" s="180" t="s">
        <v>289</v>
      </c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Y27" s="182" t="s">
        <v>287</v>
      </c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X27" s="182" t="s">
        <v>470</v>
      </c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N27" s="183" t="s">
        <v>478</v>
      </c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</row>
    <row r="28" spans="1:81">
      <c r="A28" t="s">
        <v>443</v>
      </c>
      <c r="B28" s="1">
        <v>43709</v>
      </c>
      <c r="C28" t="s">
        <v>51</v>
      </c>
      <c r="D28" t="s">
        <v>358</v>
      </c>
      <c r="E28">
        <v>50</v>
      </c>
      <c r="F28" t="s">
        <v>267</v>
      </c>
      <c r="G28">
        <f>(472 + ROW(A25)-1)</f>
        <v>496</v>
      </c>
      <c r="H28" t="s">
        <v>289</v>
      </c>
      <c r="I28">
        <v>5</v>
      </c>
      <c r="J28" s="157" t="str">
        <f>"INSERT INTO Plantacao (idOperacao, nomeParcela, variedade, nomeComum, dataInicial, distanciaEntreFilas) VALUES ("&amp;G28&amp;", '"&amp;A28&amp;"',  UPPER('"&amp;D28&amp;"') ,'"&amp;C28&amp;"', TO_DATE('"&amp;BL28&amp;"', 'DD/MM/YYYY'), "&amp;I28&amp;");"</f>
        <v>INSERT INTO Plantacao (idOperacao, nomeParcela, variedade, nomeComum, dataInicial, distanciaEntreFilas) VALUES (496, 'Lameiro do Moinho',  UPPER('Porta da Loja') ,'Macieira', TO_DATE('09/01/2019', 'DD/MM/YYYY'), 5);</v>
      </c>
      <c r="K28" s="166"/>
      <c r="L28" s="166"/>
      <c r="M28" s="166"/>
      <c r="N28" s="166"/>
      <c r="O28" s="167"/>
      <c r="P28" s="166"/>
      <c r="Q28" s="166"/>
      <c r="R28" s="166"/>
      <c r="S28" s="166"/>
      <c r="T28" s="166"/>
      <c r="U28" s="166"/>
      <c r="V28" s="166"/>
      <c r="W28" s="166"/>
      <c r="Y28" s="157" t="str">
        <f>"INSERT INTO Operacao (idOperacao, designacaoOperacaoAgricola, designacaoUnidade, idEstadoOperacao, quantidade, dataOperacao, instanteRegistoOperacao) VALUES ("&amp;G28&amp;",'"&amp;H28&amp;"','"&amp;F28&amp;"',1,"&amp;E28&amp;",TO_DATE('"&amp;BL28&amp;"', 'DD/MM/YYYY'),CURRENT_TIMESTAMP);"</f>
        <v>INSERT INTO Operacao (idOperacao, designacaoOperacaoAgricola, designacaoUnidade, idEstadoOperacao, quantidade, dataOperacao, instanteRegistoOperacao) VALUES (496,'Plantação','un',1,50,TO_DATE('09/01/2019', 'DD/MM/YYYY'),CURRENT_TIMESTAMP);</v>
      </c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X28" s="157" t="str">
        <f>"INSERT INTO OperacaoCultura (idOperacao, nomeParcela, dataInicial, nomeComum, variedade) VALUES ("&amp;G28&amp;", '"&amp;A28&amp;"', TO_DATE('"&amp;BL28&amp;"', 'DD/MM/YYYY'), '"&amp;C28&amp;"', UPPER('"&amp;D28&amp;"') );"</f>
        <v>INSERT INTO OperacaoCultura (idOperacao, nomeParcela, dataInicial, nomeComum, variedade) VALUES (496, 'Lameiro do Moinho', TO_DATE('09/01/2019', 'DD/MM/YYYY'), 'Macieira', UPPER('Porta da Loja') );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L28" t="str">
        <f>TEXT(B28,"MM/DD/YYYY")</f>
        <v>09/01/2019</v>
      </c>
      <c r="BN28" s="170" t="str">
        <f>"INSERT INTO CulturaInstalada (dataInicial, nomeParcela,variedade,nomeComum,designacaoUnidade, quantidade, dataFinal) VALUES (TO_DATE('"&amp;BL28&amp;"', 'DD/MM/YYYY'),'"&amp;A28&amp;"',  UPPER('"&amp;D28&amp;"'), '"&amp;C28&amp;"',"&amp;F28&amp;","&amp;E28&amp;", NULL);"</f>
        <v>INSERT INTO CulturaInstalada (dataInicial, nomeParcela,variedade,nomeComum,designacaoUnidade, quantidade, dataFinal) VALUES (TO_DATE('09/01/2019', 'DD/MM/YYYY'),'Lameiro do Moinho',  UPPER('Porta da Loja'), 'Macieira',un,50, NULL);</v>
      </c>
      <c r="BO28" s="168"/>
      <c r="BP28" s="168"/>
      <c r="BQ28" s="168"/>
      <c r="BR28" s="16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</row>
    <row r="29" spans="1:81">
      <c r="A29" t="s">
        <v>443</v>
      </c>
      <c r="B29" s="1">
        <v>43709</v>
      </c>
      <c r="C29" t="s">
        <v>51</v>
      </c>
      <c r="D29" t="s">
        <v>360</v>
      </c>
      <c r="E29">
        <v>20</v>
      </c>
      <c r="F29" t="s">
        <v>267</v>
      </c>
      <c r="G29">
        <f t="shared" ref="G29:G33" si="6">(472 + ROW(A26)-1)</f>
        <v>497</v>
      </c>
      <c r="H29" t="s">
        <v>289</v>
      </c>
      <c r="I29">
        <v>5</v>
      </c>
      <c r="J29" s="157" t="str">
        <f t="shared" ref="J29:J34" si="7">"INSERT INTO Plantacao (idOperacao, nomeParcela, variedade, nomeComum, dataInicial, distanciaEntreFilas) VALUES ("&amp;G29&amp;", '"&amp;A29&amp;"',  UPPER('"&amp;D29&amp;"') ,'"&amp;C29&amp;"', TO_DATE('"&amp;BL29&amp;"', 'DD/MM/YYYY'), "&amp;I29&amp;");"</f>
        <v>INSERT INTO Plantacao (idOperacao, nomeParcela, variedade, nomeComum, dataInicial, distanciaEntreFilas) VALUES (497, 'Lameiro do Moinho',  UPPER('Malápio') ,'Macieira', TO_DATE('09/01/2019', 'DD/MM/YYYY'), 5);</v>
      </c>
      <c r="K29" s="166"/>
      <c r="L29" s="166"/>
      <c r="M29" s="166"/>
      <c r="N29" s="166"/>
      <c r="O29" s="167"/>
      <c r="P29" s="166"/>
      <c r="Q29" s="166"/>
      <c r="R29" s="166"/>
      <c r="S29" s="166"/>
      <c r="T29" s="166"/>
      <c r="U29" s="166"/>
      <c r="V29" s="166"/>
      <c r="W29" s="166"/>
      <c r="Y29" s="157" t="str">
        <f t="shared" ref="Y29:Y34" si="8">"INSERT INTO Operacao (idOperacao, designacaoOperacaoAgricola, designacaoUnidade, idEstadoOperacao, quantidade, dataOperacao, instanteRegistoOperacao) VALUES ("&amp;G29&amp;",'"&amp;H29&amp;"','"&amp;F29&amp;"',1,"&amp;E29&amp;",TO_DATE('"&amp;BL29&amp;"', 'DD/MM/YYYY'),CURRENT_TIMESTAMP);"</f>
        <v>INSERT INTO Operacao (idOperacao, designacaoOperacaoAgricola, designacaoUnidade, idEstadoOperacao, quantidade, dataOperacao, instanteRegistoOperacao) VALUES (497,'Plantação','un',1,20,TO_DATE('09/01/2019', 'DD/MM/YYYY'),CURRENT_TIMESTAMP);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X29" s="157" t="str">
        <f t="shared" ref="AX29:AX34" si="9">"INSERT INTO OperacaoCultura (idOperacao, nomeParcela, dataInicial, nomeComum, variedade) VALUES ("&amp;G29&amp;", '"&amp;A29&amp;"', TO_DATE('"&amp;BL29&amp;"', 'DD/MM/YYYY'), '"&amp;C29&amp;"', UPPER('"&amp;D29&amp;"') );"</f>
        <v>INSERT INTO OperacaoCultura (idOperacao, nomeParcela, dataInicial, nomeComum, variedade) VALUES (497, 'Lameiro do Moinho', TO_DATE('09/01/2019', 'DD/MM/YYYY'), 'Macieira', UPPER('Malápio') );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L29" t="str">
        <f t="shared" ref="BL29:BL34" si="10">TEXT(B29,"MM/DD/YYYY")</f>
        <v>09/01/2019</v>
      </c>
      <c r="BN29" s="170" t="str">
        <f t="shared" ref="BN29:BN34" si="11">"INSERT INTO CulturaInstalada (dataInicial, nomeParcela,variedade,nomeComum,designacaoUnidade, quantidade, dataFinal) VALUES (TO_DATE('"&amp;BL29&amp;"', 'DD/MM/YYYY'),'"&amp;A29&amp;"',  UPPER('"&amp;D29&amp;"'), '"&amp;C29&amp;"',"&amp;F29&amp;","&amp;E29&amp;", NULL);"</f>
        <v>INSERT INTO CulturaInstalada (dataInicial, nomeParcela,variedade,nomeComum,designacaoUnidade, quantidade, dataFinal) VALUES (TO_DATE('09/01/2019', 'DD/MM/YYYY'),'Lameiro do Moinho',  UPPER('Malápio'), 'Macieira',un,20, NULL);</v>
      </c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</row>
    <row r="30" spans="1:81">
      <c r="A30" t="s">
        <v>443</v>
      </c>
      <c r="B30" s="1">
        <v>43739</v>
      </c>
      <c r="C30" t="s">
        <v>51</v>
      </c>
      <c r="D30" t="s">
        <v>356</v>
      </c>
      <c r="E30">
        <v>40</v>
      </c>
      <c r="F30" t="s">
        <v>267</v>
      </c>
      <c r="G30">
        <f t="shared" si="6"/>
        <v>498</v>
      </c>
      <c r="H30" t="s">
        <v>289</v>
      </c>
      <c r="I30">
        <v>5</v>
      </c>
      <c r="J30" s="157" t="str">
        <f t="shared" si="7"/>
        <v>INSERT INTO Plantacao (idOperacao, nomeParcela, variedade, nomeComum, dataInicial, distanciaEntreFilas) VALUES (498, 'Lameiro do Moinho',  UPPER('Pipo de Basto') ,'Macieira', TO_DATE('10/01/2019', 'DD/MM/YYYY'), 5);</v>
      </c>
      <c r="K30" s="166"/>
      <c r="L30" s="166"/>
      <c r="M30" s="166"/>
      <c r="N30" s="166"/>
      <c r="O30" s="167"/>
      <c r="P30" s="166"/>
      <c r="Q30" s="166"/>
      <c r="R30" s="166"/>
      <c r="S30" s="166"/>
      <c r="T30" s="166"/>
      <c r="U30" s="166"/>
      <c r="V30" s="166"/>
      <c r="W30" s="166"/>
      <c r="Y30" s="157" t="str">
        <f t="shared" si="8"/>
        <v>INSERT INTO Operacao (idOperacao, designacaoOperacaoAgricola, designacaoUnidade, idEstadoOperacao, quantidade, dataOperacao, instanteRegistoOperacao) VALUES (498,'Plantação','un',1,40,TO_DATE('10/01/2019', 'DD/MM/YYYY'),CURRENT_TIMESTAMP);</v>
      </c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X30" s="157" t="str">
        <f t="shared" si="9"/>
        <v>INSERT INTO OperacaoCultura (idOperacao, nomeParcela, dataInicial, nomeComum, variedade) VALUES (498, 'Lameiro do Moinho', TO_DATE('10/01/2019', 'DD/MM/YYYY'), 'Macieira', UPPER('Pipo de Basto') );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L30" t="str">
        <f t="shared" si="10"/>
        <v>10/01/2019</v>
      </c>
      <c r="BN30" s="170" t="str">
        <f t="shared" si="11"/>
        <v>INSERT INTO CulturaInstalada (dataInicial, nomeParcela,variedade,nomeComum,designacaoUnidade, quantidade, dataFinal) VALUES (TO_DATE('10/01/2019', 'DD/MM/YYYY'),'Lameiro do Moinho',  UPPER('Pipo de Basto'), 'Macieira',un,40, NULL);</v>
      </c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</row>
    <row r="31" spans="1:81">
      <c r="A31" t="s">
        <v>443</v>
      </c>
      <c r="B31" s="1">
        <v>43739</v>
      </c>
      <c r="C31" t="s">
        <v>51</v>
      </c>
      <c r="D31" t="s">
        <v>362</v>
      </c>
      <c r="E31">
        <v>30</v>
      </c>
      <c r="F31" t="s">
        <v>267</v>
      </c>
      <c r="G31">
        <f t="shared" si="6"/>
        <v>499</v>
      </c>
      <c r="H31" t="s">
        <v>289</v>
      </c>
      <c r="I31">
        <v>5</v>
      </c>
      <c r="J31" s="157" t="str">
        <f t="shared" si="7"/>
        <v>INSERT INTO Plantacao (idOperacao, nomeParcela, variedade, nomeComum, dataInicial, distanciaEntreFilas) VALUES (499, 'Lameiro do Moinho',  UPPER('Canada') ,'Macieira', TO_DATE('10/01/2019', 'DD/MM/YYYY'), 5);</v>
      </c>
      <c r="K31" s="166"/>
      <c r="L31" s="166"/>
      <c r="M31" s="166"/>
      <c r="N31" s="166"/>
      <c r="O31" s="167"/>
      <c r="P31" s="166"/>
      <c r="Q31" s="166"/>
      <c r="R31" s="166"/>
      <c r="S31" s="166"/>
      <c r="T31" s="166"/>
      <c r="U31" s="166"/>
      <c r="V31" s="166"/>
      <c r="W31" s="166"/>
      <c r="Y31" s="157" t="str">
        <f t="shared" si="8"/>
        <v>INSERT INTO Operacao (idOperacao, designacaoOperacaoAgricola, designacaoUnidade, idEstadoOperacao, quantidade, dataOperacao, instanteRegistoOperacao) VALUES (499,'Plantação','un',1,30,TO_DATE('10/01/2019', 'DD/MM/YYYY'),CURRENT_TIMESTAMP);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X31" s="157" t="str">
        <f t="shared" si="9"/>
        <v>INSERT INTO OperacaoCultura (idOperacao, nomeParcela, dataInicial, nomeComum, variedade) VALUES (499, 'Lameiro do Moinho', TO_DATE('10/01/2019', 'DD/MM/YYYY'), 'Macieira', UPPER('Canada') );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L31" t="str">
        <f t="shared" si="10"/>
        <v>10/01/2019</v>
      </c>
      <c r="BN31" s="170" t="str">
        <f t="shared" si="11"/>
        <v>INSERT INTO CulturaInstalada (dataInicial, nomeParcela,variedade,nomeComum,designacaoUnidade, quantidade, dataFinal) VALUES (TO_DATE('10/01/2019', 'DD/MM/YYYY'),'Lameiro do Moinho',  UPPER('Canada'), 'Macieira',un,30, NULL);</v>
      </c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</row>
    <row r="32" spans="1:81">
      <c r="A32" t="s">
        <v>443</v>
      </c>
      <c r="B32" s="1">
        <v>43770</v>
      </c>
      <c r="C32" t="s">
        <v>51</v>
      </c>
      <c r="D32" t="s">
        <v>364</v>
      </c>
      <c r="E32">
        <v>40</v>
      </c>
      <c r="F32" t="s">
        <v>267</v>
      </c>
      <c r="G32">
        <f t="shared" si="6"/>
        <v>500</v>
      </c>
      <c r="H32" t="s">
        <v>289</v>
      </c>
      <c r="I32">
        <v>5</v>
      </c>
      <c r="J32" s="157" t="str">
        <f t="shared" si="7"/>
        <v>INSERT INTO Plantacao (idOperacao, nomeParcela, variedade, nomeComum, dataInicial, distanciaEntreFilas) VALUES (500, 'Lameiro do Moinho',  UPPER('Grand Fay') ,'Macieira', TO_DATE('11/01/2019', 'DD/MM/YYYY'), 5);</v>
      </c>
      <c r="K32" s="166"/>
      <c r="L32" s="166"/>
      <c r="M32" s="166"/>
      <c r="N32" s="166"/>
      <c r="O32" s="167"/>
      <c r="P32" s="166"/>
      <c r="Q32" s="166"/>
      <c r="R32" s="166"/>
      <c r="S32" s="166"/>
      <c r="T32" s="166"/>
      <c r="U32" s="166"/>
      <c r="V32" s="166"/>
      <c r="W32" s="166"/>
      <c r="Y32" s="157" t="str">
        <f t="shared" si="8"/>
        <v>INSERT INTO Operacao (idOperacao, designacaoOperacaoAgricola, designacaoUnidade, idEstadoOperacao, quantidade, dataOperacao, instanteRegistoOperacao) VALUES (500,'Plantação','un',1,40,TO_DATE('11/01/2019', 'DD/MM/YYYY'),CURRENT_TIMESTAMP);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X32" s="157" t="str">
        <f t="shared" si="9"/>
        <v>INSERT INTO OperacaoCultura (idOperacao, nomeParcela, dataInicial, nomeComum, variedade) VALUES (500, 'Lameiro do Moinho', TO_DATE('11/01/2019', 'DD/MM/YYYY'), 'Macieira', UPPER('Grand Fay') );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L32" t="str">
        <f t="shared" si="10"/>
        <v>11/01/2019</v>
      </c>
      <c r="BN32" s="170" t="str">
        <f t="shared" si="11"/>
        <v>INSERT INTO CulturaInstalada (dataInicial, nomeParcela,variedade,nomeComum,designacaoUnidade, quantidade, dataFinal) VALUES (TO_DATE('11/01/2019', 'DD/MM/YYYY'),'Lameiro do Moinho',  UPPER('Grand Fay'), 'Macieira',un,40, NULL);</v>
      </c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</row>
    <row r="33" spans="1:109">
      <c r="A33" t="s">
        <v>443</v>
      </c>
      <c r="B33" s="1">
        <v>43770</v>
      </c>
      <c r="C33" t="s">
        <v>51</v>
      </c>
      <c r="D33" t="s">
        <v>366</v>
      </c>
      <c r="E33">
        <v>50</v>
      </c>
      <c r="F33" t="s">
        <v>267</v>
      </c>
      <c r="G33">
        <f t="shared" si="6"/>
        <v>501</v>
      </c>
      <c r="H33" t="s">
        <v>289</v>
      </c>
      <c r="I33">
        <v>5</v>
      </c>
      <c r="J33" s="157" t="str">
        <f t="shared" si="7"/>
        <v>INSERT INTO Plantacao (idOperacao, nomeParcela, variedade, nomeComum, dataInicial, distanciaEntreFilas) VALUES (501, 'Lameiro do Moinho',  UPPER('Gronho Doce') ,'Macieira', TO_DATE('11/01/2019', 'DD/MM/YYYY'), 5);</v>
      </c>
      <c r="K33" s="166"/>
      <c r="L33" s="166"/>
      <c r="M33" s="166"/>
      <c r="N33" s="166"/>
      <c r="O33" s="167"/>
      <c r="P33" s="166"/>
      <c r="Q33" s="166"/>
      <c r="R33" s="166"/>
      <c r="S33" s="166"/>
      <c r="T33" s="166"/>
      <c r="U33" s="166"/>
      <c r="V33" s="166"/>
      <c r="W33" s="166"/>
      <c r="Y33" s="157" t="str">
        <f t="shared" si="8"/>
        <v>INSERT INTO Operacao (idOperacao, designacaoOperacaoAgricola, designacaoUnidade, idEstadoOperacao, quantidade, dataOperacao, instanteRegistoOperacao) VALUES (501,'Plantação','un',1,50,TO_DATE('11/01/2019', 'DD/MM/YYYY'),CURRENT_TIMESTAMP);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X33" s="157" t="str">
        <f t="shared" si="9"/>
        <v>INSERT INTO OperacaoCultura (idOperacao, nomeParcela, dataInicial, nomeComum, variedade) VALUES (501, 'Lameiro do Moinho', TO_DATE('11/01/2019', 'DD/MM/YYYY'), 'Macieira', UPPER('Gronho Doce') );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L33" t="str">
        <f t="shared" si="10"/>
        <v>11/01/2019</v>
      </c>
      <c r="BN33" s="170" t="str">
        <f t="shared" si="11"/>
        <v>INSERT INTO CulturaInstalada (dataInicial, nomeParcela,variedade,nomeComum,designacaoUnidade, quantidade, dataFinal) VALUES (TO_DATE('11/01/2019', 'DD/MM/YYYY'),'Lameiro do Moinho',  UPPER('Gronho Doce'), 'Macieira',un,50, NULL);</v>
      </c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</row>
    <row r="34" spans="1:109">
      <c r="A34" t="s">
        <v>218</v>
      </c>
      <c r="B34" s="1">
        <v>42714</v>
      </c>
      <c r="C34" t="s">
        <v>127</v>
      </c>
      <c r="D34" t="s">
        <v>351</v>
      </c>
      <c r="E34">
        <v>40</v>
      </c>
      <c r="F34" t="s">
        <v>267</v>
      </c>
      <c r="G34">
        <f>(472 + ROW(A31)-1)</f>
        <v>502</v>
      </c>
      <c r="H34" t="s">
        <v>289</v>
      </c>
      <c r="I34">
        <v>6</v>
      </c>
      <c r="J34" s="157" t="str">
        <f t="shared" si="7"/>
        <v>INSERT INTO Plantacao (idOperacao, nomeParcela, variedade, nomeComum, dataInicial, distanciaEntreFilas) VALUES (502, 'Campo Grande',  UPPER('Arbequina') ,'Oliveira', TO_DATE('12/10/2016', 'DD/MM/YYYY'), 6);</v>
      </c>
      <c r="K34" s="166"/>
      <c r="L34" s="166"/>
      <c r="M34" s="166"/>
      <c r="N34" s="166"/>
      <c r="O34" s="167"/>
      <c r="P34" s="166"/>
      <c r="Q34" s="166"/>
      <c r="R34" s="166"/>
      <c r="S34" s="166"/>
      <c r="T34" s="166"/>
      <c r="U34" s="166"/>
      <c r="V34" s="166"/>
      <c r="W34" s="166"/>
      <c r="Y34" s="157" t="str">
        <f t="shared" si="8"/>
        <v>INSERT INTO Operacao (idOperacao, designacaoOperacaoAgricola, designacaoUnidade, idEstadoOperacao, quantidade, dataOperacao, instanteRegistoOperacao) VALUES (502,'Plantação','un',1,40,TO_DATE('12/10/2016', 'DD/MM/YYYY'),CURRENT_TIMESTAMP);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X34" s="157" t="str">
        <f t="shared" si="9"/>
        <v>INSERT INTO OperacaoCultura (idOperacao, nomeParcela, dataInicial, nomeComum, variedade) VALUES (502, 'Campo Grande', TO_DATE('12/10/2016', 'DD/MM/YYYY'), 'Oliveira', UPPER('Arbequina') );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L34" t="str">
        <f t="shared" si="10"/>
        <v>12/10/2016</v>
      </c>
      <c r="BN34" s="170" t="str">
        <f t="shared" si="11"/>
        <v>INSERT INTO CulturaInstalada (dataInicial, nomeParcela,variedade,nomeComum,designacaoUnidade, quantidade, dataFinal) VALUES (TO_DATE('12/10/2016', 'DD/MM/YYYY'),'Campo Grande',  UPPER('Arbequina'), 'Oliveira',un,40, NULL);</v>
      </c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</row>
    <row r="35" spans="1:109">
      <c r="B35" s="160"/>
      <c r="L35" s="183" t="s">
        <v>394</v>
      </c>
      <c r="M35" s="183"/>
      <c r="N35" s="183"/>
      <c r="O35" s="183"/>
      <c r="P35" s="183"/>
      <c r="Q35" s="183"/>
      <c r="R35" s="183"/>
      <c r="S35" s="183"/>
      <c r="U35" s="182" t="s">
        <v>287</v>
      </c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O35" s="181" t="s">
        <v>469</v>
      </c>
      <c r="AP35" s="181"/>
      <c r="AQ35" s="181"/>
      <c r="AR35" s="181"/>
      <c r="AS35" s="181"/>
      <c r="AT35" s="181"/>
      <c r="AV35" s="182" t="s">
        <v>470</v>
      </c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</row>
    <row r="36" spans="1:109">
      <c r="B36" s="1"/>
      <c r="L36" s="170"/>
      <c r="M36" s="168"/>
      <c r="N36" s="168"/>
      <c r="O36" s="168"/>
      <c r="P36" s="168"/>
      <c r="Q36" s="168"/>
      <c r="R36" s="168"/>
      <c r="S36" s="168"/>
      <c r="U36" s="157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O36" s="159"/>
      <c r="AP36" s="11"/>
      <c r="AQ36" s="11"/>
      <c r="AR36" s="11"/>
      <c r="AS36" s="11"/>
      <c r="AT36" s="11"/>
      <c r="AV36" s="157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</row>
    <row r="37" spans="1:109">
      <c r="B37" s="1"/>
      <c r="L37" s="170"/>
      <c r="M37" s="168"/>
      <c r="N37" s="168"/>
      <c r="O37" s="169"/>
      <c r="P37" s="168"/>
      <c r="Q37" s="168"/>
      <c r="R37" s="168"/>
      <c r="S37" s="168"/>
      <c r="U37" s="157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O37" s="159"/>
      <c r="AP37" s="11"/>
      <c r="AQ37" s="11"/>
      <c r="AR37" s="11"/>
      <c r="AS37" s="11"/>
      <c r="AT37" s="11"/>
      <c r="AV37" s="157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</row>
    <row r="38" spans="1:109">
      <c r="B38" s="1"/>
      <c r="L38" s="170"/>
      <c r="M38" s="168"/>
      <c r="N38" s="168"/>
      <c r="O38" s="169"/>
      <c r="P38" s="168"/>
      <c r="Q38" s="168"/>
      <c r="R38" s="168"/>
      <c r="S38" s="168"/>
      <c r="U38" s="157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O38" s="159"/>
      <c r="AP38" s="11"/>
      <c r="AQ38" s="11"/>
      <c r="AR38" s="11"/>
      <c r="AS38" s="11"/>
      <c r="AT38" s="11"/>
      <c r="AV38" s="157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</row>
    <row r="39" spans="1:109">
      <c r="B39" s="1"/>
      <c r="L39" s="170"/>
      <c r="M39" s="168"/>
      <c r="N39" s="168"/>
      <c r="O39" s="169"/>
      <c r="P39" s="168"/>
      <c r="Q39" s="168"/>
      <c r="R39" s="168"/>
      <c r="S39" s="168"/>
      <c r="U39" s="157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O39" s="159"/>
      <c r="AP39" s="11"/>
      <c r="AQ39" s="11"/>
      <c r="AR39" s="11"/>
      <c r="AS39" s="11"/>
      <c r="AT39" s="11"/>
      <c r="AV39" s="157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</row>
    <row r="40" spans="1:109">
      <c r="B40" s="1"/>
      <c r="L40" s="170"/>
      <c r="M40" s="168"/>
      <c r="N40" s="168"/>
      <c r="O40" s="169"/>
      <c r="P40" s="168"/>
      <c r="Q40" s="168"/>
      <c r="R40" s="168"/>
      <c r="S40" s="168"/>
      <c r="U40" s="157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O40" s="159"/>
      <c r="AP40" s="11"/>
      <c r="AQ40" s="11"/>
      <c r="AR40" s="11"/>
      <c r="AS40" s="11"/>
      <c r="AT40" s="11"/>
      <c r="AV40" s="157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</row>
    <row r="41" spans="1:109">
      <c r="B41" s="1"/>
      <c r="L41" s="170"/>
      <c r="M41" s="168"/>
      <c r="N41" s="168"/>
      <c r="O41" s="169"/>
      <c r="P41" s="168"/>
      <c r="Q41" s="168"/>
      <c r="R41" s="168"/>
      <c r="S41" s="168"/>
      <c r="U41" s="157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O41" s="159"/>
      <c r="AP41" s="11"/>
      <c r="AQ41" s="11"/>
      <c r="AR41" s="11"/>
      <c r="AS41" s="11"/>
      <c r="AT41" s="11"/>
      <c r="AV41" s="157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</row>
    <row r="42" spans="1:109">
      <c r="B42" s="1"/>
      <c r="L42" s="170"/>
      <c r="M42" s="168"/>
      <c r="N42" s="168"/>
      <c r="O42" s="169"/>
      <c r="P42" s="168"/>
      <c r="Q42" s="168"/>
      <c r="R42" s="168"/>
      <c r="S42" s="168"/>
      <c r="U42" s="157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O42" s="159"/>
      <c r="AP42" s="11"/>
      <c r="AQ42" s="11"/>
      <c r="AR42" s="11"/>
      <c r="AS42" s="11"/>
      <c r="AT42" s="11"/>
      <c r="AV42" s="157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</row>
    <row r="43" spans="1:109">
      <c r="B43" s="1"/>
      <c r="L43" s="170"/>
      <c r="M43" s="168"/>
      <c r="N43" s="168"/>
      <c r="O43" s="169"/>
      <c r="P43" s="168"/>
      <c r="Q43" s="168"/>
      <c r="R43" s="168"/>
      <c r="S43" s="168"/>
      <c r="U43" s="157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O43" s="159"/>
      <c r="AP43" s="11"/>
      <c r="AQ43" s="11"/>
      <c r="AR43" s="11"/>
      <c r="AS43" s="11"/>
      <c r="AT43" s="11"/>
      <c r="AV43" s="157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</row>
    <row r="44" spans="1:109">
      <c r="B44" s="1"/>
      <c r="L44" s="170"/>
      <c r="M44" s="168"/>
      <c r="N44" s="168"/>
      <c r="O44" s="169"/>
      <c r="P44" s="168"/>
      <c r="Q44" s="168"/>
      <c r="R44" s="168"/>
      <c r="S44" s="168"/>
      <c r="U44" s="157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O44" s="159"/>
      <c r="AP44" s="11"/>
      <c r="AQ44" s="11"/>
      <c r="AR44" s="11"/>
      <c r="AS44" s="11"/>
      <c r="AT44" s="11"/>
      <c r="AV44" s="157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spans="1:109">
      <c r="B45" s="1"/>
      <c r="L45" s="170"/>
      <c r="M45" s="168"/>
      <c r="N45" s="168"/>
      <c r="O45" s="169"/>
      <c r="P45" s="168"/>
      <c r="Q45" s="168"/>
      <c r="R45" s="168"/>
      <c r="S45" s="168"/>
      <c r="U45" s="157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O45" s="159"/>
      <c r="AP45" s="11"/>
      <c r="AQ45" s="11"/>
      <c r="AR45" s="11"/>
      <c r="AS45" s="11"/>
      <c r="AT45" s="11"/>
      <c r="AV45" s="157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CR45">
        <v>91</v>
      </c>
      <c r="CS45" t="s">
        <v>100</v>
      </c>
      <c r="CT45" t="s">
        <v>292</v>
      </c>
      <c r="CU45">
        <v>2200</v>
      </c>
      <c r="CW45" s="176" t="s">
        <v>468</v>
      </c>
      <c r="CX45" s="176"/>
      <c r="CY45" s="176"/>
      <c r="CZ45" s="176"/>
      <c r="DA45" s="176"/>
      <c r="DB45" s="176"/>
      <c r="DC45" s="176"/>
      <c r="DD45" s="176"/>
      <c r="DE45" s="176"/>
    </row>
    <row r="46" spans="1:109">
      <c r="B46" s="1"/>
      <c r="L46" s="170"/>
      <c r="M46" s="168"/>
      <c r="N46" s="168"/>
      <c r="O46" s="169"/>
      <c r="P46" s="168"/>
      <c r="Q46" s="168"/>
      <c r="R46" s="168"/>
      <c r="S46" s="168"/>
      <c r="U46" s="157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O46" s="159"/>
      <c r="AP46" s="11"/>
      <c r="AQ46" s="11"/>
      <c r="AR46" s="11"/>
      <c r="AS46" s="11"/>
      <c r="AT46" s="11"/>
      <c r="AV46" s="157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CR46">
        <v>92</v>
      </c>
      <c r="CS46" t="s">
        <v>100</v>
      </c>
      <c r="CT46" t="s">
        <v>292</v>
      </c>
      <c r="CU46">
        <v>1400</v>
      </c>
      <c r="CW46" s="164" t="str">
        <f>"INSERT INTO ProdutoColhido (idOperacao, nomeProduto, designacaoUnidade, quantidade) VALUES ("&amp;CR45&amp;",'"&amp;CS45&amp;"','"&amp;CT45&amp;"', "&amp;CU45&amp;");"</f>
        <v>INSERT INTO ProdutoColhido (idOperacao, nomeProduto, designacaoUnidade, quantidade) VALUES (91,'Cenoura','kg', 2200);</v>
      </c>
      <c r="CX46" s="46"/>
      <c r="CY46" s="46"/>
      <c r="CZ46" s="46"/>
      <c r="DA46" s="46"/>
      <c r="DB46" s="46"/>
      <c r="DC46" s="46"/>
      <c r="DD46" s="46"/>
      <c r="DE46" s="46"/>
    </row>
    <row r="47" spans="1:109">
      <c r="B47" s="1"/>
      <c r="L47" s="170"/>
      <c r="M47" s="168"/>
      <c r="N47" s="168"/>
      <c r="O47" s="169"/>
      <c r="P47" s="168"/>
      <c r="Q47" s="168"/>
      <c r="R47" s="168"/>
      <c r="S47" s="168"/>
      <c r="U47" s="157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O47" s="159"/>
      <c r="AP47" s="11"/>
      <c r="AQ47" s="11"/>
      <c r="AR47" s="11"/>
      <c r="AS47" s="11"/>
      <c r="AT47" s="11"/>
      <c r="AV47" s="157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CR47">
        <v>107</v>
      </c>
      <c r="CS47" t="s">
        <v>116</v>
      </c>
      <c r="CT47" t="s">
        <v>292</v>
      </c>
      <c r="CU47">
        <v>330</v>
      </c>
      <c r="CW47" s="164" t="str">
        <f t="shared" ref="CW47:CW110" si="12">"INSERT INTO ProdutoColhido (idOperacao, nomeProduto, designacaoUnidade, quantidade) VALUES ("&amp;CR46&amp;",'"&amp;CS46&amp;"','"&amp;CT46&amp;"', "&amp;CU46&amp;");"</f>
        <v>INSERT INTO ProdutoColhido (idOperacao, nomeProduto, designacaoUnidade, quantidade) VALUES (92,'Cenoura','kg', 1400);</v>
      </c>
      <c r="CX47" s="46"/>
      <c r="CY47" s="46"/>
      <c r="CZ47" s="46"/>
      <c r="DA47" s="46"/>
      <c r="DB47" s="46"/>
      <c r="DC47" s="46"/>
      <c r="DD47" s="46"/>
      <c r="DE47" s="46"/>
    </row>
    <row r="48" spans="1:109">
      <c r="B48" s="160"/>
      <c r="L48" s="170"/>
      <c r="M48" s="168"/>
      <c r="N48" s="168"/>
      <c r="O48" s="169"/>
      <c r="P48" s="168"/>
      <c r="Q48" s="168"/>
      <c r="R48" s="168"/>
      <c r="S48" s="168"/>
      <c r="U48" s="157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O48" s="159"/>
      <c r="AP48" s="11"/>
      <c r="AQ48" s="11"/>
      <c r="AR48" s="11"/>
      <c r="AS48" s="11"/>
      <c r="AT48" s="11"/>
      <c r="AV48" s="157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CR48">
        <v>108</v>
      </c>
      <c r="CS48" t="s">
        <v>100</v>
      </c>
      <c r="CT48" t="s">
        <v>292</v>
      </c>
      <c r="CU48">
        <v>600</v>
      </c>
      <c r="CW48" s="164" t="str">
        <f t="shared" si="12"/>
        <v>INSERT INTO ProdutoColhido (idOperacao, nomeProduto, designacaoUnidade, quantidade) VALUES (107,'Milho','kg', 330);</v>
      </c>
      <c r="CX48" s="46"/>
      <c r="CY48" s="46"/>
      <c r="CZ48" s="46"/>
      <c r="DA48" s="46"/>
      <c r="DB48" s="46"/>
      <c r="DC48" s="46"/>
      <c r="DD48" s="46"/>
      <c r="DE48" s="46"/>
    </row>
    <row r="49" spans="2:109">
      <c r="B49" s="1"/>
      <c r="L49" s="170"/>
      <c r="M49" s="168"/>
      <c r="N49" s="168"/>
      <c r="O49" s="169"/>
      <c r="P49" s="168"/>
      <c r="Q49" s="168"/>
      <c r="R49" s="168"/>
      <c r="S49" s="168"/>
      <c r="U49" s="157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O49" s="159"/>
      <c r="AP49" s="11"/>
      <c r="AQ49" s="11"/>
      <c r="AR49" s="11"/>
      <c r="AS49" s="11"/>
      <c r="AT49" s="11"/>
      <c r="AV49" s="157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CR49">
        <v>109</v>
      </c>
      <c r="CS49" t="s">
        <v>100</v>
      </c>
      <c r="CT49" t="s">
        <v>292</v>
      </c>
      <c r="CU49">
        <v>1800</v>
      </c>
      <c r="CW49" s="164" t="str">
        <f t="shared" si="12"/>
        <v>INSERT INTO ProdutoColhido (idOperacao, nomeProduto, designacaoUnidade, quantidade) VALUES (108,'Cenoura','kg', 600);</v>
      </c>
      <c r="CX49" s="46"/>
      <c r="CY49" s="46"/>
      <c r="CZ49" s="46"/>
      <c r="DA49" s="46"/>
      <c r="DB49" s="46"/>
      <c r="DC49" s="46"/>
      <c r="DD49" s="46"/>
      <c r="DE49" s="46"/>
    </row>
    <row r="50" spans="2:109">
      <c r="B50" s="160"/>
      <c r="L50" s="170"/>
      <c r="M50" s="168"/>
      <c r="N50" s="168"/>
      <c r="O50" s="169"/>
      <c r="P50" s="168"/>
      <c r="Q50" s="168"/>
      <c r="R50" s="168"/>
      <c r="S50" s="168"/>
      <c r="U50" s="157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O50" s="159"/>
      <c r="AP50" s="11"/>
      <c r="AQ50" s="11"/>
      <c r="AR50" s="11"/>
      <c r="AS50" s="11"/>
      <c r="AT50" s="11"/>
      <c r="AV50" s="157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CR50">
        <v>115</v>
      </c>
      <c r="CS50" t="s">
        <v>273</v>
      </c>
      <c r="CT50" t="s">
        <v>292</v>
      </c>
      <c r="CU50">
        <v>600</v>
      </c>
      <c r="CW50" s="164" t="str">
        <f t="shared" si="12"/>
        <v>INSERT INTO ProdutoColhido (idOperacao, nomeProduto, designacaoUnidade, quantidade) VALUES (109,'Cenoura','kg', 1800);</v>
      </c>
      <c r="CX50" s="46"/>
      <c r="CY50" s="46"/>
      <c r="CZ50" s="46"/>
      <c r="DA50" s="46"/>
      <c r="DB50" s="46"/>
      <c r="DC50" s="46"/>
      <c r="DD50" s="46"/>
      <c r="DE50" s="46"/>
    </row>
    <row r="51" spans="2:109">
      <c r="B51" s="160"/>
      <c r="L51" s="170"/>
      <c r="M51" s="168"/>
      <c r="N51" s="168"/>
      <c r="O51" s="169"/>
      <c r="P51" s="168"/>
      <c r="Q51" s="168"/>
      <c r="R51" s="168"/>
      <c r="S51" s="168"/>
      <c r="U51" s="157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O51" s="159"/>
      <c r="AP51" s="11"/>
      <c r="AQ51" s="11"/>
      <c r="AR51" s="11"/>
      <c r="AS51" s="11"/>
      <c r="AT51" s="11"/>
      <c r="AV51" s="157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CR51">
        <v>124</v>
      </c>
      <c r="CS51" t="s">
        <v>273</v>
      </c>
      <c r="CT51" t="s">
        <v>292</v>
      </c>
      <c r="CU51">
        <v>2500</v>
      </c>
      <c r="CW51" s="164" t="str">
        <f t="shared" si="12"/>
        <v>INSERT INTO ProdutoColhido (idOperacao, nomeProduto, designacaoUnidade, quantidade) VALUES (115,'Maçã','kg', 600);</v>
      </c>
      <c r="CX51" s="46"/>
      <c r="CY51" s="46"/>
      <c r="CZ51" s="46"/>
      <c r="DA51" s="46"/>
      <c r="DB51" s="46"/>
      <c r="DC51" s="46"/>
      <c r="DD51" s="46"/>
      <c r="DE51" s="46"/>
    </row>
    <row r="52" spans="2:109">
      <c r="B52" s="160"/>
      <c r="L52" s="170"/>
      <c r="M52" s="168"/>
      <c r="N52" s="168"/>
      <c r="O52" s="169"/>
      <c r="P52" s="168"/>
      <c r="Q52" s="168"/>
      <c r="R52" s="168"/>
      <c r="S52" s="168"/>
      <c r="U52" s="157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O52" s="159"/>
      <c r="AP52" s="11"/>
      <c r="AQ52" s="11"/>
      <c r="AR52" s="11"/>
      <c r="AS52" s="11"/>
      <c r="AT52" s="11"/>
      <c r="AV52" s="157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CR52">
        <v>126</v>
      </c>
      <c r="CS52" t="s">
        <v>273</v>
      </c>
      <c r="CT52" t="s">
        <v>292</v>
      </c>
      <c r="CU52">
        <v>2900</v>
      </c>
      <c r="CW52" s="164" t="str">
        <f t="shared" si="12"/>
        <v>INSERT INTO ProdutoColhido (idOperacao, nomeProduto, designacaoUnidade, quantidade) VALUES (124,'Maçã','kg', 2500);</v>
      </c>
      <c r="CX52" s="46"/>
      <c r="CY52" s="46"/>
      <c r="CZ52" s="46"/>
      <c r="DA52" s="46"/>
      <c r="DB52" s="46"/>
      <c r="DC52" s="46"/>
      <c r="DD52" s="46"/>
      <c r="DE52" s="46"/>
    </row>
    <row r="53" spans="2:109">
      <c r="B53" s="160"/>
      <c r="L53" s="170"/>
      <c r="M53" s="168"/>
      <c r="N53" s="168"/>
      <c r="O53" s="169"/>
      <c r="P53" s="168"/>
      <c r="Q53" s="168"/>
      <c r="R53" s="168"/>
      <c r="S53" s="168"/>
      <c r="U53" s="157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O53" s="159"/>
      <c r="AP53" s="11"/>
      <c r="AQ53" s="11"/>
      <c r="AR53" s="11"/>
      <c r="AS53" s="11"/>
      <c r="AT53" s="11"/>
      <c r="AV53" s="157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CR53">
        <v>138</v>
      </c>
      <c r="CS53" t="s">
        <v>100</v>
      </c>
      <c r="CT53" t="s">
        <v>292</v>
      </c>
      <c r="CU53">
        <v>2200</v>
      </c>
      <c r="CW53" s="164" t="str">
        <f t="shared" si="12"/>
        <v>INSERT INTO ProdutoColhido (idOperacao, nomeProduto, designacaoUnidade, quantidade) VALUES (126,'Maçã','kg', 2900);</v>
      </c>
      <c r="CX53" s="46"/>
      <c r="CY53" s="46"/>
      <c r="CZ53" s="46"/>
      <c r="DA53" s="46"/>
      <c r="DB53" s="46"/>
      <c r="DC53" s="46"/>
      <c r="DD53" s="46"/>
      <c r="DE53" s="46"/>
    </row>
    <row r="54" spans="2:109">
      <c r="B54" s="160"/>
      <c r="L54" s="170"/>
      <c r="M54" s="168"/>
      <c r="N54" s="168"/>
      <c r="O54" s="169"/>
      <c r="P54" s="168"/>
      <c r="Q54" s="168"/>
      <c r="R54" s="168"/>
      <c r="S54" s="168"/>
      <c r="U54" s="157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O54" s="159"/>
      <c r="AP54" s="11"/>
      <c r="AQ54" s="11"/>
      <c r="AR54" s="11"/>
      <c r="AS54" s="11"/>
      <c r="AT54" s="11"/>
      <c r="AV54" s="157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CR54">
        <v>139</v>
      </c>
      <c r="CS54" t="s">
        <v>100</v>
      </c>
      <c r="CT54" t="s">
        <v>292</v>
      </c>
      <c r="CU54">
        <v>1400</v>
      </c>
      <c r="CW54" s="164" t="str">
        <f t="shared" si="12"/>
        <v>INSERT INTO ProdutoColhido (idOperacao, nomeProduto, designacaoUnidade, quantidade) VALUES (138,'Cenoura','kg', 2200);</v>
      </c>
      <c r="CX54" s="46"/>
      <c r="CY54" s="46"/>
      <c r="CZ54" s="46"/>
      <c r="DA54" s="46"/>
      <c r="DB54" s="46"/>
      <c r="DC54" s="46"/>
      <c r="DD54" s="46"/>
      <c r="DE54" s="46"/>
    </row>
    <row r="55" spans="2:109">
      <c r="B55" s="160"/>
      <c r="L55" s="170"/>
      <c r="M55" s="168"/>
      <c r="N55" s="168"/>
      <c r="O55" s="169"/>
      <c r="P55" s="168"/>
      <c r="Q55" s="168"/>
      <c r="R55" s="168"/>
      <c r="S55" s="168"/>
      <c r="U55" s="157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O55" s="159"/>
      <c r="AP55" s="11"/>
      <c r="AQ55" s="11"/>
      <c r="AR55" s="11"/>
      <c r="AS55" s="11"/>
      <c r="AT55" s="11"/>
      <c r="AV55" s="157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CR55">
        <v>152</v>
      </c>
      <c r="CS55" t="s">
        <v>274</v>
      </c>
      <c r="CT55" t="s">
        <v>292</v>
      </c>
      <c r="CU55">
        <v>300</v>
      </c>
      <c r="CW55" s="164" t="str">
        <f t="shared" si="12"/>
        <v>INSERT INTO ProdutoColhido (idOperacao, nomeProduto, designacaoUnidade, quantidade) VALUES (139,'Cenoura','kg', 1400);</v>
      </c>
      <c r="CX55" s="46"/>
      <c r="CY55" s="46"/>
      <c r="CZ55" s="46"/>
      <c r="DA55" s="46"/>
      <c r="DB55" s="46"/>
      <c r="DC55" s="46"/>
      <c r="DD55" s="46"/>
      <c r="DE55" s="46"/>
    </row>
    <row r="56" spans="2:109">
      <c r="B56" s="160"/>
      <c r="L56" s="170"/>
      <c r="M56" s="168"/>
      <c r="N56" s="168"/>
      <c r="O56" s="169"/>
      <c r="P56" s="168"/>
      <c r="Q56" s="168"/>
      <c r="R56" s="168"/>
      <c r="S56" s="168"/>
      <c r="U56" s="157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O56" s="159"/>
      <c r="AP56" s="11"/>
      <c r="AQ56" s="11"/>
      <c r="AR56" s="11"/>
      <c r="AS56" s="11"/>
      <c r="AT56" s="11"/>
      <c r="AV56" s="157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CR56">
        <v>153</v>
      </c>
      <c r="CS56" t="s">
        <v>274</v>
      </c>
      <c r="CT56" t="s">
        <v>292</v>
      </c>
      <c r="CU56">
        <v>400</v>
      </c>
      <c r="CW56" s="164" t="str">
        <f t="shared" si="12"/>
        <v>INSERT INTO ProdutoColhido (idOperacao, nomeProduto, designacaoUnidade, quantidade) VALUES (152,'Uvas','kg', 300);</v>
      </c>
      <c r="CX56" s="46"/>
      <c r="CY56" s="46"/>
      <c r="CZ56" s="46"/>
      <c r="DA56" s="46"/>
      <c r="DB56" s="46"/>
      <c r="DC56" s="46"/>
      <c r="DD56" s="46"/>
      <c r="DE56" s="46"/>
    </row>
    <row r="57" spans="2:109">
      <c r="B57" s="160"/>
      <c r="L57" s="170"/>
      <c r="M57" s="168"/>
      <c r="N57" s="168"/>
      <c r="O57" s="169"/>
      <c r="P57" s="168"/>
      <c r="Q57" s="168"/>
      <c r="R57" s="168"/>
      <c r="S57" s="168"/>
      <c r="U57" s="157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O57" s="159"/>
      <c r="AP57" s="11"/>
      <c r="AQ57" s="11"/>
      <c r="AR57" s="11"/>
      <c r="AS57" s="11"/>
      <c r="AT57" s="11"/>
      <c r="AV57" s="157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CR57">
        <v>163</v>
      </c>
      <c r="CS57" t="s">
        <v>100</v>
      </c>
      <c r="CT57" t="s">
        <v>292</v>
      </c>
      <c r="CU57">
        <v>3300</v>
      </c>
      <c r="CW57" s="164" t="str">
        <f t="shared" si="12"/>
        <v>INSERT INTO ProdutoColhido (idOperacao, nomeProduto, designacaoUnidade, quantidade) VALUES (153,'Uvas','kg', 400);</v>
      </c>
      <c r="CX57" s="46"/>
      <c r="CY57" s="46"/>
      <c r="CZ57" s="46"/>
      <c r="DA57" s="46"/>
      <c r="DB57" s="46"/>
      <c r="DC57" s="46"/>
      <c r="DD57" s="46"/>
      <c r="DE57" s="46"/>
    </row>
    <row r="58" spans="2:109">
      <c r="B58" s="160"/>
      <c r="L58" s="170"/>
      <c r="M58" s="168"/>
      <c r="N58" s="168"/>
      <c r="O58" s="169"/>
      <c r="P58" s="168"/>
      <c r="Q58" s="168"/>
      <c r="R58" s="168"/>
      <c r="S58" s="168"/>
      <c r="U58" s="157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O58" s="159"/>
      <c r="AP58" s="11"/>
      <c r="AQ58" s="11"/>
      <c r="AR58" s="11"/>
      <c r="AS58" s="11"/>
      <c r="AT58" s="11"/>
      <c r="AV58" s="157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CR58">
        <v>165</v>
      </c>
      <c r="CS58" t="s">
        <v>273</v>
      </c>
      <c r="CT58" t="s">
        <v>292</v>
      </c>
      <c r="CU58">
        <v>899</v>
      </c>
      <c r="CW58" s="164" t="str">
        <f t="shared" si="12"/>
        <v>INSERT INTO ProdutoColhido (idOperacao, nomeProduto, designacaoUnidade, quantidade) VALUES (163,'Cenoura','kg', 3300);</v>
      </c>
      <c r="CX58" s="46"/>
      <c r="CY58" s="46"/>
      <c r="CZ58" s="46"/>
      <c r="DA58" s="46"/>
      <c r="DB58" s="46"/>
      <c r="DC58" s="46"/>
      <c r="DD58" s="46"/>
      <c r="DE58" s="46"/>
    </row>
    <row r="59" spans="2:109">
      <c r="B59" s="160"/>
      <c r="L59" s="170"/>
      <c r="M59" s="168"/>
      <c r="N59" s="168"/>
      <c r="O59" s="169"/>
      <c r="P59" s="168"/>
      <c r="Q59" s="168"/>
      <c r="R59" s="168"/>
      <c r="S59" s="168"/>
      <c r="U59" s="157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O59" s="159"/>
      <c r="AP59" s="11"/>
      <c r="AQ59" s="11"/>
      <c r="AR59" s="11"/>
      <c r="AS59" s="11"/>
      <c r="AT59" s="11"/>
      <c r="AV59" s="157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CR59">
        <v>166</v>
      </c>
      <c r="CS59" t="s">
        <v>273</v>
      </c>
      <c r="CT59" t="s">
        <v>292</v>
      </c>
      <c r="CU59">
        <v>900</v>
      </c>
      <c r="CW59" s="164" t="str">
        <f t="shared" si="12"/>
        <v>INSERT INTO ProdutoColhido (idOperacao, nomeProduto, designacaoUnidade, quantidade) VALUES (165,'Maçã','kg', 899);</v>
      </c>
      <c r="CX59" s="46"/>
      <c r="CY59" s="46"/>
      <c r="CZ59" s="46"/>
      <c r="DA59" s="46"/>
      <c r="DB59" s="46"/>
      <c r="DC59" s="46"/>
      <c r="DD59" s="46"/>
      <c r="DE59" s="46"/>
    </row>
    <row r="60" spans="2:109">
      <c r="B60" s="160"/>
      <c r="L60" s="170"/>
      <c r="M60" s="168"/>
      <c r="N60" s="168"/>
      <c r="O60" s="169"/>
      <c r="P60" s="168"/>
      <c r="Q60" s="168"/>
      <c r="R60" s="168"/>
      <c r="S60" s="168"/>
      <c r="U60" s="157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O60" s="159"/>
      <c r="AP60" s="11"/>
      <c r="AQ60" s="11"/>
      <c r="AR60" s="11"/>
      <c r="AS60" s="11"/>
      <c r="AT60" s="11"/>
      <c r="AV60" s="157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CR60">
        <v>167</v>
      </c>
      <c r="CS60" t="s">
        <v>116</v>
      </c>
      <c r="CT60" t="s">
        <v>292</v>
      </c>
      <c r="CU60">
        <v>3300</v>
      </c>
      <c r="CW60" s="164" t="str">
        <f t="shared" si="12"/>
        <v>INSERT INTO ProdutoColhido (idOperacao, nomeProduto, designacaoUnidade, quantidade) VALUES (166,'Maçã','kg', 900);</v>
      </c>
      <c r="CX60" s="46"/>
      <c r="CY60" s="46"/>
      <c r="CZ60" s="46"/>
      <c r="DA60" s="46"/>
      <c r="DB60" s="46"/>
      <c r="DC60" s="46"/>
      <c r="DD60" s="46"/>
      <c r="DE60" s="46"/>
    </row>
    <row r="61" spans="2:109">
      <c r="B61" s="160"/>
      <c r="L61" s="170"/>
      <c r="M61" s="168"/>
      <c r="N61" s="168"/>
      <c r="O61" s="169"/>
      <c r="P61" s="168"/>
      <c r="Q61" s="168"/>
      <c r="R61" s="168"/>
      <c r="S61" s="168"/>
      <c r="U61" s="157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O61" s="159"/>
      <c r="AP61" s="11"/>
      <c r="AQ61" s="11"/>
      <c r="AR61" s="11"/>
      <c r="AS61" s="11"/>
      <c r="AT61" s="11"/>
      <c r="AV61" s="157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CR61">
        <v>168</v>
      </c>
      <c r="CS61" t="s">
        <v>100</v>
      </c>
      <c r="CT61" t="s">
        <v>292</v>
      </c>
      <c r="CU61">
        <v>600</v>
      </c>
      <c r="CW61" s="164" t="str">
        <f t="shared" si="12"/>
        <v>INSERT INTO ProdutoColhido (idOperacao, nomeProduto, designacaoUnidade, quantidade) VALUES (167,'Milho','kg', 3300);</v>
      </c>
      <c r="CX61" s="46"/>
      <c r="CY61" s="46"/>
      <c r="CZ61" s="46"/>
      <c r="DA61" s="46"/>
      <c r="DB61" s="46"/>
      <c r="DC61" s="46"/>
      <c r="DD61" s="46"/>
      <c r="DE61" s="46"/>
    </row>
    <row r="62" spans="2:109">
      <c r="B62" s="1"/>
      <c r="L62" s="170"/>
      <c r="M62" s="168"/>
      <c r="N62" s="168"/>
      <c r="O62" s="169"/>
      <c r="P62" s="168"/>
      <c r="Q62" s="168"/>
      <c r="R62" s="168"/>
      <c r="S62" s="168"/>
      <c r="U62" s="157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O62" s="159"/>
      <c r="AP62" s="11"/>
      <c r="AQ62" s="11"/>
      <c r="AR62" s="11"/>
      <c r="AS62" s="11"/>
      <c r="AT62" s="11"/>
      <c r="AV62" s="157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CR62">
        <v>169</v>
      </c>
      <c r="CS62" t="s">
        <v>273</v>
      </c>
      <c r="CT62" t="s">
        <v>292</v>
      </c>
      <c r="CU62">
        <v>800</v>
      </c>
      <c r="CW62" s="164" t="str">
        <f t="shared" si="12"/>
        <v>INSERT INTO ProdutoColhido (idOperacao, nomeProduto, designacaoUnidade, quantidade) VALUES (168,'Cenoura','kg', 600);</v>
      </c>
      <c r="CX62" s="46"/>
      <c r="CY62" s="46"/>
      <c r="CZ62" s="46"/>
      <c r="DA62" s="46"/>
      <c r="DB62" s="46"/>
      <c r="DC62" s="46"/>
      <c r="DD62" s="46"/>
      <c r="DE62" s="46"/>
    </row>
    <row r="63" spans="2:109">
      <c r="B63" s="1"/>
      <c r="L63" s="170"/>
      <c r="M63" s="168"/>
      <c r="N63" s="168"/>
      <c r="O63" s="169"/>
      <c r="P63" s="168"/>
      <c r="Q63" s="168"/>
      <c r="R63" s="168"/>
      <c r="S63" s="168"/>
      <c r="U63" s="157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O63" s="159"/>
      <c r="AP63" s="11"/>
      <c r="AQ63" s="11"/>
      <c r="AR63" s="11"/>
      <c r="AS63" s="11"/>
      <c r="AT63" s="11"/>
      <c r="AV63" s="157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CR63">
        <v>170</v>
      </c>
      <c r="CS63" t="s">
        <v>273</v>
      </c>
      <c r="CT63" t="s">
        <v>292</v>
      </c>
      <c r="CU63">
        <v>800</v>
      </c>
      <c r="CW63" s="164" t="str">
        <f t="shared" si="12"/>
        <v>INSERT INTO ProdutoColhido (idOperacao, nomeProduto, designacaoUnidade, quantidade) VALUES (169,'Maçã','kg', 800);</v>
      </c>
      <c r="CX63" s="46"/>
      <c r="CY63" s="46"/>
      <c r="CZ63" s="46"/>
      <c r="DA63" s="46"/>
      <c r="DB63" s="46"/>
      <c r="DC63" s="46"/>
      <c r="DD63" s="46"/>
      <c r="DE63" s="46"/>
    </row>
    <row r="64" spans="2:109">
      <c r="B64" s="1"/>
      <c r="L64" s="170"/>
      <c r="M64" s="168"/>
      <c r="N64" s="168"/>
      <c r="O64" s="169"/>
      <c r="P64" s="168"/>
      <c r="Q64" s="168"/>
      <c r="R64" s="168"/>
      <c r="S64" s="168"/>
      <c r="U64" s="157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O64" s="159"/>
      <c r="AP64" s="11"/>
      <c r="AQ64" s="11"/>
      <c r="AR64" s="11"/>
      <c r="AS64" s="11"/>
      <c r="AT64" s="11"/>
      <c r="AV64" s="157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CR64">
        <v>171</v>
      </c>
      <c r="CS64" t="s">
        <v>100</v>
      </c>
      <c r="CT64" t="s">
        <v>292</v>
      </c>
      <c r="CU64">
        <v>1800</v>
      </c>
      <c r="CW64" s="164" t="str">
        <f t="shared" si="12"/>
        <v>INSERT INTO ProdutoColhido (idOperacao, nomeProduto, designacaoUnidade, quantidade) VALUES (170,'Maçã','kg', 800);</v>
      </c>
      <c r="CX64" s="46"/>
      <c r="CY64" s="46"/>
      <c r="CZ64" s="46"/>
      <c r="DA64" s="46"/>
      <c r="DB64" s="46"/>
      <c r="DC64" s="46"/>
      <c r="DD64" s="46"/>
      <c r="DE64" s="46"/>
    </row>
    <row r="65" spans="1:109">
      <c r="B65" s="1"/>
      <c r="L65" s="170"/>
      <c r="M65" s="168"/>
      <c r="N65" s="168"/>
      <c r="O65" s="169"/>
      <c r="P65" s="168"/>
      <c r="Q65" s="168"/>
      <c r="R65" s="168"/>
      <c r="S65" s="168"/>
      <c r="U65" s="157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O65" s="159"/>
      <c r="AP65" s="11"/>
      <c r="AQ65" s="11"/>
      <c r="AR65" s="11"/>
      <c r="AS65" s="11"/>
      <c r="AT65" s="11"/>
      <c r="AV65" s="157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CR65">
        <v>172</v>
      </c>
      <c r="CS65" t="s">
        <v>273</v>
      </c>
      <c r="CT65" t="s">
        <v>292</v>
      </c>
      <c r="CU65">
        <v>800</v>
      </c>
      <c r="CW65" s="164" t="str">
        <f t="shared" si="12"/>
        <v>INSERT INTO ProdutoColhido (idOperacao, nomeProduto, designacaoUnidade, quantidade) VALUES (171,'Cenoura','kg', 1800);</v>
      </c>
      <c r="CX65" s="46"/>
      <c r="CY65" s="46"/>
      <c r="CZ65" s="46"/>
      <c r="DA65" s="46"/>
      <c r="DB65" s="46"/>
      <c r="DC65" s="46"/>
      <c r="DD65" s="46"/>
      <c r="DE65" s="46"/>
    </row>
    <row r="66" spans="1:109">
      <c r="B66" s="160"/>
      <c r="L66" s="170"/>
      <c r="M66" s="168"/>
      <c r="N66" s="168"/>
      <c r="O66" s="169"/>
      <c r="P66" s="168"/>
      <c r="Q66" s="168"/>
      <c r="R66" s="168"/>
      <c r="S66" s="168"/>
      <c r="U66" s="157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O66" s="159"/>
      <c r="AP66" s="11"/>
      <c r="AQ66" s="11"/>
      <c r="AR66" s="11"/>
      <c r="AS66" s="11"/>
      <c r="AT66" s="11"/>
      <c r="AV66" s="157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CR66">
        <v>174</v>
      </c>
      <c r="CS66" t="s">
        <v>273</v>
      </c>
      <c r="CT66" t="s">
        <v>292</v>
      </c>
      <c r="CU66">
        <v>1200</v>
      </c>
      <c r="CW66" s="164" t="str">
        <f t="shared" si="12"/>
        <v>INSERT INTO ProdutoColhido (idOperacao, nomeProduto, designacaoUnidade, quantidade) VALUES (172,'Maçã','kg', 800);</v>
      </c>
      <c r="CX66" s="46"/>
      <c r="CY66" s="46"/>
      <c r="CZ66" s="46"/>
      <c r="DA66" s="46"/>
      <c r="DB66" s="46"/>
      <c r="DC66" s="46"/>
      <c r="DD66" s="46"/>
      <c r="DE66" s="46"/>
    </row>
    <row r="67" spans="1:109">
      <c r="B67" s="1"/>
      <c r="L67" s="170"/>
      <c r="M67" s="168"/>
      <c r="N67" s="168"/>
      <c r="O67" s="169"/>
      <c r="P67" s="168"/>
      <c r="Q67" s="168"/>
      <c r="R67" s="168"/>
      <c r="S67" s="168"/>
      <c r="U67" s="157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O67" s="159"/>
      <c r="AP67" s="11"/>
      <c r="AQ67" s="11"/>
      <c r="AR67" s="11"/>
      <c r="AS67" s="11"/>
      <c r="AT67" s="11"/>
      <c r="AV67" s="157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CR67">
        <v>177</v>
      </c>
      <c r="CS67" t="s">
        <v>273</v>
      </c>
      <c r="CT67" t="s">
        <v>292</v>
      </c>
      <c r="CU67">
        <v>950</v>
      </c>
      <c r="CW67" s="164" t="str">
        <f t="shared" si="12"/>
        <v>INSERT INTO ProdutoColhido (idOperacao, nomeProduto, designacaoUnidade, quantidade) VALUES (174,'Maçã','kg', 1200);</v>
      </c>
      <c r="CX67" s="46"/>
      <c r="CY67" s="46"/>
      <c r="CZ67" s="46"/>
      <c r="DA67" s="46"/>
      <c r="DB67" s="46"/>
      <c r="DC67" s="46"/>
      <c r="DD67" s="46"/>
      <c r="DE67" s="46"/>
    </row>
    <row r="68" spans="1:109">
      <c r="B68" s="1"/>
      <c r="L68" s="170"/>
      <c r="M68" s="168"/>
      <c r="N68" s="168"/>
      <c r="O68" s="169"/>
      <c r="P68" s="168"/>
      <c r="Q68" s="168"/>
      <c r="R68" s="168"/>
      <c r="S68" s="168"/>
      <c r="U68" s="157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O68" s="159"/>
      <c r="AP68" s="11"/>
      <c r="AQ68" s="11"/>
      <c r="AR68" s="11"/>
      <c r="AS68" s="11"/>
      <c r="AT68" s="11"/>
      <c r="AV68" s="157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CR68">
        <v>178</v>
      </c>
      <c r="CS68" t="s">
        <v>273</v>
      </c>
      <c r="CT68" t="s">
        <v>292</v>
      </c>
      <c r="CU68">
        <v>750</v>
      </c>
      <c r="CW68" s="164" t="str">
        <f t="shared" si="12"/>
        <v>INSERT INTO ProdutoColhido (idOperacao, nomeProduto, designacaoUnidade, quantidade) VALUES (177,'Maçã','kg', 950);</v>
      </c>
      <c r="CX68" s="46"/>
      <c r="CY68" s="46"/>
      <c r="CZ68" s="46"/>
      <c r="DA68" s="46"/>
      <c r="DB68" s="46"/>
      <c r="DC68" s="46"/>
      <c r="DD68" s="46"/>
      <c r="DE68" s="46"/>
    </row>
    <row r="69" spans="1:109">
      <c r="B69" s="1"/>
      <c r="L69" s="170"/>
      <c r="M69" s="168"/>
      <c r="N69" s="168"/>
      <c r="O69" s="169"/>
      <c r="P69" s="168"/>
      <c r="Q69" s="168"/>
      <c r="R69" s="168"/>
      <c r="S69" s="168"/>
      <c r="U69" s="157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O69" s="159"/>
      <c r="AP69" s="11"/>
      <c r="AQ69" s="11"/>
      <c r="AR69" s="11"/>
      <c r="AS69" s="11"/>
      <c r="AT69" s="11"/>
      <c r="AV69" s="157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CR69">
        <v>179</v>
      </c>
      <c r="CS69" t="s">
        <v>272</v>
      </c>
      <c r="CT69" t="s">
        <v>292</v>
      </c>
      <c r="CU69">
        <v>210</v>
      </c>
      <c r="CW69" s="164" t="str">
        <f t="shared" si="12"/>
        <v>INSERT INTO ProdutoColhido (idOperacao, nomeProduto, designacaoUnidade, quantidade) VALUES (178,'Maçã','kg', 750);</v>
      </c>
      <c r="CX69" s="46"/>
      <c r="CY69" s="46"/>
      <c r="CZ69" s="46"/>
      <c r="DA69" s="46"/>
      <c r="DB69" s="46"/>
      <c r="DC69" s="46"/>
      <c r="DD69" s="46"/>
      <c r="DE69" s="46"/>
    </row>
    <row r="70" spans="1:109">
      <c r="B70" s="1"/>
      <c r="L70" s="170"/>
      <c r="M70" s="168"/>
      <c r="N70" s="168"/>
      <c r="O70" s="169"/>
      <c r="P70" s="168"/>
      <c r="Q70" s="168"/>
      <c r="R70" s="168"/>
      <c r="S70" s="168"/>
      <c r="U70" s="157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O70" s="159"/>
      <c r="AP70" s="11"/>
      <c r="AQ70" s="11"/>
      <c r="AR70" s="11"/>
      <c r="AS70" s="11"/>
      <c r="AT70" s="11"/>
      <c r="AV70" s="157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CR70">
        <v>180</v>
      </c>
      <c r="CS70" t="s">
        <v>272</v>
      </c>
      <c r="CT70" t="s">
        <v>292</v>
      </c>
      <c r="CU70">
        <v>120</v>
      </c>
      <c r="CW70" s="164" t="str">
        <f t="shared" si="12"/>
        <v>INSERT INTO ProdutoColhido (idOperacao, nomeProduto, designacaoUnidade, quantidade) VALUES (179,'Azeitona','kg', 210);</v>
      </c>
      <c r="CX70" s="46"/>
      <c r="CY70" s="46"/>
      <c r="CZ70" s="46"/>
      <c r="DA70" s="46"/>
      <c r="DB70" s="46"/>
      <c r="DC70" s="46"/>
      <c r="DD70" s="46"/>
      <c r="DE70" s="46"/>
    </row>
    <row r="71" spans="1:109">
      <c r="B71" s="1"/>
      <c r="L71" s="170"/>
      <c r="M71" s="168"/>
      <c r="N71" s="168"/>
      <c r="O71" s="169"/>
      <c r="P71" s="168"/>
      <c r="Q71" s="168"/>
      <c r="R71" s="168"/>
      <c r="S71" s="168"/>
      <c r="U71" s="157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O71" s="159"/>
      <c r="AP71" s="11"/>
      <c r="AQ71" s="11"/>
      <c r="AR71" s="11"/>
      <c r="AS71" s="11"/>
      <c r="AT71" s="11"/>
      <c r="AV71" s="157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CR71">
        <v>181</v>
      </c>
      <c r="CS71" t="s">
        <v>273</v>
      </c>
      <c r="CT71" t="s">
        <v>292</v>
      </c>
      <c r="CU71">
        <v>600</v>
      </c>
      <c r="CW71" s="164" t="str">
        <f t="shared" si="12"/>
        <v>INSERT INTO ProdutoColhido (idOperacao, nomeProduto, designacaoUnidade, quantidade) VALUES (180,'Azeitona','kg', 120);</v>
      </c>
      <c r="CX71" s="46"/>
      <c r="CY71" s="46"/>
      <c r="CZ71" s="46"/>
      <c r="DA71" s="46"/>
      <c r="DB71" s="46"/>
      <c r="DC71" s="46"/>
      <c r="DD71" s="46"/>
      <c r="DE71" s="46"/>
    </row>
    <row r="72" spans="1:109">
      <c r="B72" s="160"/>
      <c r="O72" s="163"/>
      <c r="CR72">
        <v>189</v>
      </c>
      <c r="CS72" t="s">
        <v>273</v>
      </c>
      <c r="CT72" t="s">
        <v>292</v>
      </c>
      <c r="CU72">
        <v>2500</v>
      </c>
      <c r="CW72" s="164" t="str">
        <f t="shared" si="12"/>
        <v>INSERT INTO ProdutoColhido (idOperacao, nomeProduto, designacaoUnidade, quantidade) VALUES (181,'Maçã','kg', 600);</v>
      </c>
      <c r="CX72" s="46"/>
      <c r="CY72" s="46"/>
      <c r="CZ72" s="46"/>
      <c r="DA72" s="46"/>
      <c r="DB72" s="46"/>
      <c r="DC72" s="46"/>
      <c r="DD72" s="46"/>
      <c r="DE72" s="46"/>
    </row>
    <row r="73" spans="1:109">
      <c r="A73" t="s">
        <v>317</v>
      </c>
      <c r="B73" s="1">
        <v>45050</v>
      </c>
      <c r="C73" t="s">
        <v>100</v>
      </c>
      <c r="D73" t="s">
        <v>107</v>
      </c>
      <c r="F73">
        <v>0.5</v>
      </c>
      <c r="G73" t="s">
        <v>216</v>
      </c>
      <c r="H73">
        <v>1.2</v>
      </c>
      <c r="I73" t="s">
        <v>292</v>
      </c>
      <c r="J73" t="s">
        <v>399</v>
      </c>
      <c r="K73">
        <f>(474 + ROW(A66)-1)</f>
        <v>539</v>
      </c>
      <c r="L73" s="182" t="s">
        <v>287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F73" s="181" t="s">
        <v>469</v>
      </c>
      <c r="AG73" s="181"/>
      <c r="AH73" s="181"/>
      <c r="AI73" s="181"/>
      <c r="AJ73" s="181"/>
      <c r="AK73" s="181"/>
      <c r="AM73" s="182" t="s">
        <v>470</v>
      </c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BA73" t="str">
        <f>TEXT(B73,"MM/DD/YYYY")</f>
        <v>05/04/2023</v>
      </c>
      <c r="CR73">
        <v>191</v>
      </c>
      <c r="CS73" t="s">
        <v>273</v>
      </c>
      <c r="CT73" t="s">
        <v>292</v>
      </c>
      <c r="CU73">
        <v>2900</v>
      </c>
      <c r="CW73" s="164" t="str">
        <f t="shared" si="12"/>
        <v>INSERT INTO ProdutoColhido (idOperacao, nomeProduto, designacaoUnidade, quantidade) VALUES (189,'Maçã','kg', 2500);</v>
      </c>
      <c r="CX73" s="46"/>
      <c r="CY73" s="46"/>
      <c r="CZ73" s="46"/>
      <c r="DA73" s="46"/>
      <c r="DB73" s="46"/>
      <c r="DC73" s="46"/>
      <c r="DD73" s="46"/>
      <c r="DE73" s="46"/>
    </row>
    <row r="74" spans="1:109">
      <c r="A74" t="s">
        <v>317</v>
      </c>
      <c r="B74" s="1">
        <v>45081</v>
      </c>
      <c r="C74" t="s">
        <v>276</v>
      </c>
      <c r="D74" t="s">
        <v>439</v>
      </c>
      <c r="F74">
        <v>0.6</v>
      </c>
      <c r="G74" t="s">
        <v>216</v>
      </c>
      <c r="H74">
        <v>1.5</v>
      </c>
      <c r="I74" t="s">
        <v>292</v>
      </c>
      <c r="J74" t="s">
        <v>399</v>
      </c>
      <c r="K74">
        <f t="shared" ref="K74:K76" si="13">(474 + ROW(A67)-1)</f>
        <v>540</v>
      </c>
      <c r="L74" s="157" t="str">
        <f>"INSERT INTO Operacao (idOperacao, designacaoOperacaoAgricola, designacaoUnidade, idEstadoOperacao, quantidade, dataOperacao, instanteRegistoOperacao) VALUES ("&amp;K73&amp;",'"&amp;J73&amp;"','"&amp;I73&amp;"',1,"&amp;H73&amp;",TO_DATE('"&amp;BA73&amp;"', 'DD/MM/YYYY'),CURRENT_TIMESTAMP);"</f>
        <v>INSERT INTO Operacao (idOperacao, designacaoOperacaoAgricola, designacaoUnidade, idEstadoOperacao, quantidade, dataOperacao, instanteRegistoOperacao) VALUES (539,'Semeadura','kg',1,1.2,TO_DATE('05/04/2023', 'DD/MM/YYYY'),CURRENT_TIMESTAMP);</v>
      </c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F74" s="159"/>
      <c r="AG74" s="11"/>
      <c r="AH74" s="11"/>
      <c r="AI74" s="11"/>
      <c r="AJ74" s="11"/>
      <c r="AK74" s="11"/>
      <c r="AM74" s="157" t="str">
        <f>"INSERT INTO OperacaoCultura (idOperacao, nomeParcela, dataInicial, nomeComum, variedade) VALUES (539, 'Campo Novo', TO_DATE('"&amp;BA73&amp;"', 'DD/MM/YYYY'), 'Cenoura', UPPER('Sugarsnax Hybrid') );"</f>
        <v>INSERT INTO OperacaoCultura (idOperacao, nomeParcela, dataInicial, nomeComum, variedade) VALUES (539, 'Campo Novo', TO_DATE('05/04/2023', 'DD/MM/YYYY'), 'Cenoura', UPPER('Sugarsnax Hybrid') );</v>
      </c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BA74" t="str">
        <f t="shared" ref="BA74:BA75" si="14">TEXT(B74,"MM/DD/YYYY")</f>
        <v>06/04/2023</v>
      </c>
      <c r="CR74">
        <v>199</v>
      </c>
      <c r="CS74" t="s">
        <v>100</v>
      </c>
      <c r="CT74" t="s">
        <v>292</v>
      </c>
      <c r="CU74">
        <v>2250</v>
      </c>
      <c r="CW74" s="164" t="str">
        <f t="shared" si="12"/>
        <v>INSERT INTO ProdutoColhido (idOperacao, nomeProduto, designacaoUnidade, quantidade) VALUES (191,'Maçã','kg', 2900);</v>
      </c>
      <c r="CX74" s="46"/>
      <c r="CY74" s="46"/>
      <c r="CZ74" s="46"/>
      <c r="DA74" s="46"/>
      <c r="DB74" s="46"/>
      <c r="DC74" s="46"/>
      <c r="DD74" s="46"/>
      <c r="DE74" s="46"/>
    </row>
    <row r="75" spans="1:109">
      <c r="A75" t="s">
        <v>317</v>
      </c>
      <c r="B75" s="1">
        <v>45053</v>
      </c>
      <c r="C75" t="s">
        <v>100</v>
      </c>
      <c r="D75" t="s">
        <v>105</v>
      </c>
      <c r="F75">
        <v>0.5</v>
      </c>
      <c r="G75" t="s">
        <v>216</v>
      </c>
      <c r="H75">
        <v>1.2</v>
      </c>
      <c r="I75" t="s">
        <v>292</v>
      </c>
      <c r="J75" t="s">
        <v>399</v>
      </c>
      <c r="K75">
        <f t="shared" si="13"/>
        <v>541</v>
      </c>
      <c r="L75" s="157" t="str">
        <f t="shared" ref="L75:L77" si="15">"INSERT INTO Operacao (idOperacao, designacaoOperacaoAgricola, designacaoUnidade, idEstadoOperacao, quantidade, dataOperacao, instanteRegistoOperacao) VALUES ("&amp;K74&amp;",'"&amp;J74&amp;"','"&amp;I74&amp;"',1,"&amp;H74&amp;",TO_DATE('"&amp;BA74&amp;"', 'DD/MM/YYYY'),CURRENT_TIMESTAMP);"</f>
        <v>INSERT INTO Operacao (idOperacao, designacaoOperacaoAgricola, designacaoUnidade, idEstadoOperacao, quantidade, dataOperacao, instanteRegistoOperacao) VALUES (540,'Semeadura','kg',1,1.5,TO_DATE('06/04/2023', 'DD/MM/YYYY'),CURRENT_TIMESTAMP);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F75" s="159"/>
      <c r="AG75" s="11"/>
      <c r="AH75" s="11"/>
      <c r="AI75" s="11"/>
      <c r="AJ75" s="11"/>
      <c r="AK75" s="11"/>
      <c r="AM75" s="157" t="str">
        <f>"INSERT INTO OperacaoCultura (idOperacao, nomeParcela, dataInicial, nomeComum, variedade) VALUES (540, 'Campo Novo', TO_DATE('"&amp;BA74&amp;"', 'DD/MM/YYYY'), 'Abóbora', UPPER('Manteiga') );"</f>
        <v>INSERT INTO OperacaoCultura (idOperacao, nomeParcela, dataInicial, nomeComum, variedade) VALUES (540, 'Campo Novo', TO_DATE('06/04/2023', 'DD/MM/YYYY'), 'Abóbora', UPPER('Manteiga') );</v>
      </c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BA75" t="str">
        <f t="shared" si="14"/>
        <v>05/07/2023</v>
      </c>
      <c r="CR75">
        <v>204</v>
      </c>
      <c r="CS75" t="s">
        <v>100</v>
      </c>
      <c r="CT75" t="s">
        <v>292</v>
      </c>
      <c r="CU75">
        <v>1300</v>
      </c>
      <c r="CW75" s="164" t="str">
        <f t="shared" si="12"/>
        <v>INSERT INTO ProdutoColhido (idOperacao, nomeProduto, designacaoUnidade, quantidade) VALUES (199,'Cenoura','kg', 2250);</v>
      </c>
      <c r="CX75" s="46"/>
      <c r="CY75" s="46"/>
      <c r="CZ75" s="46"/>
      <c r="DA75" s="46"/>
      <c r="DB75" s="46"/>
      <c r="DC75" s="46"/>
      <c r="DD75" s="46"/>
      <c r="DE75" s="46"/>
    </row>
    <row r="76" spans="1:109">
      <c r="A76" t="s">
        <v>317</v>
      </c>
      <c r="B76" s="1">
        <v>45270</v>
      </c>
      <c r="C76" t="s">
        <v>111</v>
      </c>
      <c r="D76" t="s">
        <v>112</v>
      </c>
      <c r="F76">
        <v>1.1000000000000001</v>
      </c>
      <c r="G76" t="s">
        <v>216</v>
      </c>
      <c r="H76">
        <v>1.1000000000000001</v>
      </c>
      <c r="I76" t="s">
        <v>292</v>
      </c>
      <c r="J76" t="s">
        <v>399</v>
      </c>
      <c r="K76">
        <f t="shared" si="13"/>
        <v>542</v>
      </c>
      <c r="L76" s="157" t="str">
        <f t="shared" si="15"/>
        <v>INSERT INTO Operacao (idOperacao, designacaoOperacaoAgricola, designacaoUnidade, idEstadoOperacao, quantidade, dataOperacao, instanteRegistoOperacao) VALUES (541,'Semeadura','kg',1,1.2,TO_DATE('05/07/2023', 'DD/MM/YYYY'),CURRENT_TIMESTAMP);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F76" s="159"/>
      <c r="AG76" s="11"/>
      <c r="AH76" s="11"/>
      <c r="AI76" s="11"/>
      <c r="AJ76" s="11"/>
      <c r="AK76" s="11"/>
      <c r="AM76" s="157" t="str">
        <f>"INSERT INTO OperacaoCultura (idOperacao, nomeParcela, dataInicial, nomeComum, variedade) VALUES (541, 'Campo Novo', TO_DATE("&amp;BA75&amp;"', 'DD/MM/YYYY'), 'Cenoura', UPPER('Danvers Half Long') );"</f>
        <v>INSERT INTO OperacaoCultura (idOperacao, nomeParcela, dataInicial, nomeComum, variedade) VALUES (541, 'Campo Novo', TO_DATE(05/07/2023', 'DD/MM/YYYY'), 'Cenoura', UPPER('Danvers Half Long') );</v>
      </c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BA76" t="str">
        <f>TEXT(B76,"MM/DD/YYYY")</f>
        <v>12/10/2023</v>
      </c>
      <c r="CR76">
        <v>220</v>
      </c>
      <c r="CS76" t="s">
        <v>274</v>
      </c>
      <c r="CT76" t="s">
        <v>292</v>
      </c>
      <c r="CU76">
        <v>600</v>
      </c>
      <c r="CW76" s="164" t="str">
        <f t="shared" si="12"/>
        <v>INSERT INTO ProdutoColhido (idOperacao, nomeProduto, designacaoUnidade, quantidade) VALUES (204,'Cenoura','kg', 1300);</v>
      </c>
      <c r="CX76" s="46"/>
      <c r="CY76" s="46"/>
      <c r="CZ76" s="46"/>
      <c r="DA76" s="46"/>
      <c r="DB76" s="46"/>
      <c r="DC76" s="46"/>
      <c r="DD76" s="46"/>
      <c r="DE76" s="46"/>
    </row>
    <row r="77" spans="1:109">
      <c r="B77" s="160"/>
      <c r="L77" s="157" t="str">
        <f t="shared" si="15"/>
        <v>INSERT INTO Operacao (idOperacao, designacaoOperacaoAgricola, designacaoUnidade, idEstadoOperacao, quantidade, dataOperacao, instanteRegistoOperacao) VALUES (542,'Semeadura','kg',1,1.1,TO_DATE('12/10/2023', 'DD/MM/YYYY'),CURRENT_TIMESTAMP);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F77" s="159"/>
      <c r="AG77" s="11"/>
      <c r="AH77" s="11"/>
      <c r="AI77" s="11"/>
      <c r="AJ77" s="11"/>
      <c r="AK77" s="11"/>
      <c r="AM77" s="157" t="str">
        <f>"INSERT INTO OperacaoCultura (idOperacao, nomeParcela, dataInicial, nomeComum, variedade) VALUES (542, 'Campo Novo', TO_DATE('"&amp;BA76&amp;"', 'DD/MM/YYYY'), 'Tremoço', UPPER('Amarelo') );"</f>
        <v>INSERT INTO OperacaoCultura (idOperacao, nomeParcela, dataInicial, nomeComum, variedade) VALUES (542, 'Campo Novo', TO_DATE('12/10/2023', 'DD/MM/YYYY'), 'Tremoço', UPPER('Amarelo') );</v>
      </c>
      <c r="CR77">
        <v>221</v>
      </c>
      <c r="CS77" t="s">
        <v>274</v>
      </c>
      <c r="CT77" t="s">
        <v>292</v>
      </c>
      <c r="CU77">
        <v>500</v>
      </c>
      <c r="CW77" s="164" t="str">
        <f t="shared" si="12"/>
        <v>INSERT INTO ProdutoColhido (idOperacao, nomeProduto, designacaoUnidade, quantidade) VALUES (220,'Uvas','kg', 600);</v>
      </c>
      <c r="CX77" s="46"/>
      <c r="CY77" s="46"/>
      <c r="CZ77" s="46"/>
      <c r="DA77" s="46"/>
      <c r="DB77" s="46"/>
      <c r="DC77" s="46"/>
      <c r="DD77" s="46"/>
      <c r="DE77" s="46"/>
    </row>
    <row r="78" spans="1:109">
      <c r="A78" t="s">
        <v>317</v>
      </c>
      <c r="B78" s="1">
        <v>45143</v>
      </c>
      <c r="C78" t="s">
        <v>100</v>
      </c>
      <c r="D78" t="s">
        <v>107</v>
      </c>
      <c r="F78">
        <v>0.5</v>
      </c>
      <c r="G78" t="s">
        <v>216</v>
      </c>
      <c r="H78" t="s">
        <v>400</v>
      </c>
      <c r="I78">
        <f>(478 + ROW(A66)-1)</f>
        <v>543</v>
      </c>
      <c r="J78" s="182" t="s">
        <v>287</v>
      </c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D78" s="181" t="s">
        <v>469</v>
      </c>
      <c r="AE78" s="181"/>
      <c r="AF78" s="181"/>
      <c r="AG78" s="181"/>
      <c r="AH78" s="181"/>
      <c r="AI78" s="181"/>
      <c r="AK78" s="182" t="s">
        <v>470</v>
      </c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Y78" t="str">
        <f>TEXT(B78,"MM/DD/YYYY")</f>
        <v>08/05/2023</v>
      </c>
      <c r="CR78">
        <v>231</v>
      </c>
      <c r="CS78" t="s">
        <v>274</v>
      </c>
      <c r="CT78" t="s">
        <v>292</v>
      </c>
      <c r="CU78">
        <v>1200</v>
      </c>
      <c r="CW78" s="164" t="str">
        <f t="shared" si="12"/>
        <v>INSERT INTO ProdutoColhido (idOperacao, nomeProduto, designacaoUnidade, quantidade) VALUES (221,'Uvas','kg', 500);</v>
      </c>
      <c r="CX78" s="46"/>
      <c r="CY78" s="46"/>
      <c r="CZ78" s="46"/>
      <c r="DA78" s="46"/>
      <c r="DB78" s="46"/>
      <c r="DC78" s="46"/>
      <c r="DD78" s="46"/>
      <c r="DE78" s="46"/>
    </row>
    <row r="79" spans="1:109">
      <c r="A79" t="s">
        <v>317</v>
      </c>
      <c r="B79" s="160" t="s">
        <v>456</v>
      </c>
      <c r="C79" t="s">
        <v>276</v>
      </c>
      <c r="D79" t="s">
        <v>439</v>
      </c>
      <c r="F79">
        <v>0.6</v>
      </c>
      <c r="G79" t="s">
        <v>216</v>
      </c>
      <c r="H79" t="s">
        <v>400</v>
      </c>
      <c r="I79">
        <f t="shared" ref="I79:I80" si="16">(478 + ROW(A67)-1)</f>
        <v>544</v>
      </c>
      <c r="J79" s="157" t="str">
        <f>"INSERT INTO Operacao (idOperacao, designacaoOperacaoAgricola, designacaoUnidade, idEstadoOperacao, quantidade, dataOperacao, instanteRegistoOperacao) VALUES (543,'Monda','ha',1,0.5,TO_DATE('"&amp;AY78&amp;"', 'DD/MM/YYYY'),CURRENT_TIMESTAMP);"</f>
        <v>INSERT INTO Operacao (idOperacao, designacaoOperacaoAgricola, designacaoUnidade, idEstadoOperacao, quantidade, dataOperacao, instanteRegistoOperacao) VALUES (543,'Monda','ha',1,0.5,TO_DATE('08/05/2023', 'DD/MM/YYYY'),CURRENT_TIMESTAMP);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D79" s="159"/>
      <c r="AE79" s="11"/>
      <c r="AF79" s="11"/>
      <c r="AG79" s="11"/>
      <c r="AH79" s="11"/>
      <c r="AI79" s="11"/>
      <c r="AK79" s="157" t="str">
        <f>"INSERT INTO OperacaoCultura (idOperacao, nomeParcela, dataInicial, nomeComum, variedade) VALUES ("&amp;I78&amp;", '"&amp;A78&amp;"', TO_DATE('05/08/2023', 'DD/MM/YYYY'), '"&amp;C78&amp;"', UPPER('"&amp;D78&amp;"') );"</f>
        <v>INSERT INTO OperacaoCultura (idOperacao, nomeParcela, dataInicial, nomeComum, variedade) VALUES (543, 'Campo Novo', TO_DATE('05/08/2023', 'DD/MM/YYYY'), 'Cenoura', UPPER('Sugarsnax Hybrid') );</v>
      </c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Y79" t="str">
        <f t="shared" ref="AY79:AY81" si="17">TEXT(B79,"MM/DD/YYYY")</f>
        <v>20/05/2023</v>
      </c>
      <c r="CR79">
        <v>232</v>
      </c>
      <c r="CS79" t="s">
        <v>274</v>
      </c>
      <c r="CT79" t="s">
        <v>292</v>
      </c>
      <c r="CU79">
        <v>600</v>
      </c>
      <c r="CW79" s="164" t="str">
        <f t="shared" si="12"/>
        <v>INSERT INTO ProdutoColhido (idOperacao, nomeProduto, designacaoUnidade, quantidade) VALUES (231,'Uvas','kg', 1200);</v>
      </c>
      <c r="CX79" s="46"/>
      <c r="CY79" s="46"/>
      <c r="CZ79" s="46"/>
      <c r="DA79" s="46"/>
      <c r="DB79" s="46"/>
      <c r="DC79" s="46"/>
      <c r="DD79" s="46"/>
      <c r="DE79" s="46"/>
    </row>
    <row r="80" spans="1:109">
      <c r="A80" t="s">
        <v>317</v>
      </c>
      <c r="B80" s="160" t="s">
        <v>479</v>
      </c>
      <c r="C80" t="s">
        <v>276</v>
      </c>
      <c r="D80" t="s">
        <v>439</v>
      </c>
      <c r="F80">
        <v>0.6</v>
      </c>
      <c r="G80" t="s">
        <v>216</v>
      </c>
      <c r="H80" t="s">
        <v>400</v>
      </c>
      <c r="I80">
        <f t="shared" si="16"/>
        <v>545</v>
      </c>
      <c r="J80" s="162" t="str">
        <f t="shared" ref="J80:J81" si="18">"INSERT INTO Operacao (idOperacao, designacaoOperacaoAgricola, designacaoUnidade, idEstadoOperacao, quantidade, dataOperacao, instanteRegistoOperacao) VALUES ("&amp;I79&amp;",'"&amp;H79&amp;"','"&amp;G79&amp;"',1,"&amp;F79&amp;",TO_DATE('" &amp;TEXT(B79, "DD/MM/AAAA")&amp; "', 'DD/MM/YYYY'),CURRENT_TIMESTAMP);"</f>
        <v>INSERT INTO Operacao (idOperacao, designacaoOperacaoAgricola, designacaoUnidade, idEstadoOperacao, quantidade, dataOperacao, instanteRegistoOperacao) VALUES (544,'Monda','ha',1,0.6,TO_DATE('20/05/2023', 'DD/MM/YYYY'),CURRENT_TIMESTAMP);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D80" s="159"/>
      <c r="AE80" s="11"/>
      <c r="AF80" s="11"/>
      <c r="AG80" s="11"/>
      <c r="AH80" s="11"/>
      <c r="AI80" s="11"/>
      <c r="AK80" s="162" t="str">
        <f t="shared" ref="AK80:AK81" si="19">"INSERT INTO OperacaoCultura (idOperacao, nomeParcela, dataInicial, nomeComum, variedade) VALUES ("&amp;I79&amp;", '"&amp;A79&amp;"', TO_DATE('"&amp;B79&amp;"', 'DD/MM/YYYY'), '"&amp;C79&amp;"', UPPER('"&amp;D79&amp;"') );"</f>
        <v>INSERT INTO OperacaoCultura (idOperacao, nomeParcela, dataInicial, nomeComum, variedade) VALUES (544, 'Campo Novo', TO_DATE('20/05/2023', 'DD/MM/YYYY'), 'Abóbora', UPPER('Manteiga') );</v>
      </c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Y80" t="str">
        <f t="shared" si="17"/>
        <v>20/06/2023</v>
      </c>
      <c r="CR80">
        <v>233</v>
      </c>
      <c r="CS80" t="s">
        <v>100</v>
      </c>
      <c r="CT80" t="s">
        <v>292</v>
      </c>
      <c r="CU80">
        <v>3500</v>
      </c>
      <c r="CW80" s="164" t="str">
        <f t="shared" si="12"/>
        <v>INSERT INTO ProdutoColhido (idOperacao, nomeProduto, designacaoUnidade, quantidade) VALUES (232,'Uvas','kg', 600);</v>
      </c>
      <c r="CX80" s="46"/>
      <c r="CY80" s="46"/>
      <c r="CZ80" s="46"/>
      <c r="DA80" s="46"/>
      <c r="DB80" s="46"/>
      <c r="DC80" s="46"/>
      <c r="DD80" s="46"/>
      <c r="DE80" s="46"/>
    </row>
    <row r="81" spans="1:109">
      <c r="A81" t="s">
        <v>317</v>
      </c>
      <c r="B81" s="1">
        <v>45146</v>
      </c>
      <c r="C81" t="s">
        <v>100</v>
      </c>
      <c r="D81" t="s">
        <v>105</v>
      </c>
      <c r="F81">
        <v>0.5</v>
      </c>
      <c r="G81" t="s">
        <v>216</v>
      </c>
      <c r="H81" t="s">
        <v>400</v>
      </c>
      <c r="I81">
        <f>(478 + ROW(A69)-1)</f>
        <v>546</v>
      </c>
      <c r="J81" s="162" t="str">
        <f t="shared" si="18"/>
        <v>INSERT INTO Operacao (idOperacao, designacaoOperacaoAgricola, designacaoUnidade, idEstadoOperacao, quantidade, dataOperacao, instanteRegistoOperacao) VALUES (545,'Monda','ha',1,0.6,TO_DATE('20/06/2023', 'DD/MM/YYYY'),CURRENT_TIMESTAMP);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D81" s="159"/>
      <c r="AE81" s="11"/>
      <c r="AF81" s="11"/>
      <c r="AG81" s="11"/>
      <c r="AH81" s="11"/>
      <c r="AI81" s="11"/>
      <c r="AK81" s="162" t="str">
        <f t="shared" si="19"/>
        <v>INSERT INTO OperacaoCultura (idOperacao, nomeParcela, dataInicial, nomeComum, variedade) VALUES (545, 'Campo Novo', TO_DATE('20/06/2023', 'DD/MM/YYYY'), 'Abóbora', UPPER('Manteiga') );</v>
      </c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Y81" t="str">
        <f t="shared" si="17"/>
        <v>08/08/2023</v>
      </c>
      <c r="CR81">
        <v>235</v>
      </c>
      <c r="CS81" t="s">
        <v>116</v>
      </c>
      <c r="CT81" t="s">
        <v>292</v>
      </c>
      <c r="CU81">
        <v>3300</v>
      </c>
      <c r="CW81" s="164" t="str">
        <f t="shared" si="12"/>
        <v>INSERT INTO ProdutoColhido (idOperacao, nomeProduto, designacaoUnidade, quantidade) VALUES (233,'Cenoura','kg', 3500);</v>
      </c>
      <c r="CX81" s="46"/>
      <c r="CY81" s="46"/>
      <c r="CZ81" s="46"/>
      <c r="DA81" s="46"/>
      <c r="DB81" s="46"/>
      <c r="DC81" s="46"/>
      <c r="DD81" s="46"/>
      <c r="DE81" s="46"/>
    </row>
    <row r="82" spans="1:109">
      <c r="B82" s="160"/>
      <c r="J82" s="157" t="s">
        <v>480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159"/>
      <c r="AE82" s="11"/>
      <c r="AF82" s="11"/>
      <c r="AG82" s="11"/>
      <c r="AH82" s="11"/>
      <c r="AI82" s="11"/>
      <c r="AK82" s="157" t="str">
        <f>"INSERT INTO OperacaoCultura (idOperacao, nomeParcela, dataInicial, nomeComum, variedade) VALUES ("&amp;I81&amp;", '"&amp;A81&amp;"', TO_DATE('08/08/2023', 'DD/MM/YYYY'), '"&amp;C81&amp;"', UPPER('"&amp;D81&amp;"') );"</f>
        <v>INSERT INTO OperacaoCultura (idOperacao, nomeParcela, dataInicial, nomeComum, variedade) VALUES (546, 'Campo Novo', TO_DATE('08/08/2023', 'DD/MM/YYYY'), 'Cenoura', UPPER('Danvers Half Long') );</v>
      </c>
      <c r="CR82">
        <v>236</v>
      </c>
      <c r="CS82" t="s">
        <v>273</v>
      </c>
      <c r="CT82" t="s">
        <v>292</v>
      </c>
      <c r="CU82">
        <v>950</v>
      </c>
      <c r="CW82" s="164" t="str">
        <f t="shared" si="12"/>
        <v>INSERT INTO ProdutoColhido (idOperacao, nomeProduto, designacaoUnidade, quantidade) VALUES (235,'Milho','kg', 3300);</v>
      </c>
      <c r="CX82" s="46"/>
      <c r="CY82" s="46"/>
      <c r="CZ82" s="46"/>
      <c r="DA82" s="46"/>
      <c r="DB82" s="46"/>
      <c r="DC82" s="46"/>
      <c r="DD82" s="46"/>
      <c r="DE82" s="46"/>
    </row>
    <row r="83" spans="1:109">
      <c r="A83" t="s">
        <v>317</v>
      </c>
      <c r="B83" s="1">
        <v>45023</v>
      </c>
      <c r="C83">
        <v>0.5</v>
      </c>
      <c r="D83" t="s">
        <v>216</v>
      </c>
      <c r="E83" t="s">
        <v>401</v>
      </c>
      <c r="G83">
        <v>547</v>
      </c>
      <c r="H83" s="182" t="s">
        <v>287</v>
      </c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B83" s="181" t="s">
        <v>469</v>
      </c>
      <c r="AC83" s="181"/>
      <c r="AD83" s="181"/>
      <c r="AE83" s="181"/>
      <c r="AF83" s="181"/>
      <c r="AG83" s="181"/>
      <c r="AI83" t="str">
        <f>TEXT(B83,"MM/DD/YYYY")</f>
        <v>04/07/2023</v>
      </c>
      <c r="CR83">
        <v>237</v>
      </c>
      <c r="CS83" t="s">
        <v>273</v>
      </c>
      <c r="CT83" t="s">
        <v>292</v>
      </c>
      <c r="CU83">
        <v>950</v>
      </c>
      <c r="CW83" s="164" t="str">
        <f t="shared" si="12"/>
        <v>INSERT INTO ProdutoColhido (idOperacao, nomeProduto, designacaoUnidade, quantidade) VALUES (236,'Maçã','kg', 950);</v>
      </c>
      <c r="CX83" s="46"/>
      <c r="CY83" s="46"/>
      <c r="CZ83" s="46"/>
      <c r="DA83" s="46"/>
      <c r="DB83" s="46"/>
      <c r="DC83" s="46"/>
      <c r="DD83" s="46"/>
      <c r="DE83" s="46"/>
    </row>
    <row r="84" spans="1:109">
      <c r="A84" t="s">
        <v>317</v>
      </c>
      <c r="B84" s="1">
        <v>45209</v>
      </c>
      <c r="C84">
        <v>1.1000000000000001</v>
      </c>
      <c r="D84" t="s">
        <v>216</v>
      </c>
      <c r="E84" t="s">
        <v>401</v>
      </c>
      <c r="G84">
        <v>548</v>
      </c>
      <c r="H84" s="157" t="str">
        <f>"INSERT INTO Operacao (idOperacao, designacaoOperacaoAgricola, designacaoUnidade, idEstadoOperacao, quantidade, dataOperacao, instanteRegistoOperacao) VALUES ("&amp;G83&amp;",'"&amp;E83&amp;"','"&amp;D83&amp;"',1,"&amp;C83&amp;",TO_DATE('07/04/2023', 'DD/MM/YYYY'),CURRENT_TIMESTAMP);"</f>
        <v>INSERT INTO Operacao (idOperacao, designacaoOperacaoAgricola, designacaoUnidade, idEstadoOperacao, quantidade, dataOperacao, instanteRegistoOperacao) VALUES (547,'Mobilização do solo','ha',1,0.5,TO_DATE('07/04/2023', 'DD/MM/YYYY'),CURRENT_TIMESTAMP);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B84" s="159" t="str">
        <f>"INSERT INTO OperacaoParcela (idOperacao, nomeParcela) VALUES ("&amp;G83&amp;",'"&amp;A83&amp;"');"</f>
        <v>INSERT INTO OperacaoParcela (idOperacao, nomeParcela) VALUES (547,'Campo Novo');</v>
      </c>
      <c r="AC84" s="11"/>
      <c r="AD84" s="11"/>
      <c r="AE84" s="11"/>
      <c r="AF84" s="11"/>
      <c r="AG84" s="11"/>
      <c r="AI84" t="str">
        <f>TEXT(B84,"MM/DD/YYYY")</f>
        <v>10/10/2023</v>
      </c>
      <c r="CR84">
        <v>238</v>
      </c>
      <c r="CS84" t="s">
        <v>481</v>
      </c>
      <c r="CT84" t="s">
        <v>292</v>
      </c>
      <c r="CU84">
        <v>650</v>
      </c>
      <c r="CW84" s="164" t="str">
        <f t="shared" si="12"/>
        <v>INSERT INTO ProdutoColhido (idOperacao, nomeProduto, designacaoUnidade, quantidade) VALUES (237,'Maçã','kg', 950);</v>
      </c>
      <c r="CX84" s="46"/>
      <c r="CY84" s="46"/>
      <c r="CZ84" s="46"/>
      <c r="DA84" s="46"/>
      <c r="DB84" s="46"/>
      <c r="DC84" s="46"/>
      <c r="DD84" s="46"/>
      <c r="DE84" s="46"/>
    </row>
    <row r="85" spans="1:109">
      <c r="H85" s="157" t="str">
        <f>"INSERT INTO Operacao (idOperacao, designacaoOperacaoAgricola, designacaoUnidade, idEstadoOperacao, quantidade, dataOperacao, instanteRegistoOperacao) VALUES ("&amp;G84&amp;",'"&amp;E84&amp;"','"&amp;D84&amp;"',1,"&amp;C84&amp;",TO_DATE('10/10/2023', 'DD/MM/YYYY'),CURRENT_TIMESTAMP);"</f>
        <v>INSERT INTO Operacao (idOperacao, designacaoOperacaoAgricola, designacaoUnidade, idEstadoOperacao, quantidade, dataOperacao, instanteRegistoOperacao) VALUES (548,'Mobilização do solo','ha',1,1.1,TO_DATE('10/10/2023', 'DD/MM/YYYY'),CURRENT_TIMESTAMP);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B85" s="159" t="str">
        <f>"INSERT INTO OperacaoParcela (idOperacao, nomeParcela) VALUES ("&amp;G84&amp;",'"&amp;A84&amp;"');"</f>
        <v>INSERT INTO OperacaoParcela (idOperacao, nomeParcela) VALUES (548,'Campo Novo');</v>
      </c>
      <c r="AC85" s="11"/>
      <c r="AD85" s="11"/>
      <c r="AE85" s="11"/>
      <c r="AF85" s="11"/>
      <c r="AG85" s="11"/>
      <c r="CR85">
        <v>239</v>
      </c>
      <c r="CS85" t="s">
        <v>100</v>
      </c>
      <c r="CT85" t="s">
        <v>292</v>
      </c>
      <c r="CU85">
        <v>1900</v>
      </c>
      <c r="CW85" s="164" t="str">
        <f t="shared" si="12"/>
        <v>INSERT INTO ProdutoColhido (idOperacao, nomeProduto, designacaoUnidade, quantidade) VALUES (238,'Cenoura ','kg', 650);</v>
      </c>
      <c r="CX85" s="46"/>
      <c r="CY85" s="46"/>
      <c r="CZ85" s="46"/>
      <c r="DA85" s="46"/>
      <c r="DB85" s="46"/>
      <c r="DC85" s="46"/>
      <c r="DD85" s="46"/>
      <c r="DE85" s="46"/>
    </row>
    <row r="86" spans="1:109">
      <c r="K86" s="175" t="s">
        <v>482</v>
      </c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CR86">
        <v>240</v>
      </c>
      <c r="CS86" t="s">
        <v>273</v>
      </c>
      <c r="CT86" t="s">
        <v>292</v>
      </c>
      <c r="CU86">
        <v>830</v>
      </c>
      <c r="CW86" s="164" t="str">
        <f t="shared" si="12"/>
        <v>INSERT INTO ProdutoColhido (idOperacao, nomeProduto, designacaoUnidade, quantidade) VALUES (239,'Cenoura','kg', 1900);</v>
      </c>
      <c r="CX86" s="46"/>
      <c r="CY86" s="46"/>
      <c r="CZ86" s="46"/>
      <c r="DA86" s="46"/>
      <c r="DB86" s="46"/>
      <c r="DC86" s="46"/>
      <c r="DD86" s="46"/>
      <c r="DE86" s="46"/>
    </row>
    <row r="87" spans="1:109">
      <c r="A87" t="s">
        <v>342</v>
      </c>
      <c r="B87" t="s">
        <v>430</v>
      </c>
      <c r="C87" t="s">
        <v>431</v>
      </c>
      <c r="D87" t="s">
        <v>213</v>
      </c>
      <c r="E87" t="s">
        <v>259</v>
      </c>
      <c r="F87" t="s">
        <v>432</v>
      </c>
      <c r="G87" t="s">
        <v>433</v>
      </c>
      <c r="H87" t="s">
        <v>2</v>
      </c>
      <c r="I87" t="s">
        <v>257</v>
      </c>
      <c r="J87" t="s">
        <v>431</v>
      </c>
      <c r="K87" s="158" t="str">
        <f>"INSERT INTO PlanoRega (dataInicial, nomeParcela,variedade,nomeComum,idSetor,dataInicio,dataFim) VALUES (TO_DATE('"&amp;B110&amp;"', 'DD/MM/YYYY'),'"&amp;F88&amp;"',  UPPER('"&amp;H88&amp;"'), '"&amp;G88&amp;"',"&amp;A88&amp;", TO_DATE('"&amp;I110&amp;"', 'DD/MM/YYYY'), TO_DATE('"&amp;J110&amp;"', 'DD/MM/YYYY'));"</f>
        <v>INSERT INTO PlanoRega (dataInicial, nomeParcela,variedade,nomeComum,idSetor,dataInicio,dataFim) VALUES (TO_DATE('01/05/2017', 'DD/MM/YYYY'),'Campo Grande',  UPPER('Galega'), 'Oliveira',10, TO_DATE('01/05/2017', 'DD/MM/YYYY'), TO_DATE('NULL', 'DD/MM/YYYY'));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CR87">
        <v>241</v>
      </c>
      <c r="CS87" t="s">
        <v>273</v>
      </c>
      <c r="CT87" t="s">
        <v>292</v>
      </c>
      <c r="CU87">
        <v>830</v>
      </c>
      <c r="CW87" s="164" t="str">
        <f t="shared" si="12"/>
        <v>INSERT INTO ProdutoColhido (idOperacao, nomeProduto, designacaoUnidade, quantidade) VALUES (240,'Maçã','kg', 830);</v>
      </c>
      <c r="CX87" s="46"/>
      <c r="CY87" s="46"/>
      <c r="CZ87" s="46"/>
      <c r="DA87" s="46"/>
      <c r="DB87" s="46"/>
      <c r="DC87" s="46"/>
      <c r="DD87" s="46"/>
      <c r="DE87" s="46"/>
    </row>
    <row r="88" spans="1:109">
      <c r="A88">
        <v>10</v>
      </c>
      <c r="B88" s="171">
        <v>42740</v>
      </c>
      <c r="C88" t="s">
        <v>434</v>
      </c>
      <c r="D88" t="s">
        <v>435</v>
      </c>
      <c r="E88">
        <v>2500</v>
      </c>
      <c r="F88" t="s">
        <v>218</v>
      </c>
      <c r="G88" t="s">
        <v>127</v>
      </c>
      <c r="H88" t="s">
        <v>136</v>
      </c>
      <c r="I88" s="1">
        <v>42740</v>
      </c>
      <c r="J88" t="s">
        <v>434</v>
      </c>
      <c r="K88" s="158" t="str">
        <f t="shared" ref="K88:K107" si="20">"INSERT INTO PlanoRega (dataInicial, nomeParcela,variedade,nomeComum,idSetor,dataInicio,dataFim) VALUES (TO_DATE('"&amp;B111&amp;"', 'DD/MM/YYYY'),'"&amp;F89&amp;"',  UPPER('"&amp;H89&amp;"'), '"&amp;G89&amp;"',"&amp;A89&amp;", TO_DATE('"&amp;I111&amp;"', 'DD/MM/YYYY'), TO_DATE('"&amp;J111&amp;"', 'DD/MM/YYYY'));"</f>
        <v>INSERT INTO PlanoRega (dataInicial, nomeParcela,variedade,nomeComum,idSetor,dataInicio,dataFim) VALUES (TO_DATE('01/05/2017', 'DD/MM/YYYY'),'Campo Grande',  UPPER('Picual'), 'Oliveira',10, TO_DATE('01/05/2017', 'DD/MM/YYYY'), TO_DATE('NULL', 'DD/MM/YYYY'));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CR88">
        <v>242</v>
      </c>
      <c r="CS88" t="s">
        <v>273</v>
      </c>
      <c r="CT88" t="s">
        <v>292</v>
      </c>
      <c r="CU88">
        <v>750</v>
      </c>
      <c r="CW88" s="164" t="str">
        <f t="shared" si="12"/>
        <v>INSERT INTO ProdutoColhido (idOperacao, nomeProduto, designacaoUnidade, quantidade) VALUES (241,'Maçã','kg', 830);</v>
      </c>
      <c r="CX88" s="46"/>
      <c r="CY88" s="46"/>
      <c r="CZ88" s="46"/>
      <c r="DA88" s="46"/>
      <c r="DB88" s="46"/>
      <c r="DC88" s="46"/>
      <c r="DD88" s="46"/>
      <c r="DE88" s="46"/>
    </row>
    <row r="89" spans="1:109">
      <c r="A89">
        <v>10</v>
      </c>
      <c r="B89" s="171">
        <v>42740</v>
      </c>
      <c r="C89" t="s">
        <v>434</v>
      </c>
      <c r="D89" t="s">
        <v>435</v>
      </c>
      <c r="E89">
        <v>2500</v>
      </c>
      <c r="F89" t="s">
        <v>218</v>
      </c>
      <c r="G89" t="s">
        <v>127</v>
      </c>
      <c r="H89" t="s">
        <v>349</v>
      </c>
      <c r="I89" s="1">
        <v>42740</v>
      </c>
      <c r="J89" t="s">
        <v>434</v>
      </c>
      <c r="K89" s="158" t="str">
        <f t="shared" si="20"/>
        <v>INSERT INTO PlanoRega (dataInicial, nomeParcela,variedade,nomeComum,idSetor,dataInicio,dataFim) VALUES (TO_DATE('01/05/2017', 'DD/MM/YYYY'),'Campo Grande',  UPPER('Arbequina'), 'Oliveira',11, TO_DATE('01/05/2017', 'DD/MM/YYYY'), TO_DATE('NULL', 'DD/MM/YYYY'));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CR89">
        <v>243</v>
      </c>
      <c r="CS89" t="s">
        <v>273</v>
      </c>
      <c r="CT89" t="s">
        <v>292</v>
      </c>
      <c r="CU89">
        <v>1150</v>
      </c>
      <c r="CW89" s="164" t="str">
        <f t="shared" si="12"/>
        <v>INSERT INTO ProdutoColhido (idOperacao, nomeProduto, designacaoUnidade, quantidade) VALUES (242,'Maçã','kg', 750);</v>
      </c>
      <c r="CX89" s="46"/>
      <c r="CY89" s="46"/>
      <c r="CZ89" s="46"/>
      <c r="DA89" s="46"/>
      <c r="DB89" s="46"/>
      <c r="DC89" s="46"/>
      <c r="DD89" s="46"/>
      <c r="DE89" s="46"/>
    </row>
    <row r="90" spans="1:109">
      <c r="A90">
        <v>11</v>
      </c>
      <c r="B90" s="171">
        <v>42740</v>
      </c>
      <c r="C90" t="s">
        <v>434</v>
      </c>
      <c r="D90" t="s">
        <v>435</v>
      </c>
      <c r="E90">
        <v>1500</v>
      </c>
      <c r="F90" t="s">
        <v>218</v>
      </c>
      <c r="G90" t="s">
        <v>127</v>
      </c>
      <c r="H90" t="s">
        <v>351</v>
      </c>
      <c r="I90" s="1">
        <v>42740</v>
      </c>
      <c r="J90" t="s">
        <v>434</v>
      </c>
      <c r="K90" s="158" t="str">
        <f t="shared" si="20"/>
        <v>INSERT INTO PlanoRega (dataInicial, nomeParcela,variedade,nomeComum,idSetor,dataInicio,dataFim) VALUES (TO_DATE('01/05/2017', 'DD/MM/YYYY'),'Lameiro da ponte',  UPPER('Jonagored'), 'Macieira',21, TO_DATE('01/05/2017', 'DD/MM/YYYY'), TO_DATE('NULL', 'DD/MM/YYYY'));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CR90">
        <v>246</v>
      </c>
      <c r="CS90" t="s">
        <v>273</v>
      </c>
      <c r="CT90" t="s">
        <v>292</v>
      </c>
      <c r="CU90">
        <v>850</v>
      </c>
      <c r="CW90" s="164" t="str">
        <f t="shared" si="12"/>
        <v>INSERT INTO ProdutoColhido (idOperacao, nomeProduto, designacaoUnidade, quantidade) VALUES (243,'Maçã','kg', 1150);</v>
      </c>
      <c r="CX90" s="46"/>
      <c r="CY90" s="46"/>
      <c r="CZ90" s="46"/>
      <c r="DA90" s="46"/>
      <c r="DB90" s="46"/>
      <c r="DC90" s="46"/>
      <c r="DD90" s="46"/>
      <c r="DE90" s="46"/>
    </row>
    <row r="91" spans="1:109">
      <c r="A91">
        <v>21</v>
      </c>
      <c r="B91" s="171">
        <v>42740</v>
      </c>
      <c r="C91" t="s">
        <v>434</v>
      </c>
      <c r="D91" t="s">
        <v>435</v>
      </c>
      <c r="E91">
        <v>3500</v>
      </c>
      <c r="F91" t="s">
        <v>220</v>
      </c>
      <c r="G91" t="s">
        <v>51</v>
      </c>
      <c r="H91" t="s">
        <v>353</v>
      </c>
      <c r="I91" s="1">
        <v>42740</v>
      </c>
      <c r="J91" t="s">
        <v>434</v>
      </c>
      <c r="K91" s="158" t="str">
        <f t="shared" si="20"/>
        <v>INSERT INTO PlanoRega (dataInicial, nomeParcela,variedade,nomeComum,idSetor,dataInicio,dataFim) VALUES (TO_DATE('01/05/2017', 'DD/MM/YYYY'),'Lameiro da ponte',  UPPER('Fuji'), 'Macieira',21, TO_DATE('01/05/2017', 'DD/MM/YYYY'), TO_DATE('NULL', 'DD/MM/YYYY'));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CR91">
        <v>247</v>
      </c>
      <c r="CS91" t="s">
        <v>273</v>
      </c>
      <c r="CT91" t="s">
        <v>292</v>
      </c>
      <c r="CU91">
        <v>900</v>
      </c>
      <c r="CW91" s="164" t="str">
        <f t="shared" si="12"/>
        <v>INSERT INTO ProdutoColhido (idOperacao, nomeProduto, designacaoUnidade, quantidade) VALUES (246,'Maçã','kg', 850);</v>
      </c>
      <c r="CX91" s="46"/>
      <c r="CY91" s="46"/>
      <c r="CZ91" s="46"/>
      <c r="DA91" s="46"/>
      <c r="DB91" s="46"/>
      <c r="DC91" s="46"/>
      <c r="DD91" s="46"/>
      <c r="DE91" s="46"/>
    </row>
    <row r="92" spans="1:109">
      <c r="A92">
        <v>21</v>
      </c>
      <c r="B92" s="171">
        <v>42740</v>
      </c>
      <c r="C92" t="s">
        <v>434</v>
      </c>
      <c r="D92" t="s">
        <v>435</v>
      </c>
      <c r="E92">
        <v>3500</v>
      </c>
      <c r="F92" t="s">
        <v>220</v>
      </c>
      <c r="G92" t="s">
        <v>51</v>
      </c>
      <c r="H92" t="s">
        <v>354</v>
      </c>
      <c r="I92" s="1">
        <v>42740</v>
      </c>
      <c r="J92" t="s">
        <v>434</v>
      </c>
      <c r="K92" s="158" t="str">
        <f t="shared" si="20"/>
        <v>INSERT INTO PlanoRega (dataInicial, nomeParcela,variedade,nomeComum,idSetor,dataInicio,dataFim) VALUES (TO_DATE('01/05/2017', 'DD/MM/YYYY'),'Lameiro da ponte',  UPPER('Royal Gala'), 'Macieira',21, TO_DATE('01/05/2017', 'DD/MM/YYYY'), TO_DATE('NULL', 'DD/MM/YYYY'));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CR92">
        <v>250</v>
      </c>
      <c r="CS92" t="s">
        <v>272</v>
      </c>
      <c r="CT92" t="s">
        <v>292</v>
      </c>
      <c r="CU92">
        <v>300</v>
      </c>
      <c r="CW92" s="164" t="str">
        <f t="shared" si="12"/>
        <v>INSERT INTO ProdutoColhido (idOperacao, nomeProduto, designacaoUnidade, quantidade) VALUES (247,'Maçã','kg', 900);</v>
      </c>
      <c r="CX92" s="46"/>
      <c r="CY92" s="46"/>
      <c r="CZ92" s="46"/>
      <c r="DA92" s="46"/>
      <c r="DB92" s="46"/>
      <c r="DC92" s="46"/>
      <c r="DD92" s="46"/>
      <c r="DE92" s="46"/>
    </row>
    <row r="93" spans="1:109">
      <c r="A93">
        <v>21</v>
      </c>
      <c r="B93" s="171">
        <v>42740</v>
      </c>
      <c r="C93" t="s">
        <v>434</v>
      </c>
      <c r="D93" t="s">
        <v>435</v>
      </c>
      <c r="E93">
        <v>3500</v>
      </c>
      <c r="F93" t="s">
        <v>220</v>
      </c>
      <c r="G93" t="s">
        <v>51</v>
      </c>
      <c r="H93" t="s">
        <v>355</v>
      </c>
      <c r="I93" s="1">
        <v>42740</v>
      </c>
      <c r="J93" t="s">
        <v>434</v>
      </c>
      <c r="K93" s="158" t="str">
        <f t="shared" si="20"/>
        <v>INSERT INTO PlanoRega (dataInicial, nomeParcela,variedade,nomeComum,idSetor,dataInicio,dataFim) VALUES (TO_DATE('01/05/2017', 'DD/MM/YYYY'),'Lameiro da ponte',  UPPER('Royal Gala'), 'Macieira',21, TO_DATE('01/05/2019', 'DD/MM/YYYY'), TO_DATE('NULL', 'DD/MM/YYYY'));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CR93">
        <v>251</v>
      </c>
      <c r="CS93" t="s">
        <v>272</v>
      </c>
      <c r="CT93" t="s">
        <v>292</v>
      </c>
      <c r="CU93">
        <v>200</v>
      </c>
      <c r="CW93" s="164" t="str">
        <f t="shared" si="12"/>
        <v>INSERT INTO ProdutoColhido (idOperacao, nomeProduto, designacaoUnidade, quantidade) VALUES (250,'Azeitona','kg', 300);</v>
      </c>
      <c r="CX93" s="46"/>
      <c r="CY93" s="46"/>
      <c r="CZ93" s="46"/>
      <c r="DA93" s="46"/>
      <c r="DB93" s="46"/>
      <c r="DC93" s="46"/>
      <c r="DD93" s="46"/>
      <c r="DE93" s="46"/>
    </row>
    <row r="94" spans="1:109">
      <c r="A94">
        <v>21</v>
      </c>
      <c r="B94" s="171">
        <v>42740</v>
      </c>
      <c r="C94" t="s">
        <v>434</v>
      </c>
      <c r="D94" t="s">
        <v>435</v>
      </c>
      <c r="E94">
        <v>3500</v>
      </c>
      <c r="F94" t="s">
        <v>220</v>
      </c>
      <c r="G94" t="s">
        <v>51</v>
      </c>
      <c r="H94" t="s">
        <v>355</v>
      </c>
      <c r="I94" s="1">
        <v>43470</v>
      </c>
      <c r="J94" t="s">
        <v>434</v>
      </c>
      <c r="K94" s="158" t="str">
        <f t="shared" si="20"/>
        <v>INSERT INTO PlanoRega (dataInicial, nomeParcela,variedade,nomeComum,idSetor,dataInicio,dataFim) VALUES (TO_DATE('01/05/2017', 'DD/MM/YYYY'),'Lameiro da ponte',  UPPER('Pipo de Basto'), 'Macieira',21, TO_DATE('01/05/2019', 'DD/MM/YYYY'), TO_DATE('NULL', 'DD/MM/YYYY'));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CR94">
        <v>252</v>
      </c>
      <c r="CS94" t="s">
        <v>137</v>
      </c>
      <c r="CT94" t="s">
        <v>292</v>
      </c>
      <c r="CU94">
        <v>50</v>
      </c>
      <c r="CW94" s="164" t="str">
        <f t="shared" si="12"/>
        <v>INSERT INTO ProdutoColhido (idOperacao, nomeProduto, designacaoUnidade, quantidade) VALUES (251,'Azeitona','kg', 200);</v>
      </c>
      <c r="CX94" s="46"/>
      <c r="CY94" s="46"/>
      <c r="CZ94" s="46"/>
      <c r="DA94" s="46"/>
      <c r="DB94" s="46"/>
      <c r="DC94" s="46"/>
      <c r="DD94" s="46"/>
      <c r="DE94" s="46"/>
    </row>
    <row r="95" spans="1:109">
      <c r="A95">
        <v>21</v>
      </c>
      <c r="B95" s="171">
        <v>42740</v>
      </c>
      <c r="C95" t="s">
        <v>434</v>
      </c>
      <c r="D95" t="s">
        <v>435</v>
      </c>
      <c r="E95">
        <v>3500</v>
      </c>
      <c r="F95" t="s">
        <v>220</v>
      </c>
      <c r="G95" t="s">
        <v>51</v>
      </c>
      <c r="H95" t="s">
        <v>356</v>
      </c>
      <c r="I95" s="1">
        <v>43470</v>
      </c>
      <c r="J95" t="s">
        <v>434</v>
      </c>
      <c r="K95" s="158" t="str">
        <f t="shared" si="20"/>
        <v>INSERT INTO PlanoRega (dataInicial, nomeParcela,variedade,nomeComum,idSetor,dataInicio,dataFim) VALUES (TO_DATE('01/05/2017', 'DD/MM/YYYY'),'Lameiro do moinho',  UPPER('Jonagored'), 'Macieira',21, TO_DATE('01/05/2017', 'DD/MM/YYYY'), TO_DATE('NULL', 'DD/MM/YYYY'));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CR95">
        <v>259</v>
      </c>
      <c r="CS95" t="s">
        <v>137</v>
      </c>
      <c r="CT95" t="s">
        <v>292</v>
      </c>
      <c r="CU95">
        <v>200</v>
      </c>
      <c r="CW95" s="164" t="str">
        <f t="shared" si="12"/>
        <v>INSERT INTO ProdutoColhido (idOperacao, nomeProduto, designacaoUnidade, quantidade) VALUES (252,'Nabo','kg', 50);</v>
      </c>
      <c r="CX95" s="46"/>
      <c r="CY95" s="46"/>
      <c r="CZ95" s="46"/>
      <c r="DA95" s="46"/>
      <c r="DB95" s="46"/>
      <c r="DC95" s="46"/>
      <c r="DD95" s="46"/>
      <c r="DE95" s="46"/>
    </row>
    <row r="96" spans="1:109">
      <c r="A96">
        <v>21</v>
      </c>
      <c r="B96" s="171">
        <v>42740</v>
      </c>
      <c r="C96" t="s">
        <v>434</v>
      </c>
      <c r="D96" t="s">
        <v>435</v>
      </c>
      <c r="E96">
        <v>3500</v>
      </c>
      <c r="F96" t="s">
        <v>221</v>
      </c>
      <c r="G96" t="s">
        <v>51</v>
      </c>
      <c r="H96" t="s">
        <v>353</v>
      </c>
      <c r="I96" s="1">
        <v>42740</v>
      </c>
      <c r="J96" t="s">
        <v>434</v>
      </c>
      <c r="K96" s="158" t="str">
        <f t="shared" si="20"/>
        <v>INSERT INTO PlanoRega (dataInicial, nomeParcela,variedade,nomeComum,idSetor,dataInicio,dataFim) VALUES (TO_DATE('01/05/2017', 'DD/MM/YYYY'),'Lameiro do moinho',  UPPER('Fuji'), 'Macieira',21, TO_DATE('01/05/2017', 'DD/MM/YYYY'), TO_DATE('NULL', 'DD/MM/YYYY'));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CR96">
        <v>262</v>
      </c>
      <c r="CS96" t="s">
        <v>137</v>
      </c>
      <c r="CT96" t="s">
        <v>292</v>
      </c>
      <c r="CU96">
        <v>250</v>
      </c>
      <c r="CW96" s="164" t="str">
        <f t="shared" si="12"/>
        <v>INSERT INTO ProdutoColhido (idOperacao, nomeProduto, designacaoUnidade, quantidade) VALUES (259,'Nabo','kg', 200);</v>
      </c>
      <c r="CX96" s="46"/>
      <c r="CY96" s="46"/>
      <c r="CZ96" s="46"/>
      <c r="DA96" s="46"/>
      <c r="DB96" s="46"/>
      <c r="DC96" s="46"/>
      <c r="DD96" s="46"/>
      <c r="DE96" s="46"/>
    </row>
    <row r="97" spans="1:109">
      <c r="A97">
        <v>21</v>
      </c>
      <c r="B97" s="171">
        <v>42740</v>
      </c>
      <c r="C97" t="s">
        <v>434</v>
      </c>
      <c r="D97" t="s">
        <v>435</v>
      </c>
      <c r="E97">
        <v>3500</v>
      </c>
      <c r="F97" t="s">
        <v>221</v>
      </c>
      <c r="G97" t="s">
        <v>51</v>
      </c>
      <c r="H97" t="s">
        <v>354</v>
      </c>
      <c r="I97" s="1">
        <v>42740</v>
      </c>
      <c r="J97" t="s">
        <v>434</v>
      </c>
      <c r="K97" s="158" t="str">
        <f t="shared" si="20"/>
        <v>INSERT INTO PlanoRega (dataInicial, nomeParcela,variedade,nomeComum,idSetor,dataInicio,dataFim) VALUES (TO_DATE('01/05/2017', 'DD/MM/YYYY'),'Lameiro do moinho',  UPPER('Royal Gala'), 'Macieira',21, TO_DATE('01/05/2017', 'DD/MM/YYYY'), TO_DATE('NULL', 'DD/MM/YYYY'));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CR97">
        <v>327</v>
      </c>
      <c r="CS97" t="s">
        <v>100</v>
      </c>
      <c r="CT97" t="s">
        <v>292</v>
      </c>
      <c r="CU97">
        <v>1500</v>
      </c>
      <c r="CW97" s="164" t="str">
        <f t="shared" si="12"/>
        <v>INSERT INTO ProdutoColhido (idOperacao, nomeProduto, designacaoUnidade, quantidade) VALUES (262,'Nabo','kg', 250);</v>
      </c>
      <c r="CX97" s="46"/>
      <c r="CY97" s="46"/>
      <c r="CZ97" s="46"/>
      <c r="DA97" s="46"/>
      <c r="DB97" s="46"/>
      <c r="DC97" s="46"/>
      <c r="DD97" s="46"/>
      <c r="DE97" s="46"/>
    </row>
    <row r="98" spans="1:109">
      <c r="A98">
        <v>21</v>
      </c>
      <c r="B98" s="171">
        <v>42740</v>
      </c>
      <c r="C98" t="s">
        <v>434</v>
      </c>
      <c r="D98" t="s">
        <v>435</v>
      </c>
      <c r="E98">
        <v>3500</v>
      </c>
      <c r="F98" t="s">
        <v>221</v>
      </c>
      <c r="G98" t="s">
        <v>51</v>
      </c>
      <c r="H98" t="s">
        <v>355</v>
      </c>
      <c r="I98" s="1">
        <v>42740</v>
      </c>
      <c r="J98" t="s">
        <v>434</v>
      </c>
      <c r="K98" s="158" t="str">
        <f t="shared" si="20"/>
        <v>INSERT INTO PlanoRega (dataInicial, nomeParcela,variedade,nomeComum,idSetor,dataInicio,dataFim) VALUES (TO_DATE('01/05/2017', 'DD/MM/YYYY'),'Lameiro do moinho',  UPPER('Royal Gala'), 'Macieira',21, TO_DATE('01/05/2019', 'DD/MM/YYYY'), TO_DATE('NULL', 'DD/MM/YYYY'));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CR98">
        <v>328</v>
      </c>
      <c r="CS98" t="s">
        <v>100</v>
      </c>
      <c r="CT98" t="s">
        <v>292</v>
      </c>
      <c r="CU98">
        <v>2500</v>
      </c>
      <c r="CW98" s="164" t="str">
        <f t="shared" si="12"/>
        <v>INSERT INTO ProdutoColhido (idOperacao, nomeProduto, designacaoUnidade, quantidade) VALUES (327,'Cenoura','kg', 1500);</v>
      </c>
      <c r="CX98" s="46"/>
      <c r="CY98" s="46"/>
      <c r="CZ98" s="46"/>
      <c r="DA98" s="46"/>
      <c r="DB98" s="46"/>
      <c r="DC98" s="46"/>
      <c r="DD98" s="46"/>
      <c r="DE98" s="46"/>
    </row>
    <row r="99" spans="1:109">
      <c r="A99">
        <v>21</v>
      </c>
      <c r="B99" s="171">
        <v>42740</v>
      </c>
      <c r="C99" t="s">
        <v>434</v>
      </c>
      <c r="D99" t="s">
        <v>435</v>
      </c>
      <c r="E99">
        <v>3500</v>
      </c>
      <c r="F99" t="s">
        <v>221</v>
      </c>
      <c r="G99" t="s">
        <v>51</v>
      </c>
      <c r="H99" t="s">
        <v>355</v>
      </c>
      <c r="I99" s="1">
        <v>43470</v>
      </c>
      <c r="J99" t="s">
        <v>434</v>
      </c>
      <c r="K99" s="158" t="str">
        <f t="shared" si="20"/>
        <v>INSERT INTO PlanoRega (dataInicial, nomeParcela,variedade,nomeComum,idSetor,dataInicio,dataFim) VALUES (TO_DATE('01/05/2017', 'DD/MM/YYYY'),'Lameiro do moinho',  UPPER('Pipo de Basto'), 'Macieira',21, TO_DATE('01/05/2019', 'DD/MM/YYYY'), TO_DATE('NULL', 'DD/MM/YYYY'));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CR99">
        <v>329</v>
      </c>
      <c r="CS99" t="s">
        <v>276</v>
      </c>
      <c r="CT99" t="s">
        <v>292</v>
      </c>
      <c r="CU99">
        <v>8000</v>
      </c>
      <c r="CW99" s="164" t="str">
        <f t="shared" si="12"/>
        <v>INSERT INTO ProdutoColhido (idOperacao, nomeProduto, designacaoUnidade, quantidade) VALUES (328,'Cenoura','kg', 2500);</v>
      </c>
      <c r="CX99" s="46"/>
      <c r="CY99" s="46"/>
      <c r="CZ99" s="46"/>
      <c r="DA99" s="46"/>
      <c r="DB99" s="46"/>
      <c r="DC99" s="46"/>
      <c r="DD99" s="46"/>
      <c r="DE99" s="46"/>
    </row>
    <row r="100" spans="1:109">
      <c r="A100">
        <v>21</v>
      </c>
      <c r="B100" s="171">
        <v>42740</v>
      </c>
      <c r="C100" t="s">
        <v>434</v>
      </c>
      <c r="D100" t="s">
        <v>435</v>
      </c>
      <c r="E100">
        <v>3500</v>
      </c>
      <c r="F100" t="s">
        <v>221</v>
      </c>
      <c r="G100" t="s">
        <v>51</v>
      </c>
      <c r="H100" t="s">
        <v>356</v>
      </c>
      <c r="I100" s="1">
        <v>43470</v>
      </c>
      <c r="J100" t="s">
        <v>434</v>
      </c>
      <c r="K100" s="158" t="str">
        <f t="shared" si="20"/>
        <v>INSERT INTO PlanoRega (dataInicial, nomeParcela,variedade,nomeComum,idSetor,dataInicio,dataFim) VALUES (TO_DATE('01/05/2019', 'DD/MM/YYYY'),'Lameiro do moinho',  UPPER('Porta da Loja'), 'Macieira',22, TO_DATE('01/05/2019', 'DD/MM/YYYY'), TO_DATE('NULL', 'DD/MM/YYYY'));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CR100">
        <v>330</v>
      </c>
      <c r="CS100" t="s">
        <v>276</v>
      </c>
      <c r="CT100" t="s">
        <v>292</v>
      </c>
      <c r="CU100">
        <v>5000</v>
      </c>
      <c r="CW100" s="164" t="str">
        <f t="shared" si="12"/>
        <v>INSERT INTO ProdutoColhido (idOperacao, nomeProduto, designacaoUnidade, quantidade) VALUES (329,'Abóbora','kg', 8000);</v>
      </c>
      <c r="CX100" s="46"/>
      <c r="CY100" s="46"/>
      <c r="CZ100" s="46"/>
      <c r="DA100" s="46"/>
      <c r="DB100" s="46"/>
      <c r="DC100" s="46"/>
      <c r="DD100" s="46"/>
      <c r="DE100" s="46"/>
    </row>
    <row r="101" spans="1:109">
      <c r="A101">
        <v>22</v>
      </c>
      <c r="B101" s="171">
        <v>43470</v>
      </c>
      <c r="C101" t="s">
        <v>434</v>
      </c>
      <c r="D101" t="s">
        <v>435</v>
      </c>
      <c r="E101">
        <v>3500</v>
      </c>
      <c r="F101" t="s">
        <v>221</v>
      </c>
      <c r="G101" t="s">
        <v>51</v>
      </c>
      <c r="H101" t="s">
        <v>358</v>
      </c>
      <c r="I101" s="1">
        <v>43470</v>
      </c>
      <c r="J101" t="s">
        <v>434</v>
      </c>
      <c r="K101" s="158" t="str">
        <f t="shared" si="20"/>
        <v>INSERT INTO PlanoRega (dataInicial, nomeParcela,variedade,nomeComum,idSetor,dataInicio,dataFim) VALUES (TO_DATE('01/05/2019', 'DD/MM/YYYY'),'Lameiro do moinho',  UPPER('Malápio'), 'Macieira',22, TO_DATE('01/05/2019', 'DD/MM/YYYY'), TO_DATE('NULL', 'DD/MM/YYYY'));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CR101">
        <v>331</v>
      </c>
      <c r="CS101" t="s">
        <v>100</v>
      </c>
      <c r="CT101" t="s">
        <v>292</v>
      </c>
      <c r="CU101">
        <v>900</v>
      </c>
      <c r="CW101" s="164" t="str">
        <f t="shared" si="12"/>
        <v>INSERT INTO ProdutoColhido (idOperacao, nomeProduto, designacaoUnidade, quantidade) VALUES (330,'Abóbora','kg', 5000);</v>
      </c>
      <c r="CX101" s="46"/>
      <c r="CY101" s="46"/>
      <c r="CZ101" s="46"/>
      <c r="DA101" s="46"/>
      <c r="DB101" s="46"/>
      <c r="DC101" s="46"/>
      <c r="DD101" s="46"/>
      <c r="DE101" s="46"/>
    </row>
    <row r="102" spans="1:109">
      <c r="A102">
        <v>22</v>
      </c>
      <c r="B102" s="171">
        <v>43470</v>
      </c>
      <c r="C102" t="s">
        <v>434</v>
      </c>
      <c r="D102" t="s">
        <v>435</v>
      </c>
      <c r="E102">
        <v>3500</v>
      </c>
      <c r="F102" t="s">
        <v>221</v>
      </c>
      <c r="G102" t="s">
        <v>51</v>
      </c>
      <c r="H102" t="s">
        <v>360</v>
      </c>
      <c r="I102" s="1">
        <v>43470</v>
      </c>
      <c r="J102" t="s">
        <v>434</v>
      </c>
      <c r="K102" s="158" t="str">
        <f t="shared" si="20"/>
        <v>INSERT INTO PlanoRega (dataInicial, nomeParcela,variedade,nomeComum,idSetor,dataInicio,dataFim) VALUES (TO_DATE('01/05/2019', 'DD/MM/YYYY'),'Lameiro do moinho',  UPPER('Canada'), 'Macieira',22, TO_DATE('01/05/2019', 'DD/MM/YYYY'), TO_DATE('NULL', 'DD/MM/YYYY'));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CR102">
        <v>332</v>
      </c>
      <c r="CS102" t="s">
        <v>100</v>
      </c>
      <c r="CT102" t="s">
        <v>292</v>
      </c>
      <c r="CU102">
        <v>1500</v>
      </c>
      <c r="CW102" s="164" t="str">
        <f t="shared" si="12"/>
        <v>INSERT INTO ProdutoColhido (idOperacao, nomeProduto, designacaoUnidade, quantidade) VALUES (331,'Cenoura','kg', 900);</v>
      </c>
      <c r="CX102" s="46"/>
      <c r="CY102" s="46"/>
      <c r="CZ102" s="46"/>
      <c r="DA102" s="46"/>
      <c r="DB102" s="46"/>
      <c r="DC102" s="46"/>
      <c r="DD102" s="46"/>
      <c r="DE102" s="46"/>
    </row>
    <row r="103" spans="1:109">
      <c r="A103">
        <v>22</v>
      </c>
      <c r="B103" s="171">
        <v>43470</v>
      </c>
      <c r="C103" t="s">
        <v>434</v>
      </c>
      <c r="D103" t="s">
        <v>435</v>
      </c>
      <c r="E103">
        <v>3500</v>
      </c>
      <c r="F103" t="s">
        <v>221</v>
      </c>
      <c r="G103" t="s">
        <v>51</v>
      </c>
      <c r="H103" t="s">
        <v>362</v>
      </c>
      <c r="I103" s="1">
        <v>43470</v>
      </c>
      <c r="J103" t="s">
        <v>434</v>
      </c>
      <c r="K103" s="158" t="str">
        <f t="shared" si="20"/>
        <v>INSERT INTO PlanoRega (dataInicial, nomeParcela,variedade,nomeComum,idSetor,dataInicio,dataFim) VALUES (TO_DATE('01/05/2019', 'DD/MM/YYYY'),'Lameiro do moinho',  UPPER('Grand Fay'), 'Macieira',22, TO_DATE('01/05/2019', 'DD/MM/YYYY'), TO_DATE('NULL', 'DD/MM/YYYY'));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CR103">
        <v>333</v>
      </c>
      <c r="CS103" t="s">
        <v>100</v>
      </c>
      <c r="CT103" t="s">
        <v>292</v>
      </c>
      <c r="CU103">
        <v>1200</v>
      </c>
      <c r="CW103" s="164" t="str">
        <f t="shared" si="12"/>
        <v>INSERT INTO ProdutoColhido (idOperacao, nomeProduto, designacaoUnidade, quantidade) VALUES (332,'Cenoura','kg', 1500);</v>
      </c>
      <c r="CX103" s="46"/>
      <c r="CY103" s="46"/>
      <c r="CZ103" s="46"/>
      <c r="DA103" s="46"/>
      <c r="DB103" s="46"/>
      <c r="DC103" s="46"/>
      <c r="DD103" s="46"/>
      <c r="DE103" s="46"/>
    </row>
    <row r="104" spans="1:109">
      <c r="A104">
        <v>22</v>
      </c>
      <c r="B104" s="171">
        <v>43470</v>
      </c>
      <c r="C104" t="s">
        <v>434</v>
      </c>
      <c r="D104" t="s">
        <v>435</v>
      </c>
      <c r="E104">
        <v>3500</v>
      </c>
      <c r="F104" t="s">
        <v>221</v>
      </c>
      <c r="G104" t="s">
        <v>51</v>
      </c>
      <c r="H104" t="s">
        <v>364</v>
      </c>
      <c r="I104" s="1">
        <v>43470</v>
      </c>
      <c r="J104" t="s">
        <v>434</v>
      </c>
      <c r="K104" s="158" t="str">
        <f t="shared" si="20"/>
        <v>INSERT INTO PlanoRega (dataInicial, nomeParcela,variedade,nomeComum,idSetor,dataInicio,dataFim) VALUES (TO_DATE('01/05/2019', 'DD/MM/YYYY'),'Lameiro do moinho',  UPPER('Gronho Doce'), 'Macieira',22, TO_DATE('01/05/2019', 'DD/MM/YYYY'), TO_DATE('NULL', 'DD/MM/YYYY'));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CR104">
        <v>334</v>
      </c>
      <c r="CS104" t="s">
        <v>272</v>
      </c>
      <c r="CT104" t="s">
        <v>292</v>
      </c>
      <c r="CU104">
        <v>400</v>
      </c>
      <c r="CW104" s="164" t="str">
        <f t="shared" si="12"/>
        <v>INSERT INTO ProdutoColhido (idOperacao, nomeProduto, designacaoUnidade, quantidade) VALUES (333,'Cenoura','kg', 1200);</v>
      </c>
      <c r="CX104" s="46"/>
      <c r="CY104" s="46"/>
      <c r="CZ104" s="46"/>
      <c r="DA104" s="46"/>
      <c r="DB104" s="46"/>
      <c r="DC104" s="46"/>
      <c r="DD104" s="46"/>
      <c r="DE104" s="46"/>
    </row>
    <row r="105" spans="1:109">
      <c r="A105">
        <v>22</v>
      </c>
      <c r="B105" s="171">
        <v>43470</v>
      </c>
      <c r="C105" t="s">
        <v>434</v>
      </c>
      <c r="D105" t="s">
        <v>435</v>
      </c>
      <c r="E105">
        <v>3500</v>
      </c>
      <c r="F105" t="s">
        <v>221</v>
      </c>
      <c r="G105" t="s">
        <v>51</v>
      </c>
      <c r="H105" t="s">
        <v>366</v>
      </c>
      <c r="I105" s="1">
        <v>43470</v>
      </c>
      <c r="J105" t="s">
        <v>434</v>
      </c>
      <c r="K105" s="158" t="str">
        <f t="shared" si="20"/>
        <v>INSERT INTO PlanoRega (dataInicial, nomeParcela,variedade,nomeComum,idSetor,dataInicio,dataFim) VALUES (TO_DATE('01/04/2023', 'DD/MM/YYYY'),'Campo Novo',  UPPER('Sugarnax Hybrid'), 'Cenoura',41, TO_DATE('05/04/2023', 'DD/MM/YYYY'), TO_DATE('31/05/2023', 'DD/MM/YYYY'));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CR105">
        <v>335</v>
      </c>
      <c r="CS105" t="s">
        <v>272</v>
      </c>
      <c r="CT105" t="s">
        <v>292</v>
      </c>
      <c r="CU105">
        <v>300</v>
      </c>
      <c r="CW105" s="164" t="str">
        <f t="shared" si="12"/>
        <v>INSERT INTO ProdutoColhido (idOperacao, nomeProduto, designacaoUnidade, quantidade) VALUES (334,'Azeitona','kg', 400);</v>
      </c>
      <c r="CX105" s="46"/>
      <c r="CY105" s="46"/>
      <c r="CZ105" s="46"/>
      <c r="DA105" s="46"/>
      <c r="DB105" s="46"/>
      <c r="DC105" s="46"/>
      <c r="DD105" s="46"/>
      <c r="DE105" s="46"/>
    </row>
    <row r="106" spans="1:109">
      <c r="A106">
        <v>41</v>
      </c>
      <c r="B106" s="171">
        <v>44930</v>
      </c>
      <c r="C106" s="1">
        <v>45209</v>
      </c>
      <c r="D106" t="s">
        <v>435</v>
      </c>
      <c r="E106">
        <v>2500</v>
      </c>
      <c r="F106" t="s">
        <v>317</v>
      </c>
      <c r="G106" t="s">
        <v>100</v>
      </c>
      <c r="H106" t="s">
        <v>436</v>
      </c>
      <c r="I106" s="1">
        <v>45050</v>
      </c>
      <c r="J106" t="s">
        <v>437</v>
      </c>
      <c r="K106" s="158" t="str">
        <f t="shared" si="20"/>
        <v>INSERT INTO PlanoRega (dataInicial, nomeParcela,variedade,nomeComum,idSetor,dataInicio,dataFim) VALUES (TO_DATE('01/04/2023', 'DD/MM/YYYY'),'Campo Novo',  UPPER('Danvers Half Long'), 'Cenoura',41, TO_DATE('05/04/2023', 'DD/MM/YYYY'), TO_DATE('08/10/2023', 'DD/MM/YYYY'));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CR106">
        <v>336</v>
      </c>
      <c r="CS106" t="s">
        <v>272</v>
      </c>
      <c r="CT106" t="s">
        <v>292</v>
      </c>
      <c r="CU106">
        <v>500</v>
      </c>
      <c r="CW106" s="164" t="str">
        <f t="shared" si="12"/>
        <v>INSERT INTO ProdutoColhido (idOperacao, nomeProduto, designacaoUnidade, quantidade) VALUES (335,'Azeitona','kg', 300);</v>
      </c>
      <c r="CX106" s="46"/>
      <c r="CY106" s="46"/>
      <c r="CZ106" s="46"/>
      <c r="DA106" s="46"/>
      <c r="DB106" s="46"/>
      <c r="DC106" s="46"/>
      <c r="DD106" s="46"/>
      <c r="DE106" s="46"/>
    </row>
    <row r="107" spans="1:109">
      <c r="A107">
        <v>41</v>
      </c>
      <c r="B107" s="171">
        <v>44930</v>
      </c>
      <c r="C107" s="1">
        <v>45209</v>
      </c>
      <c r="D107" t="s">
        <v>435</v>
      </c>
      <c r="E107">
        <v>2500</v>
      </c>
      <c r="F107" t="s">
        <v>317</v>
      </c>
      <c r="G107" t="s">
        <v>100</v>
      </c>
      <c r="H107" t="s">
        <v>105</v>
      </c>
      <c r="I107" s="1">
        <v>45050</v>
      </c>
      <c r="J107" s="1">
        <v>45148</v>
      </c>
      <c r="K107" s="158" t="str">
        <f t="shared" si="20"/>
        <v>INSERT INTO PlanoRega (dataInicial, nomeParcela,variedade,nomeComum,idSetor,dataInicio,dataFim) VALUES (TO_DATE('01/04/2023', 'DD/MM/YYYY'),'Campo Novo',  UPPER('Manteiga'), 'Abóbora',42, TO_DATE('06/04/2023', 'DD/MM/YYYY'), TO_DATE('10/09/2023', 'DD/MM/YYYY'));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CR107">
        <v>337</v>
      </c>
      <c r="CS107" t="s">
        <v>273</v>
      </c>
      <c r="CT107" t="s">
        <v>292</v>
      </c>
      <c r="CU107">
        <v>700</v>
      </c>
      <c r="CW107" s="164" t="str">
        <f t="shared" si="12"/>
        <v>INSERT INTO ProdutoColhido (idOperacao, nomeProduto, designacaoUnidade, quantidade) VALUES (336,'Azeitona','kg', 500);</v>
      </c>
      <c r="CX107" s="46"/>
      <c r="CY107" s="46"/>
      <c r="CZ107" s="46"/>
      <c r="DA107" s="46"/>
      <c r="DB107" s="46"/>
      <c r="DC107" s="46"/>
      <c r="DD107" s="46"/>
      <c r="DE107" s="46"/>
    </row>
    <row r="108" spans="1:109">
      <c r="A108">
        <v>42</v>
      </c>
      <c r="B108" s="171">
        <v>44930</v>
      </c>
      <c r="C108" s="1">
        <v>45209</v>
      </c>
      <c r="D108" t="s">
        <v>435</v>
      </c>
      <c r="E108">
        <v>3500</v>
      </c>
      <c r="F108" t="s">
        <v>317</v>
      </c>
      <c r="G108" t="s">
        <v>276</v>
      </c>
      <c r="H108" t="s">
        <v>439</v>
      </c>
      <c r="I108" s="1">
        <v>45081</v>
      </c>
      <c r="J108" s="1">
        <v>45208</v>
      </c>
      <c r="K108" s="157"/>
      <c r="CR108">
        <v>338</v>
      </c>
      <c r="CS108" t="s">
        <v>273</v>
      </c>
      <c r="CT108" t="s">
        <v>292</v>
      </c>
      <c r="CU108">
        <v>600</v>
      </c>
      <c r="CW108" s="164" t="str">
        <f t="shared" si="12"/>
        <v>INSERT INTO ProdutoColhido (idOperacao, nomeProduto, designacaoUnidade, quantidade) VALUES (337,'Maçã','kg', 700);</v>
      </c>
      <c r="CX108" s="46"/>
      <c r="CY108" s="46"/>
      <c r="CZ108" s="46"/>
      <c r="DA108" s="46"/>
      <c r="DB108" s="46"/>
      <c r="DC108" s="46"/>
      <c r="DD108" s="46"/>
      <c r="DE108" s="46"/>
    </row>
    <row r="109" spans="1:109">
      <c r="CR109">
        <v>339</v>
      </c>
      <c r="CS109" t="s">
        <v>273</v>
      </c>
      <c r="CT109" t="s">
        <v>292</v>
      </c>
      <c r="CU109">
        <v>700</v>
      </c>
      <c r="CW109" s="164" t="str">
        <f t="shared" si="12"/>
        <v>INSERT INTO ProdutoColhido (idOperacao, nomeProduto, designacaoUnidade, quantidade) VALUES (338,'Maçã','kg', 600);</v>
      </c>
      <c r="CX109" s="46"/>
      <c r="CY109" s="46"/>
      <c r="CZ109" s="46"/>
      <c r="DA109" s="46"/>
      <c r="DB109" s="46"/>
      <c r="DC109" s="46"/>
      <c r="DD109" s="46"/>
      <c r="DE109" s="46"/>
    </row>
    <row r="110" spans="1:109">
      <c r="B110" t="str">
        <f>TEXT(B88,"MM/DD/YYYY")</f>
        <v>01/05/2017</v>
      </c>
      <c r="I110" t="str">
        <f>TEXT(I88,"MM/DD/YYYY")</f>
        <v>01/05/2017</v>
      </c>
      <c r="J110" t="str">
        <f t="shared" ref="I110:J130" si="21">TEXT(J88,"MM/DD/YYYY")</f>
        <v>NULL</v>
      </c>
      <c r="CR110">
        <v>340</v>
      </c>
      <c r="CS110" t="s">
        <v>273</v>
      </c>
      <c r="CT110" t="s">
        <v>292</v>
      </c>
      <c r="CU110">
        <v>600</v>
      </c>
      <c r="CW110" s="164" t="str">
        <f t="shared" si="12"/>
        <v>INSERT INTO ProdutoColhido (idOperacao, nomeProduto, designacaoUnidade, quantidade) VALUES (339,'Maçã','kg', 700);</v>
      </c>
      <c r="CX110" s="46"/>
      <c r="CY110" s="46"/>
      <c r="CZ110" s="46"/>
      <c r="DA110" s="46"/>
      <c r="DB110" s="46"/>
      <c r="DC110" s="46"/>
      <c r="DD110" s="46"/>
      <c r="DE110" s="46"/>
    </row>
    <row r="111" spans="1:109">
      <c r="B111" t="str">
        <f t="shared" ref="B111:B130" si="22">TEXT(B89,"MM/DD/YYYY")</f>
        <v>01/05/2017</v>
      </c>
      <c r="I111" t="str">
        <f t="shared" si="21"/>
        <v>01/05/2017</v>
      </c>
      <c r="J111" t="str">
        <f t="shared" si="21"/>
        <v>NULL</v>
      </c>
      <c r="CR111">
        <v>341</v>
      </c>
      <c r="CS111" t="s">
        <v>273</v>
      </c>
      <c r="CT111" t="s">
        <v>292</v>
      </c>
      <c r="CU111">
        <v>700</v>
      </c>
      <c r="CW111" s="164" t="str">
        <f t="shared" ref="CW111:CW122" si="23">"INSERT INTO ProdutoColhido (idOperacao, nomeProduto, designacaoUnidade, quantidade) VALUES ("&amp;CR110&amp;",'"&amp;CS110&amp;"','"&amp;CT110&amp;"', "&amp;CU110&amp;");"</f>
        <v>INSERT INTO ProdutoColhido (idOperacao, nomeProduto, designacaoUnidade, quantidade) VALUES (340,'Maçã','kg', 600);</v>
      </c>
      <c r="CX111" s="46"/>
      <c r="CY111" s="46"/>
      <c r="CZ111" s="46"/>
      <c r="DA111" s="46"/>
      <c r="DB111" s="46"/>
      <c r="DC111" s="46"/>
      <c r="DD111" s="46"/>
      <c r="DE111" s="46"/>
    </row>
    <row r="112" spans="1:109">
      <c r="B112" t="str">
        <f t="shared" si="22"/>
        <v>01/05/2017</v>
      </c>
      <c r="I112" t="str">
        <f t="shared" si="21"/>
        <v>01/05/2017</v>
      </c>
      <c r="J112" t="str">
        <f t="shared" si="21"/>
        <v>NULL</v>
      </c>
      <c r="CR112">
        <v>342</v>
      </c>
      <c r="CS112" t="s">
        <v>273</v>
      </c>
      <c r="CT112" t="s">
        <v>292</v>
      </c>
      <c r="CU112">
        <v>1200</v>
      </c>
      <c r="CW112" s="164" t="str">
        <f t="shared" si="23"/>
        <v>INSERT INTO ProdutoColhido (idOperacao, nomeProduto, designacaoUnidade, quantidade) VALUES (341,'Maçã','kg', 700);</v>
      </c>
      <c r="CX112" s="46"/>
      <c r="CY112" s="46"/>
      <c r="CZ112" s="46"/>
      <c r="DA112" s="46"/>
      <c r="DB112" s="46"/>
      <c r="DC112" s="46"/>
      <c r="DD112" s="46"/>
      <c r="DE112" s="46"/>
    </row>
    <row r="113" spans="2:109">
      <c r="B113" t="str">
        <f t="shared" si="22"/>
        <v>01/05/2017</v>
      </c>
      <c r="I113" t="str">
        <f t="shared" si="21"/>
        <v>01/05/2017</v>
      </c>
      <c r="J113" t="str">
        <f t="shared" si="21"/>
        <v>NULL</v>
      </c>
      <c r="CR113">
        <v>343</v>
      </c>
      <c r="CS113" t="s">
        <v>273</v>
      </c>
      <c r="CT113" t="s">
        <v>292</v>
      </c>
      <c r="CU113">
        <v>700</v>
      </c>
      <c r="CW113" s="164" t="str">
        <f t="shared" si="23"/>
        <v>INSERT INTO ProdutoColhido (idOperacao, nomeProduto, designacaoUnidade, quantidade) VALUES (342,'Maçã','kg', 1200);</v>
      </c>
      <c r="CX113" s="46"/>
      <c r="CY113" s="46"/>
      <c r="CZ113" s="46"/>
      <c r="DA113" s="46"/>
      <c r="DB113" s="46"/>
      <c r="DC113" s="46"/>
      <c r="DD113" s="46"/>
      <c r="DE113" s="46"/>
    </row>
    <row r="114" spans="2:109">
      <c r="B114" t="str">
        <f t="shared" si="22"/>
        <v>01/05/2017</v>
      </c>
      <c r="I114" t="str">
        <f t="shared" si="21"/>
        <v>01/05/2017</v>
      </c>
      <c r="J114" t="str">
        <f t="shared" si="21"/>
        <v>NULL</v>
      </c>
      <c r="CR114">
        <v>344</v>
      </c>
      <c r="CS114" t="s">
        <v>273</v>
      </c>
      <c r="CT114" t="s">
        <v>292</v>
      </c>
      <c r="CU114">
        <v>700</v>
      </c>
      <c r="CW114" s="164" t="str">
        <f t="shared" si="23"/>
        <v>INSERT INTO ProdutoColhido (idOperacao, nomeProduto, designacaoUnidade, quantidade) VALUES (343,'Maçã','kg', 700);</v>
      </c>
      <c r="CX114" s="46"/>
      <c r="CY114" s="46"/>
      <c r="CZ114" s="46"/>
      <c r="DA114" s="46"/>
      <c r="DB114" s="46"/>
      <c r="DC114" s="46"/>
      <c r="DD114" s="46"/>
      <c r="DE114" s="46"/>
    </row>
    <row r="115" spans="2:109">
      <c r="B115" t="str">
        <f t="shared" si="22"/>
        <v>01/05/2017</v>
      </c>
      <c r="I115" t="str">
        <f t="shared" si="21"/>
        <v>01/05/2017</v>
      </c>
      <c r="J115" t="str">
        <f t="shared" si="21"/>
        <v>NULL</v>
      </c>
      <c r="CR115">
        <v>345</v>
      </c>
      <c r="CS115" t="s">
        <v>273</v>
      </c>
      <c r="CT115" t="s">
        <v>292</v>
      </c>
      <c r="CU115">
        <v>800</v>
      </c>
      <c r="CW115" s="164" t="str">
        <f t="shared" si="23"/>
        <v>INSERT INTO ProdutoColhido (idOperacao, nomeProduto, designacaoUnidade, quantidade) VALUES (344,'Maçã','kg', 700);</v>
      </c>
      <c r="CX115" s="46"/>
      <c r="CY115" s="46"/>
      <c r="CZ115" s="46"/>
      <c r="DA115" s="46"/>
      <c r="DB115" s="46"/>
      <c r="DC115" s="46"/>
      <c r="DD115" s="46"/>
      <c r="DE115" s="46"/>
    </row>
    <row r="116" spans="2:109">
      <c r="B116" t="str">
        <f t="shared" si="22"/>
        <v>01/05/2017</v>
      </c>
      <c r="I116" t="str">
        <f t="shared" si="21"/>
        <v>01/05/2019</v>
      </c>
      <c r="J116" t="str">
        <f t="shared" si="21"/>
        <v>NULL</v>
      </c>
      <c r="CR116">
        <v>346</v>
      </c>
      <c r="CS116" t="s">
        <v>273</v>
      </c>
      <c r="CT116" t="s">
        <v>292</v>
      </c>
      <c r="CU116">
        <v>700</v>
      </c>
      <c r="CW116" s="164" t="str">
        <f t="shared" si="23"/>
        <v>INSERT INTO ProdutoColhido (idOperacao, nomeProduto, designacaoUnidade, quantidade) VALUES (345,'Maçã','kg', 800);</v>
      </c>
      <c r="CX116" s="46"/>
      <c r="CY116" s="46"/>
      <c r="CZ116" s="46"/>
      <c r="DA116" s="46"/>
      <c r="DB116" s="46"/>
      <c r="DC116" s="46"/>
      <c r="DD116" s="46"/>
      <c r="DE116" s="46"/>
    </row>
    <row r="117" spans="2:109">
      <c r="B117" t="str">
        <f t="shared" si="22"/>
        <v>01/05/2017</v>
      </c>
      <c r="I117" t="str">
        <f t="shared" si="21"/>
        <v>01/05/2019</v>
      </c>
      <c r="J117" t="str">
        <f t="shared" si="21"/>
        <v>NULL</v>
      </c>
      <c r="CR117">
        <v>347</v>
      </c>
      <c r="CS117" t="s">
        <v>273</v>
      </c>
      <c r="CT117" t="s">
        <v>292</v>
      </c>
      <c r="CU117">
        <v>900</v>
      </c>
      <c r="CW117" s="164" t="str">
        <f t="shared" si="23"/>
        <v>INSERT INTO ProdutoColhido (idOperacao, nomeProduto, designacaoUnidade, quantidade) VALUES (346,'Maçã','kg', 700);</v>
      </c>
      <c r="CX117" s="46"/>
      <c r="CY117" s="46"/>
      <c r="CZ117" s="46"/>
      <c r="DA117" s="46"/>
      <c r="DB117" s="46"/>
      <c r="DC117" s="46"/>
      <c r="DD117" s="46"/>
      <c r="DE117" s="46"/>
    </row>
    <row r="118" spans="2:109">
      <c r="B118" t="str">
        <f t="shared" si="22"/>
        <v>01/05/2017</v>
      </c>
      <c r="I118" t="str">
        <f t="shared" si="21"/>
        <v>01/05/2017</v>
      </c>
      <c r="J118" t="str">
        <f t="shared" si="21"/>
        <v>NULL</v>
      </c>
      <c r="CR118">
        <v>348</v>
      </c>
      <c r="CS118" t="s">
        <v>273</v>
      </c>
      <c r="CT118" t="s">
        <v>292</v>
      </c>
      <c r="CU118">
        <v>900</v>
      </c>
      <c r="CW118" s="164" t="str">
        <f t="shared" si="23"/>
        <v>INSERT INTO ProdutoColhido (idOperacao, nomeProduto, designacaoUnidade, quantidade) VALUES (347,'Maçã','kg', 900);</v>
      </c>
      <c r="CX118" s="46"/>
      <c r="CY118" s="46"/>
      <c r="CZ118" s="46"/>
      <c r="DA118" s="46"/>
      <c r="DB118" s="46"/>
      <c r="DC118" s="46"/>
      <c r="DD118" s="46"/>
      <c r="DE118" s="46"/>
    </row>
    <row r="119" spans="2:109">
      <c r="B119" t="str">
        <f t="shared" si="22"/>
        <v>01/05/2017</v>
      </c>
      <c r="I119" t="str">
        <f t="shared" si="21"/>
        <v>01/05/2017</v>
      </c>
      <c r="J119" t="str">
        <f t="shared" si="21"/>
        <v>NULL</v>
      </c>
      <c r="CR119">
        <v>349</v>
      </c>
      <c r="CS119" t="s">
        <v>273</v>
      </c>
      <c r="CT119" t="s">
        <v>292</v>
      </c>
      <c r="CU119">
        <v>1050</v>
      </c>
      <c r="CW119" s="164" t="str">
        <f t="shared" si="23"/>
        <v>INSERT INTO ProdutoColhido (idOperacao, nomeProduto, designacaoUnidade, quantidade) VALUES (348,'Maçã','kg', 900);</v>
      </c>
      <c r="CX119" s="46"/>
      <c r="CY119" s="46"/>
      <c r="CZ119" s="46"/>
      <c r="DA119" s="46"/>
      <c r="DB119" s="46"/>
      <c r="DC119" s="46"/>
      <c r="DD119" s="46"/>
      <c r="DE119" s="46"/>
    </row>
    <row r="120" spans="2:109">
      <c r="B120" t="str">
        <f t="shared" si="22"/>
        <v>01/05/2017</v>
      </c>
      <c r="I120" t="str">
        <f t="shared" si="21"/>
        <v>01/05/2017</v>
      </c>
      <c r="J120" t="str">
        <f t="shared" si="21"/>
        <v>NULL</v>
      </c>
      <c r="CR120">
        <v>350</v>
      </c>
      <c r="CS120" t="s">
        <v>273</v>
      </c>
      <c r="CT120" t="s">
        <v>292</v>
      </c>
      <c r="CU120">
        <v>950</v>
      </c>
      <c r="CW120" s="164" t="str">
        <f t="shared" si="23"/>
        <v>INSERT INTO ProdutoColhido (idOperacao, nomeProduto, designacaoUnidade, quantidade) VALUES (349,'Maçã','kg', 1050);</v>
      </c>
      <c r="CX120" s="46"/>
      <c r="CY120" s="46"/>
      <c r="CZ120" s="46"/>
      <c r="DA120" s="46"/>
      <c r="DB120" s="46"/>
      <c r="DC120" s="46"/>
      <c r="DD120" s="46"/>
      <c r="DE120" s="46"/>
    </row>
    <row r="121" spans="2:109">
      <c r="B121" t="str">
        <f t="shared" si="22"/>
        <v>01/05/2017</v>
      </c>
      <c r="I121" t="str">
        <f t="shared" si="21"/>
        <v>01/05/2019</v>
      </c>
      <c r="J121" t="str">
        <f t="shared" si="21"/>
        <v>NULL</v>
      </c>
      <c r="CR121">
        <v>351</v>
      </c>
      <c r="CS121" t="s">
        <v>273</v>
      </c>
      <c r="CT121" t="s">
        <v>292</v>
      </c>
      <c r="CU121">
        <v>800</v>
      </c>
      <c r="CW121" s="164" t="str">
        <f t="shared" si="23"/>
        <v>INSERT INTO ProdutoColhido (idOperacao, nomeProduto, designacaoUnidade, quantidade) VALUES (350,'Maçã','kg', 950);</v>
      </c>
      <c r="CX121" s="46"/>
      <c r="CY121" s="46"/>
      <c r="CZ121" s="46"/>
      <c r="DA121" s="46"/>
      <c r="DB121" s="46"/>
      <c r="DC121" s="46"/>
      <c r="DD121" s="46"/>
      <c r="DE121" s="46"/>
    </row>
    <row r="122" spans="2:109">
      <c r="B122" t="str">
        <f t="shared" si="22"/>
        <v>01/05/2017</v>
      </c>
      <c r="I122" t="str">
        <f t="shared" si="21"/>
        <v>01/05/2019</v>
      </c>
      <c r="J122" t="str">
        <f t="shared" si="21"/>
        <v>NULL</v>
      </c>
      <c r="CW122" s="164" t="str">
        <f t="shared" si="23"/>
        <v>INSERT INTO ProdutoColhido (idOperacao, nomeProduto, designacaoUnidade, quantidade) VALUES (351,'Maçã','kg', 800);</v>
      </c>
      <c r="CX122" s="46"/>
      <c r="CY122" s="46"/>
      <c r="CZ122" s="46"/>
      <c r="DA122" s="46"/>
      <c r="DB122" s="46"/>
      <c r="DC122" s="46"/>
      <c r="DD122" s="46"/>
      <c r="DE122" s="46"/>
    </row>
    <row r="123" spans="2:109">
      <c r="B123" t="str">
        <f t="shared" si="22"/>
        <v>01/05/2019</v>
      </c>
      <c r="I123" t="str">
        <f t="shared" si="21"/>
        <v>01/05/2019</v>
      </c>
      <c r="J123" t="str">
        <f t="shared" si="21"/>
        <v>NULL</v>
      </c>
    </row>
    <row r="124" spans="2:109">
      <c r="B124" t="str">
        <f t="shared" si="22"/>
        <v>01/05/2019</v>
      </c>
      <c r="I124" t="str">
        <f t="shared" si="21"/>
        <v>01/05/2019</v>
      </c>
      <c r="J124" t="str">
        <f t="shared" si="21"/>
        <v>NULL</v>
      </c>
    </row>
    <row r="125" spans="2:109">
      <c r="B125" t="str">
        <f t="shared" si="22"/>
        <v>01/05/2019</v>
      </c>
      <c r="I125" t="str">
        <f t="shared" si="21"/>
        <v>01/05/2019</v>
      </c>
      <c r="J125" t="str">
        <f t="shared" si="21"/>
        <v>NULL</v>
      </c>
    </row>
    <row r="126" spans="2:109">
      <c r="B126" t="str">
        <f t="shared" si="22"/>
        <v>01/05/2019</v>
      </c>
      <c r="I126" t="str">
        <f t="shared" si="21"/>
        <v>01/05/2019</v>
      </c>
      <c r="J126" t="str">
        <f t="shared" si="21"/>
        <v>NULL</v>
      </c>
    </row>
    <row r="127" spans="2:109">
      <c r="B127" t="str">
        <f t="shared" si="22"/>
        <v>01/05/2019</v>
      </c>
      <c r="I127" t="str">
        <f t="shared" si="21"/>
        <v>01/05/2019</v>
      </c>
      <c r="J127" t="str">
        <f t="shared" si="21"/>
        <v>NULL</v>
      </c>
    </row>
    <row r="128" spans="2:109">
      <c r="B128" t="str">
        <f t="shared" si="22"/>
        <v>01/04/2023</v>
      </c>
      <c r="I128" t="str">
        <f>TEXT(I106,"MM/DD/YYYY")</f>
        <v>05/04/2023</v>
      </c>
      <c r="J128" t="str">
        <f>TEXT(J106,"MM/DD/YYYY")</f>
        <v>31/05/2023</v>
      </c>
    </row>
    <row r="129" spans="2:10">
      <c r="B129" t="str">
        <f t="shared" si="22"/>
        <v>01/04/2023</v>
      </c>
      <c r="I129" t="str">
        <f t="shared" si="21"/>
        <v>05/04/2023</v>
      </c>
      <c r="J129" t="str">
        <f t="shared" si="21"/>
        <v>08/10/2023</v>
      </c>
    </row>
    <row r="130" spans="2:10">
      <c r="B130" t="str">
        <f t="shared" si="22"/>
        <v>01/04/2023</v>
      </c>
      <c r="I130" t="str">
        <f t="shared" si="21"/>
        <v>06/04/2023</v>
      </c>
      <c r="J130" t="str">
        <f t="shared" si="21"/>
        <v>10/09/2023</v>
      </c>
    </row>
  </sheetData>
  <mergeCells count="22">
    <mergeCell ref="K86:AC86"/>
    <mergeCell ref="BN27:CC27"/>
    <mergeCell ref="CW45:DE45"/>
    <mergeCell ref="J1:Q1"/>
    <mergeCell ref="S1:AI1"/>
    <mergeCell ref="AK1:AP1"/>
    <mergeCell ref="AR1:BD1"/>
    <mergeCell ref="J27:W27"/>
    <mergeCell ref="Y27:AO27"/>
    <mergeCell ref="AX27:BJ27"/>
    <mergeCell ref="L35:S35"/>
    <mergeCell ref="U35:AM35"/>
    <mergeCell ref="H83:Z83"/>
    <mergeCell ref="AB83:AG83"/>
    <mergeCell ref="AO35:AT35"/>
    <mergeCell ref="AV35:BH35"/>
    <mergeCell ref="L73:AD73"/>
    <mergeCell ref="AF73:AK73"/>
    <mergeCell ref="AM73:AY73"/>
    <mergeCell ref="J78:AB78"/>
    <mergeCell ref="AD78:AI78"/>
    <mergeCell ref="AK78:AW7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Q101"/>
  <sheetViews>
    <sheetView topLeftCell="A40" zoomScale="31" zoomScaleNormal="66" workbookViewId="0">
      <selection activeCell="AM99" sqref="AM99"/>
    </sheetView>
  </sheetViews>
  <sheetFormatPr defaultRowHeight="14.25"/>
  <cols>
    <col min="1" max="1" width="22.86328125" bestFit="1" customWidth="1"/>
    <col min="2" max="2" width="9.86328125" bestFit="1" customWidth="1"/>
    <col min="3" max="3" width="22.1328125" bestFit="1" customWidth="1"/>
    <col min="4" max="4" width="14.1328125" customWidth="1"/>
    <col min="5" max="5" width="20.86328125" bestFit="1" customWidth="1"/>
    <col min="6" max="6" width="37.53125" bestFit="1" customWidth="1"/>
    <col min="7" max="9" width="7" bestFit="1" customWidth="1"/>
    <col min="10" max="10" width="4.86328125" bestFit="1" customWidth="1"/>
    <col min="11" max="11" width="7" bestFit="1" customWidth="1"/>
    <col min="12" max="12" width="3.86328125" bestFit="1" customWidth="1"/>
    <col min="13" max="13" width="5.1328125" bestFit="1" customWidth="1"/>
    <col min="15" max="15" width="19.1328125" customWidth="1"/>
  </cols>
  <sheetData>
    <row r="1" spans="1:17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158</v>
      </c>
      <c r="J1" s="2" t="s">
        <v>160</v>
      </c>
      <c r="K1" s="2" t="s">
        <v>158</v>
      </c>
      <c r="L1" s="2" t="s">
        <v>161</v>
      </c>
      <c r="M1" s="2" t="s">
        <v>158</v>
      </c>
      <c r="O1" s="109" t="s">
        <v>162</v>
      </c>
    </row>
    <row r="2" spans="1:17">
      <c r="A2" t="s">
        <v>163</v>
      </c>
      <c r="B2" t="s">
        <v>164</v>
      </c>
      <c r="C2" t="s">
        <v>165</v>
      </c>
      <c r="D2" t="s">
        <v>166</v>
      </c>
      <c r="E2" t="s">
        <v>167</v>
      </c>
      <c r="F2" t="s">
        <v>168</v>
      </c>
      <c r="G2" s="5">
        <v>0.2</v>
      </c>
      <c r="O2" s="108"/>
    </row>
    <row r="3" spans="1:17">
      <c r="A3" t="s">
        <v>169</v>
      </c>
      <c r="B3" t="s">
        <v>170</v>
      </c>
      <c r="C3" t="s">
        <v>165</v>
      </c>
      <c r="D3" t="s">
        <v>166</v>
      </c>
      <c r="E3" t="s">
        <v>167</v>
      </c>
      <c r="F3" t="s">
        <v>171</v>
      </c>
      <c r="G3" s="5">
        <v>0.8</v>
      </c>
      <c r="O3" s="108"/>
    </row>
    <row r="4" spans="1:17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  <c r="G4" s="5">
        <v>0.249</v>
      </c>
      <c r="H4" t="s">
        <v>178</v>
      </c>
      <c r="I4" s="3">
        <v>0.06</v>
      </c>
      <c r="J4" t="s">
        <v>171</v>
      </c>
      <c r="K4" s="4">
        <v>0.17599999999999999</v>
      </c>
      <c r="O4" s="108"/>
    </row>
    <row r="5" spans="1:17">
      <c r="A5" t="s">
        <v>179</v>
      </c>
      <c r="B5" t="s">
        <v>173</v>
      </c>
      <c r="C5" t="s">
        <v>174</v>
      </c>
      <c r="D5" t="s">
        <v>175</v>
      </c>
      <c r="E5" t="s">
        <v>176</v>
      </c>
      <c r="F5" t="s">
        <v>178</v>
      </c>
      <c r="G5" s="5">
        <v>0.151</v>
      </c>
      <c r="H5" t="s">
        <v>171</v>
      </c>
      <c r="I5" s="4">
        <v>0.20799999999999999</v>
      </c>
      <c r="O5" s="108"/>
    </row>
    <row r="6" spans="1:17">
      <c r="A6" t="s">
        <v>180</v>
      </c>
      <c r="B6" t="s">
        <v>173</v>
      </c>
      <c r="C6" t="s">
        <v>174</v>
      </c>
      <c r="D6" t="s">
        <v>175</v>
      </c>
      <c r="E6" t="s">
        <v>181</v>
      </c>
      <c r="F6" t="s">
        <v>178</v>
      </c>
      <c r="G6" s="5">
        <v>0.09</v>
      </c>
      <c r="H6" t="s">
        <v>171</v>
      </c>
      <c r="I6" s="4">
        <v>0.124</v>
      </c>
      <c r="J6" t="s">
        <v>182</v>
      </c>
      <c r="K6" s="4">
        <v>8.9999999999999993E-3</v>
      </c>
      <c r="L6" t="s">
        <v>183</v>
      </c>
      <c r="M6" s="3">
        <v>0.01</v>
      </c>
      <c r="O6" s="108"/>
    </row>
    <row r="7" spans="1:17">
      <c r="A7" t="s">
        <v>184</v>
      </c>
      <c r="B7" t="s">
        <v>173</v>
      </c>
      <c r="C7" t="s">
        <v>174</v>
      </c>
      <c r="D7" t="s">
        <v>175</v>
      </c>
      <c r="E7" t="s">
        <v>185</v>
      </c>
      <c r="F7" t="s">
        <v>178</v>
      </c>
      <c r="G7" s="5">
        <v>9.6000000000000002E-2</v>
      </c>
      <c r="H7" t="s">
        <v>171</v>
      </c>
      <c r="I7" s="3">
        <v>0.13</v>
      </c>
      <c r="O7" s="108"/>
    </row>
    <row r="8" spans="1:17">
      <c r="A8" t="s">
        <v>186</v>
      </c>
      <c r="B8" t="s">
        <v>187</v>
      </c>
      <c r="C8" t="s">
        <v>174</v>
      </c>
      <c r="D8" t="s">
        <v>188</v>
      </c>
      <c r="E8" t="s">
        <v>189</v>
      </c>
      <c r="F8" t="s">
        <v>190</v>
      </c>
      <c r="G8" s="5">
        <v>0.88200000000000001</v>
      </c>
      <c r="H8" t="s">
        <v>191</v>
      </c>
      <c r="I8" s="4">
        <v>1.9E-2</v>
      </c>
      <c r="O8" s="108"/>
    </row>
    <row r="9" spans="1:17">
      <c r="A9" t="s">
        <v>192</v>
      </c>
      <c r="B9" t="s">
        <v>187</v>
      </c>
      <c r="C9" t="s">
        <v>193</v>
      </c>
      <c r="D9" t="s">
        <v>188</v>
      </c>
      <c r="E9" t="s">
        <v>189</v>
      </c>
      <c r="F9" t="s">
        <v>190</v>
      </c>
      <c r="G9" s="5">
        <v>0.71699999999999997</v>
      </c>
      <c r="H9" t="s">
        <v>191</v>
      </c>
      <c r="I9" s="4">
        <v>0.14799999999999999</v>
      </c>
      <c r="J9" t="s">
        <v>194</v>
      </c>
      <c r="K9" s="4">
        <v>7.9000000000000001E-2</v>
      </c>
      <c r="O9" s="108"/>
    </row>
    <row r="10" spans="1:17">
      <c r="A10" t="s">
        <v>195</v>
      </c>
      <c r="B10" t="s">
        <v>170</v>
      </c>
      <c r="C10" t="s">
        <v>196</v>
      </c>
      <c r="D10" t="s">
        <v>166</v>
      </c>
      <c r="E10" t="s">
        <v>167</v>
      </c>
      <c r="F10" t="s">
        <v>197</v>
      </c>
      <c r="G10" s="4">
        <v>0.97740000000000005</v>
      </c>
      <c r="O10" s="108"/>
    </row>
    <row r="11" spans="1:17">
      <c r="A11" t="s">
        <v>198</v>
      </c>
      <c r="B11" t="s">
        <v>170</v>
      </c>
      <c r="C11" t="s">
        <v>199</v>
      </c>
      <c r="D11" t="s">
        <v>166</v>
      </c>
      <c r="E11" t="s">
        <v>200</v>
      </c>
      <c r="F11" t="s">
        <v>201</v>
      </c>
      <c r="G11" s="4">
        <v>0.47799999999999998</v>
      </c>
      <c r="O11" s="108"/>
    </row>
    <row r="12" spans="1:17">
      <c r="A12" t="s">
        <v>202</v>
      </c>
      <c r="B12" t="s">
        <v>170</v>
      </c>
      <c r="C12" t="s">
        <v>196</v>
      </c>
      <c r="D12" t="s">
        <v>166</v>
      </c>
      <c r="E12" t="s">
        <v>200</v>
      </c>
      <c r="F12" t="s">
        <v>203</v>
      </c>
      <c r="G12" s="4">
        <v>0.14419999999999999</v>
      </c>
      <c r="O12" s="108"/>
    </row>
    <row r="14" spans="1:17">
      <c r="Q14" s="36"/>
    </row>
    <row r="15" spans="1:17">
      <c r="Q15" s="36"/>
    </row>
    <row r="17" spans="1:16">
      <c r="A17" s="7" t="s">
        <v>8</v>
      </c>
      <c r="B17" s="7" t="s">
        <v>9</v>
      </c>
      <c r="C17" s="7" t="s">
        <v>204</v>
      </c>
      <c r="D17" s="7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106"/>
    </row>
    <row r="18" spans="1:16">
      <c r="A18" s="12" t="str">
        <f>"INSERT INTO " &amp;$C$17&amp; "(nomeComercial, idStock, classificacao, estadoMateria, metodoAplicacao, fabricante, pH) VALUES ('" &amp;A2&amp; "', "&amp;IF(Operações!C302=A2,Operações!E302)&amp;", '" &amp;D2&amp; "', '" &amp;C2&amp; "', '" &amp;E2&amp; "', '" &amp;B2&amp; "', " &amp;IF(ISBLANK(O2),"NULL",O2)&amp; ");"</f>
        <v>INSERT INTO FatorProducao(nomeComercial, idStock, classificacao, estadoMateria, metodoAplicacao, fabricante, pH) VALUES ('Calda Bordalesa ASCENZA', 8, 'Fitofármaco', 'Pó molhável', 'Fungicida', 'ASCENZA', NULL);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6">
      <c r="A19" s="12" t="str">
        <f>"INSERT INTO " &amp;$C$17&amp; "(nomeComercial, idStock, classificacao, estadoMateria, metodoAplicacao, fabricante, pH) VALUES ('" &amp;A3&amp; "', "&amp;IF(Operações!C303='Fator Produção'!A3,Operações!E303)&amp;", '" &amp;D3&amp; "', '" &amp;C3&amp; "', '" &amp;E3&amp; "', '" &amp;B3&amp; "', " &amp;IF(ISBLANK(O3),"NULL",O3)&amp; ");"</f>
        <v>INSERT INTO FatorProducao(nomeComercial, idStock, classificacao, estadoMateria, metodoAplicacao, fabricante, pH) VALUES ('Enxofre Bayer 80 WG', 9, 'Fitofármaco', 'Pó molhável', 'Fungicida', 'Bayer', NULL);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6">
      <c r="A20" s="12" t="str">
        <f>"INSERT INTO " &amp;$C$17&amp; "(nomeComercial, idStock, classificacao, estadoMateria, metodoAplicacao, fabricante, pH) VALUES ('" &amp;A4&amp; "', "&amp;IF(Operações!C304='Fator Produção'!A4,Operações!E304)&amp;", '" &amp;D4&amp; "', '" &amp;C4&amp; "', '" &amp;E4&amp; "', '" &amp;B4&amp; "', " &amp;IF(ISBLANK(O4),"NULL",O4)&amp; ");"</f>
        <v>INSERT INTO FatorProducao(nomeComercial, idStock, classificacao, estadoMateria, metodoAplicacao, fabricante, pH) VALUES ('Patentkali', 10, 'Adubo', 'Granulado', 'Adubo solo', 'K+S', NULL);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6">
      <c r="A21" s="12" t="str">
        <f>"INSERT INTO " &amp;$C$17&amp; "(nomeComercial, idStock, classificacao, estadoMateria, metodoAplicacao, fabricante, pH) VALUES ('" &amp;A5&amp; "', "&amp;IF(Operações!C305='Fator Produção'!A5,Operações!E305)&amp;", '" &amp;D5&amp; "', '" &amp;C5&amp; "', '" &amp;E5&amp; "', '" &amp;B5&amp; "', " &amp;IF(ISBLANK(O5),"NULL",O5)&amp; ");"</f>
        <v>INSERT INTO FatorProducao(nomeComercial, idStock, classificacao, estadoMateria, metodoAplicacao, fabricante, pH) VALUES ('ESTA Kieserit', 11, 'Adubo', 'Granulado', 'Adubo solo', 'K+S', NULL);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6">
      <c r="A22" s="12" t="str">
        <f>"INSERT INTO " &amp;$C$17&amp; "(nomeComercial, idStock, classificacao, estadoMateria, metodoAplicacao, fabricante, pH) VALUES ('" &amp;A6&amp; "', "&amp;IF(Operações!C306='Fator Produção'!A6,Operações!E306)&amp;", '" &amp;D6&amp; "', '" &amp;C6&amp; "', '" &amp;E6&amp; "', '" &amp;B6&amp; "', " &amp;IF(ISBLANK(O6),"NULL",O6)&amp; ");"</f>
        <v>INSERT INTO FatorProducao(nomeComercial, idStock, classificacao, estadoMateria, metodoAplicacao, fabricante, pH) VALUES ('EPSO Microtop', 12, 'Adubo', 'Granulado', 'Adubo foliar+Fertirrega', 'K+S', NULL);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6">
      <c r="A23" s="12" t="str">
        <f>"INSERT INTO " &amp;$C$17&amp; "(nomeComercial, idStock, classificacao, estadoMateria, metodoAplicacao, fabricante, pH) VALUES ('" &amp;A7&amp; "', "&amp;IF(Operações!C307='Fator Produção'!A7,Operações!E307)&amp;", '" &amp;D7&amp; "', '" &amp;C7&amp; "', '" &amp;E7&amp; "', '" &amp;B7&amp; "', " &amp;IF(ISBLANK(O7),"NULL",O7)&amp; ");"</f>
        <v>INSERT INTO FatorProducao(nomeComercial, idStock, classificacao, estadoMateria, metodoAplicacao, fabricante, pH) VALUES ('EPSO Top', 13, 'Adubo', 'Granulado', 'Adubo foliar', 'K+S', NULL);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6">
      <c r="A24" s="12" t="str">
        <f>"INSERT INTO " &amp;$C$17&amp; "(nomeComercial, idStock, classificacao, estadoMateria, metodoAplicacao, fabricante, pH) VALUES ('" &amp;A8&amp; "', "&amp;IF(Operações!C308='Fator Produção'!A8,Operações!E308)&amp;", '" &amp;D8&amp; "', '" &amp;C8&amp; "', '" &amp;E8&amp; "', '" &amp;B8&amp; "', " &amp;IF(ISBLANK(O8),"NULL",O8)&amp; ");"</f>
        <v>INSERT INTO FatorProducao(nomeComercial, idStock, classificacao, estadoMateria, metodoAplicacao, fabricante, pH) VALUES ('Biocal CaCo3', 14, 'Corretor', 'Granulado', 'Correção solo', 'Biocal', NULL);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6">
      <c r="A25" s="12" t="str">
        <f>"INSERT INTO " &amp;$C$17&amp; "(nomeComercial, idStock, classificacao, estadoMateria, metodoAplicacao, fabricante, pH) VALUES ('" &amp;A9&amp; "', "&amp;IF(Operações!C309='Fator Produção'!A9,Operações!E309)&amp;", '" &amp;D9&amp; "', '" &amp;C9&amp; "', '" &amp;E9&amp; "', '" &amp;B9&amp; "', " &amp;IF(ISBLANK(O9),"NULL",O9)&amp; ");"</f>
        <v>INSERT INTO FatorProducao(nomeComercial, idStock, classificacao, estadoMateria, metodoAplicacao, fabricante, pH) VALUES ('Biocal Composto', 15, 'Corretor', 'Pó', 'Correção solo', 'Biocal', NULL);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6">
      <c r="A26" s="12" t="str">
        <f>"INSERT INTO " &amp;$C$17&amp; "(nomeComercial, idStock, classificacao, estadoMateria, metodoAplicacao, fabricante, pH) VALUES ('" &amp;A10&amp; "', "&amp;IF(Operações!C310='Fator Produção'!A10,Operações!E310)&amp;", '" &amp;D10&amp; "', '" &amp;C10&amp; "', '" &amp;E10&amp; "', '" &amp;B10&amp; "', " &amp;IF(ISBLANK(O10),"NULL",O10)&amp; ");"</f>
        <v>INSERT INTO FatorProducao(nomeComercial, idStock, classificacao, estadoMateria, metodoAplicacao, fabricante, pH) VALUES ('Sonata', 16, 'Fitofármaco', 'Líquido', 'Fungicida', 'Bayer', NULL);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6">
      <c r="A27" s="12" t="str">
        <f>"INSERT INTO " &amp;$C$17&amp; "(nomeComercial, idStock, classificacao, estadoMateria, metodoAplicacao, fabricante, pH) VALUES ('" &amp;A11&amp; "', "&amp;IF(Operações!C311='Fator Produção'!A11,Operações!E311)&amp;", '" &amp;D11&amp; "', '" &amp;C11&amp; "', '" &amp;E11&amp; "', '" &amp;B11&amp; "', " &amp;IF(ISBLANK(O11),"NULL",O11)&amp; ");"</f>
        <v>INSERT INTO FatorProducao(nomeComercial, idStock, classificacao, estadoMateria, metodoAplicacao, fabricante, pH) VALUES ('FLiPPER ', 17, 'Fitofármaco', 'Emulsão de óleo em água', 'Insecticida', 'Bayer', NULL);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6">
      <c r="A28" s="12" t="str">
        <f>"INSERT INTO " &amp;$C$17&amp; "(nomeComercial, idStock, classificacao, estadoMateria, metodoAplicacao, fabricante, pH) VALUES ('" &amp;A12&amp; "', "&amp;IF(Operações!C312='Fator Produção'!A12,Operações!E312)&amp;", '" &amp;D12&amp; "', '" &amp;C12&amp; "', '" &amp;E12&amp; "', '" &amp;B12&amp; "', " &amp;IF(ISBLANK(O12),"NULL",O12)&amp; ");"</f>
        <v>INSERT INTO FatorProducao(nomeComercial, idStock, classificacao, estadoMateria, metodoAplicacao, fabricante, pH) VALUES ('Requiem Prime', 18, 'Fitofármaco', 'Líquido', 'Insecticida', 'Bayer', NULL);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31" spans="1:16">
      <c r="O31" s="18"/>
    </row>
    <row r="32" spans="1:16">
      <c r="O32" s="18"/>
      <c r="P32" s="18"/>
    </row>
    <row r="33" spans="1:15">
      <c r="A33" s="26" t="s">
        <v>8</v>
      </c>
      <c r="B33" s="26" t="s">
        <v>9</v>
      </c>
      <c r="C33" s="26" t="s">
        <v>205</v>
      </c>
      <c r="D33" s="26"/>
      <c r="E33" s="26"/>
      <c r="F33" s="27"/>
      <c r="G33" s="26"/>
      <c r="H33" s="26"/>
      <c r="I33" s="26"/>
      <c r="J33" s="26"/>
      <c r="K33" s="26"/>
      <c r="L33" s="26"/>
      <c r="M33" s="26"/>
      <c r="N33" s="26"/>
      <c r="O33" s="106"/>
    </row>
    <row r="34" spans="1:15">
      <c r="A34" s="21" t="str">
        <f xml:space="preserve"> "INSERT INTO " &amp;$C$33&amp; "(formulaQuimica, nomeComercial, designacaoUnidade, quantidade) VALUES ('" &amp;F2&amp; "', '" &amp;A2&amp;"', '%', " &amp;TEXT(SUBSTITUTE(G2, "%", "") * 1000, "0.0")&amp; ");"</f>
        <v>INSERT INTO ConstituicaoQuimica(formulaQuimica, nomeComercial, designacaoUnidade, quantidade) VALUES ('CU', 'Calda Bordalesa ASCENZA', '%', 20.0);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5">
      <c r="A35" s="21" t="str">
        <f xml:space="preserve"> "INSERT INTO " &amp;$C$33&amp; "(formulaQuimica, nomeComercial, designacaoUnidade, quantidade) VALUES ('" &amp;F3&amp; "', '" &amp;A3&amp;"', '%', " &amp;TEXT(SUBSTITUTE(G3, "%", "") * 1000, "0.0")&amp; ");"</f>
        <v>INSERT INTO ConstituicaoQuimica(formulaQuimica, nomeComercial, designacaoUnidade, quantidade) VALUES ('S', 'Enxofre Bayer 80 WG', '%', 80.0);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1:15">
      <c r="A36" s="21" t="str">
        <f xml:space="preserve"> "INSERT INTO " &amp;$C$33&amp; "(formulaQuimica, nomeComercial, designacaoUnidade, quantidade) VALUES ('" &amp;F4&amp; "', '" &amp;A4&amp;"', '%', " &amp;TEXT(SUBSTITUTE(G4, "%", "") * 1000, "0.0")&amp; ");"</f>
        <v>INSERT INTO ConstituicaoQuimica(formulaQuimica, nomeComercial, designacaoUnidade, quantidade) VALUES ('K', 'Patentkali', '%', 24.9);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5">
      <c r="A37" s="21" t="str">
        <f xml:space="preserve"> "INSERT INTO " &amp;$C$33&amp; "(formulaQuimica, nomeComercial, designacaoUnidade, quantidade) VALUES ('" &amp;H4&amp; "', '" &amp;A4&amp;"', '%', " &amp;TEXT(SUBSTITUTE(I4, "%", "") * 1000, "0.0")&amp; ");"</f>
        <v>INSERT INTO ConstituicaoQuimica(formulaQuimica, nomeComercial, designacaoUnidade, quantidade) VALUES ('Mg', 'Patentkali', '%', 6.0);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5">
      <c r="A38" s="21" t="str">
        <f xml:space="preserve"> "INSERT INTO " &amp;$C$33&amp; "(formulaQuimica, nomeComercial, designacaoUnidade, quantidade) VALUES ('" &amp;J4&amp; "', '" &amp;A4&amp;"', '%', " &amp;TEXT(SUBSTITUTE(K4, "%", "") * 1000, "0.0")&amp; ");"</f>
        <v>INSERT INTO ConstituicaoQuimica(formulaQuimica, nomeComercial, designacaoUnidade, quantidade) VALUES ('S', 'Patentkali', '%', 17.6);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5">
      <c r="A39" s="21" t="str">
        <f xml:space="preserve"> "INSERT INTO " &amp;$C$33&amp; "(formulaQuimica, nomeComercial, designacaoUnidade, quantidade) VALUES ('" &amp;F5&amp; "', '" &amp;A5&amp;"', '%', " &amp;TEXT(SUBSTITUTE(G5, "%", "") * 1000, "0.0")&amp; ");"</f>
        <v>INSERT INTO ConstituicaoQuimica(formulaQuimica, nomeComercial, designacaoUnidade, quantidade) VALUES ('Mg', 'ESTA Kieserit', '%', 15.1);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5">
      <c r="A40" s="21" t="str">
        <f xml:space="preserve"> "INSERT INTO " &amp;$C$33&amp; "(formulaQuimica, nomeComercial, designacaoUnidade, quantidade) VALUES ('" &amp;H5&amp; "', '" &amp;A5&amp;"', '%', " &amp;TEXT(SUBSTITUTE(I5, "%", "") * 1000, "0.0")&amp; ");"</f>
        <v>INSERT INTO ConstituicaoQuimica(formulaQuimica, nomeComercial, designacaoUnidade, quantidade) VALUES ('S', 'ESTA Kieserit', '%', 20.8);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5">
      <c r="A41" s="21" t="str">
        <f xml:space="preserve"> "INSERT INTO " &amp;$C$33&amp; "(formulaQuimica, nomeComercial, designacaoUnidade, quantidade) VALUES ('" &amp;F6&amp; "', '" &amp;A6&amp;"', '%', " &amp;TEXT(SUBSTITUTE(G6, "%", "") * 1000, "0.0")&amp; ");"</f>
        <v>INSERT INTO ConstituicaoQuimica(formulaQuimica, nomeComercial, designacaoUnidade, quantidade) VALUES ('Mg', 'EPSO Microtop', '%', 9.0);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5">
      <c r="A42" s="21" t="str">
        <f xml:space="preserve"> "INSERT INTO " &amp;$C$33&amp; "(formulaQuimica, nomeComercial, designacaoUnidade, quantidade) VALUES ('" &amp;H6&amp; "', '" &amp;A6&amp;"', '%', " &amp;TEXT(SUBSTITUTE(I6, "%", "") * 1000, "0.0")&amp; ");"</f>
        <v>INSERT INTO ConstituicaoQuimica(formulaQuimica, nomeComercial, designacaoUnidade, quantidade) VALUES ('S', 'EPSO Microtop', '%', 12.4);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5">
      <c r="A43" s="21" t="str">
        <f xml:space="preserve"> "INSERT INTO " &amp;$C$33&amp; "(formulaQuimica, nomeComercial, designacaoUnidade, quantidade) VALUES ('" &amp;J6&amp; "', '" &amp;A6&amp;"', '%', " &amp;TEXT(SUBSTITUTE(K6, "%", "") * 1000, "0.0")&amp; ");"</f>
        <v>INSERT INTO ConstituicaoQuimica(formulaQuimica, nomeComercial, designacaoUnidade, quantidade) VALUES ('B', 'EPSO Microtop', '%', 0.9);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5">
      <c r="A44" s="21" t="str">
        <f xml:space="preserve"> "INSERT INTO " &amp;$C$33&amp; "(formulaQuimica, nomeComercial, designacaoUnidade, quantidade) VALUES ('" &amp;L6&amp; "', '" &amp;A6&amp;"', '%', " &amp;TEXT(SUBSTITUTE(M6, "%", "") * 1000, "0.0")&amp; ");"</f>
        <v>INSERT INTO ConstituicaoQuimica(formulaQuimica, nomeComercial, designacaoUnidade, quantidade) VALUES ('Mn', 'EPSO Microtop', '%', 1.0);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>
      <c r="A45" s="21" t="str">
        <f xml:space="preserve"> "INSERT INTO " &amp;$C$33&amp; "(formulaQuimica, nomeComercial, designacaoUnidade, quantidade) VALUES ('" &amp;F7&amp; "', '" &amp;A7&amp;"', '%', " &amp;TEXT(SUBSTITUTE(G7, "%", "") * 1000, "0.0")&amp; ");"</f>
        <v>INSERT INTO ConstituicaoQuimica(formulaQuimica, nomeComercial, designacaoUnidade, quantidade) VALUES ('Mg', 'EPSO Top', '%', 9.6);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>
      <c r="A46" s="21" t="str">
        <f xml:space="preserve"> "INSERT INTO " &amp;$C$33&amp; "(formulaQuimica, nomeComercial, designacaoUnidade, quantidade) VALUES ('" &amp;H7&amp; "', '" &amp;A7&amp;"', '%', " &amp;TEXT(SUBSTITUTE(I7, "%", "") * 1000, "0.0")&amp; ");"</f>
        <v>INSERT INTO ConstituicaoQuimica(formulaQuimica, nomeComercial, designacaoUnidade, quantidade) VALUES ('S', 'EPSO Top', '%', 13.0);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>
      <c r="A47" s="21" t="str">
        <f xml:space="preserve"> "INSERT INTO " &amp;$C$33&amp; "(formulaQuimica, nomeComercial, designacaoUnidade, quantidade) VALUES ('" &amp;F8&amp; "', '" &amp;A8&amp;"', '%', " &amp;TEXT(SUBSTITUTE(G8, "%", "") * 1000, "0.0")&amp; ");"</f>
        <v>INSERT INTO ConstituicaoQuimica(formulaQuimica, nomeComercial, designacaoUnidade, quantidade) VALUES ('CaCO3', 'Biocal CaCo3', '%', 88.2);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>
      <c r="A48" s="21" t="str">
        <f xml:space="preserve"> "INSERT INTO " &amp;$C$33&amp; "(formulaQuimica, nomeComercial, designacaoUnidade, quantidade) VALUES ('" &amp;H8&amp; "', '" &amp;A8&amp;"', '%', " &amp;TEXT(SUBSTITUTE(I8, "%", "") * 1000, "0.0")&amp; ");"</f>
        <v>INSERT INTO ConstituicaoQuimica(formulaQuimica, nomeComercial, designacaoUnidade, quantidade) VALUES ('MgCO3', 'Biocal CaCo3', '%', 1.9);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>
      <c r="A49" s="21" t="str">
        <f xml:space="preserve"> "INSERT INTO " &amp;$C$33&amp; "(formulaQuimica, nomeComercial, designacaoUnidade, quantidade) VALUES ('" &amp;F9&amp; "', '" &amp;A9&amp;"', '%', " &amp;TEXT(SUBSTITUTE(G9, "%", "") * 1000, "0.0")&amp; ");"</f>
        <v>INSERT INTO ConstituicaoQuimica(formulaQuimica, nomeComercial, designacaoUnidade, quantidade) VALUES ('CaCO3', 'Biocal Composto', '%', 71.7);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>
      <c r="A50" s="21" t="str">
        <f xml:space="preserve"> "INSERT INTO " &amp;$C$33&amp; "(formulaQuimica, nomeComercial, designacaoUnidade, quantidade) VALUES ('" &amp;H9&amp; "', '" &amp;A9&amp;"', '%', " &amp;TEXT(SUBSTITUTE(I9, "%", "") * 1000, "0.0")&amp; ");"</f>
        <v>INSERT INTO ConstituicaoQuimica(formulaQuimica, nomeComercial, designacaoUnidade, quantidade) VALUES ('MgCO3', 'Biocal Composto', '%', 14.8);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1:14">
      <c r="A51" s="21" t="str">
        <f xml:space="preserve"> "INSERT INTO " &amp;$C$33&amp; "(formulaQuimica, nomeComercial, designacaoUnidade, quantidade) VALUES ('" &amp;J9&amp; "', '" &amp;A9&amp;"', '%', " &amp;TEXT(SUBSTITUTE(K9, "%", "") * 1000, "0.0")&amp; ");"</f>
        <v>INSERT INTO ConstituicaoQuimica(formulaQuimica, nomeComercial, designacaoUnidade, quantidade) VALUES ('MgO', 'Biocal Composto', '%', 7.9);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1:14">
      <c r="A52" s="21" t="str">
        <f xml:space="preserve"> "INSERT INTO " &amp;$C$33&amp; "(formulaQuimica, nomeComercial, designacaoUnidade, quantidade) VALUES ('" &amp;F10&amp; "', '" &amp;A10&amp;"', '%', " &amp;TEXT(SUBSTITUTE(G10, "%", "") * 1000, "0.0")&amp; ");"</f>
        <v>INSERT INTO ConstituicaoQuimica(formulaQuimica, nomeComercial, designacaoUnidade, quantidade) VALUES ('Bacillus pumilus', 'Sonata', '%', 97.7);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1:14">
      <c r="A53" s="21" t="str">
        <f xml:space="preserve"> "INSERT INTO " &amp;$C$33&amp; "(formulaQuimica, nomeComercial, designacaoUnidade, quantidade) VALUES ('" &amp;F11&amp; "', '" &amp;A11&amp;"', '%', " &amp;TEXT(SUBSTITUTE(G11, "%", "") * 1000, "0.0")&amp; ");"</f>
        <v>INSERT INTO ConstituicaoQuimica(formulaQuimica, nomeComercial, designacaoUnidade, quantidade) VALUES ('Ácidos gordos (na forma de sais de potássio)', 'FLiPPER ', '%', 47.8);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1:14">
      <c r="A54" s="21" t="str">
        <f xml:space="preserve"> "INSERT INTO " &amp;$C$33&amp; "(formulaQuimica, nomeComercial, designacaoUnidade, quantidade) VALUES ('" &amp;F12&amp; "', '" &amp;A12&amp;"', '%', " &amp;TEXT(SUBSTITUTE(G12, "%", "") * 1000, "0.0")&amp; ");"</f>
        <v>INSERT INTO ConstituicaoQuimica(formulaQuimica, nomeComercial, designacaoUnidade, quantidade) VALUES ('Terpenóides', 'Requiem Prime', '%', 14.4);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60" spans="1:14">
      <c r="A60" s="33" t="s">
        <v>8</v>
      </c>
      <c r="B60" s="33" t="s">
        <v>206</v>
      </c>
      <c r="C60" s="33" t="s">
        <v>207</v>
      </c>
      <c r="D60" s="33"/>
      <c r="E60" s="33"/>
      <c r="F60" s="33"/>
      <c r="G60" s="33"/>
      <c r="H60" s="33"/>
      <c r="I60" s="33"/>
      <c r="J60" s="106"/>
    </row>
    <row r="61" spans="1:14">
      <c r="A61" s="34" t="str">
        <f xml:space="preserve"> "INSERT INTO " &amp;$C$60&amp; "(classificacao) VALUES ('" &amp;D2&amp; "');"</f>
        <v>INSERT INTO Classificacao(classificacao) VALUES ('Fitofármaco');</v>
      </c>
      <c r="B61" s="34"/>
      <c r="C61" s="34"/>
      <c r="D61" s="34"/>
      <c r="E61" s="34"/>
      <c r="F61" s="34"/>
      <c r="G61" s="34"/>
      <c r="H61" s="34"/>
      <c r="I61" s="34"/>
    </row>
    <row r="62" spans="1:14">
      <c r="A62" s="34" t="str">
        <f xml:space="preserve"> "INSERT INTO " &amp;$C$60&amp; "(classificacao) VALUES ('" &amp;D4&amp; "');"</f>
        <v>INSERT INTO Classificacao(classificacao) VALUES ('Adubo');</v>
      </c>
      <c r="B62" s="34"/>
      <c r="C62" s="34"/>
      <c r="D62" s="34"/>
      <c r="E62" s="34"/>
      <c r="F62" s="34"/>
      <c r="G62" s="34"/>
      <c r="H62" s="34"/>
      <c r="I62" s="34"/>
    </row>
    <row r="63" spans="1:14">
      <c r="A63" s="34" t="str">
        <f xml:space="preserve"> "INSERT INTO " &amp;$C$60&amp; "(classificacao) VALUES ('" &amp;D8&amp; "');"</f>
        <v>INSERT INTO Classificacao(classificacao) VALUES ('Corretor');</v>
      </c>
      <c r="B63" s="34"/>
      <c r="C63" s="34"/>
      <c r="D63" s="34"/>
      <c r="E63" s="34"/>
      <c r="F63" s="34"/>
      <c r="G63" s="34"/>
      <c r="H63" s="34"/>
      <c r="I63" s="34"/>
    </row>
    <row r="68" spans="1:7">
      <c r="A68" s="7" t="s">
        <v>8</v>
      </c>
      <c r="B68" s="7" t="s">
        <v>9</v>
      </c>
      <c r="C68" s="7" t="s">
        <v>208</v>
      </c>
      <c r="D68" s="7"/>
      <c r="E68" s="7"/>
      <c r="F68" s="7"/>
      <c r="G68" s="106"/>
    </row>
    <row r="69" spans="1:7">
      <c r="A69" s="12" t="str">
        <f>"INSERT INTO "&amp;$C$68&amp;"(formulaQuimica) VALUES ('" &amp;F2&amp; "');"</f>
        <v>INSERT INTO ComponenteQuimico(formulaQuimica) VALUES ('CU');</v>
      </c>
      <c r="B69" s="12"/>
      <c r="C69" s="12"/>
      <c r="D69" s="12"/>
      <c r="E69" s="12"/>
      <c r="F69" s="12"/>
    </row>
    <row r="70" spans="1:7">
      <c r="A70" s="12" t="str">
        <f>"INSERT INTO "&amp;$C$68&amp;"(formulaQuimica) VALUES ('" &amp;F3&amp; "');"</f>
        <v>INSERT INTO ComponenteQuimico(formulaQuimica) VALUES ('S');</v>
      </c>
      <c r="B70" s="12"/>
      <c r="C70" s="12"/>
      <c r="D70" s="12"/>
      <c r="E70" s="12"/>
      <c r="F70" s="12"/>
    </row>
    <row r="71" spans="1:7">
      <c r="A71" s="12" t="str">
        <f>"INSERT INTO "&amp;$C$68&amp;"(formulaQuimica) VALUES ('" &amp;F4&amp; "');"</f>
        <v>INSERT INTO ComponenteQuimico(formulaQuimica) VALUES ('K');</v>
      </c>
      <c r="B71" s="12"/>
      <c r="C71" s="12"/>
      <c r="D71" s="12"/>
      <c r="E71" s="12"/>
      <c r="F71" s="12"/>
    </row>
    <row r="72" spans="1:7">
      <c r="A72" s="12" t="str">
        <f>"INSERT INTO "&amp;$C$68&amp;"(formulaQuimica) VALUES ('" &amp;H4&amp; "');"</f>
        <v>INSERT INTO ComponenteQuimico(formulaQuimica) VALUES ('Mg');</v>
      </c>
      <c r="B72" s="12"/>
      <c r="C72" s="12"/>
      <c r="D72" s="12"/>
      <c r="E72" s="12"/>
      <c r="F72" s="12"/>
    </row>
    <row r="73" spans="1:7">
      <c r="A73" s="12" t="str">
        <f>"INSERT INTO "&amp;$C$68&amp;"(formulaQuimica) VALUES ('" &amp;J6&amp; "');"</f>
        <v>INSERT INTO ComponenteQuimico(formulaQuimica) VALUES ('B');</v>
      </c>
      <c r="B73" s="12"/>
      <c r="C73" s="12"/>
      <c r="D73" s="12"/>
      <c r="E73" s="12"/>
      <c r="F73" s="12"/>
    </row>
    <row r="74" spans="1:7">
      <c r="A74" s="12" t="str">
        <f>"INSERT INTO "&amp;$C$68&amp;"(formulaQuimica) VALUES ('" &amp;L6&amp; "');"</f>
        <v>INSERT INTO ComponenteQuimico(formulaQuimica) VALUES ('Mn');</v>
      </c>
      <c r="B74" s="12"/>
      <c r="C74" s="12"/>
      <c r="D74" s="12"/>
      <c r="E74" s="12"/>
      <c r="F74" s="12"/>
    </row>
    <row r="75" spans="1:7">
      <c r="A75" s="12" t="str">
        <f>"INSERT INTO "&amp;$C$68&amp;"(formulaQuimica) VALUES ('" &amp;F8&amp; "');"</f>
        <v>INSERT INTO ComponenteQuimico(formulaQuimica) VALUES ('CaCO3');</v>
      </c>
      <c r="B75" s="12"/>
      <c r="C75" s="12"/>
      <c r="D75" s="12"/>
      <c r="E75" s="12"/>
      <c r="F75" s="12"/>
    </row>
    <row r="76" spans="1:7">
      <c r="A76" s="12" t="str">
        <f>"INSERT INTO "&amp;$C$68&amp;"(formulaQuimica) VALUES ('" &amp;H8&amp; "');"</f>
        <v>INSERT INTO ComponenteQuimico(formulaQuimica) VALUES ('MgCO3');</v>
      </c>
      <c r="B76" s="12"/>
      <c r="C76" s="12"/>
      <c r="D76" s="12"/>
      <c r="E76" s="12"/>
      <c r="F76" s="12"/>
    </row>
    <row r="77" spans="1:7">
      <c r="A77" s="12" t="str">
        <f>"INSERT INTO "&amp;$C$68&amp;"(formulaQuimica) VALUES ('" &amp;J9&amp; "');"</f>
        <v>INSERT INTO ComponenteQuimico(formulaQuimica) VALUES ('MgO');</v>
      </c>
      <c r="B77" s="12"/>
      <c r="C77" s="12"/>
      <c r="D77" s="12"/>
      <c r="E77" s="12"/>
      <c r="F77" s="12"/>
    </row>
    <row r="78" spans="1:7">
      <c r="A78" s="12" t="str">
        <f>"INSERT INTO "&amp;$C$68&amp;"(formulaQuimica) VALUES ('" &amp;F10&amp; "');"</f>
        <v>INSERT INTO ComponenteQuimico(formulaQuimica) VALUES ('Bacillus pumilus');</v>
      </c>
      <c r="B78" s="12"/>
      <c r="C78" s="12"/>
      <c r="D78" s="12"/>
      <c r="E78" s="12"/>
      <c r="F78" s="12"/>
    </row>
    <row r="79" spans="1:7">
      <c r="A79" s="12" t="str">
        <f>"INSERT INTO "&amp;$C$68&amp;"(formulaQuimica) VALUES ('" &amp;F11&amp; "');"</f>
        <v>INSERT INTO ComponenteQuimico(formulaQuimica) VALUES ('Ácidos gordos (na forma de sais de potássio)');</v>
      </c>
      <c r="B79" s="12"/>
      <c r="C79" s="12"/>
      <c r="D79" s="12"/>
      <c r="E79" s="12"/>
      <c r="F79" s="12"/>
    </row>
    <row r="80" spans="1:7">
      <c r="A80" s="12" t="str">
        <f>"INSERT INTO "&amp;$C$68&amp;"(formulaQuimica) VALUES ('" &amp;F12&amp; "');"</f>
        <v>INSERT INTO ComponenteQuimico(formulaQuimica) VALUES ('Terpenóides');</v>
      </c>
      <c r="B80" s="12"/>
      <c r="C80" s="12"/>
      <c r="D80" s="12"/>
      <c r="E80" s="12"/>
      <c r="F80" s="12"/>
    </row>
    <row r="86" spans="1:9">
      <c r="A86" s="7" t="s">
        <v>8</v>
      </c>
      <c r="B86" s="7" t="s">
        <v>9</v>
      </c>
      <c r="C86" s="7" t="s">
        <v>209</v>
      </c>
      <c r="D86" s="7"/>
      <c r="E86" s="25"/>
      <c r="F86" s="7"/>
      <c r="G86" s="7"/>
      <c r="H86" s="106"/>
    </row>
    <row r="87" spans="1:9">
      <c r="A87" s="12" t="str">
        <f>"INSERT INTO " &amp;$C$86&amp; "(metodoAplicacao) VALUES ('"&amp;E2&amp;"');"</f>
        <v>INSERT INTO MetodoAplicacao(metodoAplicacao) VALUES ('Fungicida');</v>
      </c>
      <c r="B87" s="12"/>
      <c r="C87" s="12"/>
      <c r="D87" s="12"/>
      <c r="E87" s="12"/>
      <c r="F87" s="12"/>
      <c r="G87" s="12"/>
    </row>
    <row r="88" spans="1:9">
      <c r="A88" s="12" t="str">
        <f>"INSERT INTO " &amp;$C$86&amp; "(metodoAplicacao) VALUES ('"&amp;E4&amp;"');"</f>
        <v>INSERT INTO MetodoAplicacao(metodoAplicacao) VALUES ('Adubo solo');</v>
      </c>
      <c r="B88" s="12"/>
      <c r="C88" s="12"/>
      <c r="D88" s="12"/>
      <c r="E88" s="12"/>
      <c r="F88" s="12"/>
      <c r="G88" s="12"/>
    </row>
    <row r="89" spans="1:9">
      <c r="A89" s="12" t="str">
        <f>"INSERT INTO " &amp;$C$86&amp; "(metodoAplicacao) VALUES ('"&amp;E6&amp;"');"</f>
        <v>INSERT INTO MetodoAplicacao(metodoAplicacao) VALUES ('Adubo foliar+Fertirrega');</v>
      </c>
      <c r="B89" s="12"/>
      <c r="C89" s="12"/>
      <c r="D89" s="12"/>
      <c r="E89" s="12"/>
      <c r="F89" s="12"/>
      <c r="G89" s="12"/>
      <c r="I89" s="36"/>
    </row>
    <row r="90" spans="1:9">
      <c r="A90" s="12" t="str">
        <f>"INSERT INTO " &amp;$C$86&amp; "(metodoAplicacao) VALUES ('"&amp;E7&amp;"');"</f>
        <v>INSERT INTO MetodoAplicacao(metodoAplicacao) VALUES ('Adubo foliar');</v>
      </c>
      <c r="B90" s="12"/>
      <c r="C90" s="12"/>
      <c r="D90" s="12"/>
      <c r="E90" s="12"/>
      <c r="F90" s="12"/>
      <c r="G90" s="12"/>
      <c r="I90" s="36"/>
    </row>
    <row r="91" spans="1:9">
      <c r="A91" s="12" t="str">
        <f>"INSERT INTO " &amp;$C$86&amp; "(metodoAplicacao) VALUES ('"&amp;E8&amp;"');"</f>
        <v>INSERT INTO MetodoAplicacao(metodoAplicacao) VALUES ('Correção solo');</v>
      </c>
      <c r="B91" s="12"/>
      <c r="C91" s="12"/>
      <c r="D91" s="12"/>
      <c r="E91" s="12"/>
      <c r="F91" s="12"/>
      <c r="G91" s="12"/>
    </row>
    <row r="92" spans="1:9">
      <c r="A92" s="12" t="str">
        <f>"INSERT INTO " &amp;$C$86&amp; "(metodoAplicacao) VALUES ('"&amp;E11&amp;"');"</f>
        <v>INSERT INTO MetodoAplicacao(metodoAplicacao) VALUES ('Insecticida');</v>
      </c>
      <c r="B92" s="12"/>
      <c r="C92" s="12"/>
      <c r="D92" s="12"/>
      <c r="E92" s="12"/>
      <c r="F92" s="12"/>
      <c r="G92" s="12"/>
    </row>
    <row r="96" spans="1:9">
      <c r="A96" s="7" t="s">
        <v>8</v>
      </c>
      <c r="B96" s="7" t="s">
        <v>9</v>
      </c>
      <c r="C96" s="7" t="s">
        <v>210</v>
      </c>
      <c r="D96" s="7"/>
      <c r="E96" s="7"/>
      <c r="F96" s="7"/>
      <c r="G96" s="7"/>
      <c r="H96" s="106"/>
    </row>
    <row r="97" spans="1:7">
      <c r="A97" s="12" t="str">
        <f>"INSERT INTO "&amp;$C$96&amp;"(estadoMateria) VALUES ('"&amp;C10&amp;"');"</f>
        <v>INSERT INTO Formulacao(estadoMateria) VALUES ('Líquido');</v>
      </c>
      <c r="B97" s="12"/>
      <c r="C97" s="12"/>
      <c r="D97" s="12"/>
      <c r="E97" s="12"/>
      <c r="F97" s="12"/>
      <c r="G97" s="12"/>
    </row>
    <row r="98" spans="1:7">
      <c r="A98" s="12" t="str">
        <f>"INSERT INTO "&amp;$C$96&amp;"(estadoMateria) VALUES ('"&amp;C4&amp;"');"</f>
        <v>INSERT INTO Formulacao(estadoMateria) VALUES ('Granulado');</v>
      </c>
      <c r="B98" s="12"/>
      <c r="C98" s="12"/>
      <c r="D98" s="12"/>
      <c r="E98" s="12"/>
      <c r="F98" s="12"/>
      <c r="G98" s="12"/>
    </row>
    <row r="99" spans="1:7">
      <c r="A99" s="12" t="str">
        <f>"INSERT INTO "&amp;$C$96&amp;"(estadoMateria) VALUES ('"&amp;C9&amp;"');"</f>
        <v>INSERT INTO Formulacao(estadoMateria) VALUES ('Pó');</v>
      </c>
      <c r="B99" s="12"/>
      <c r="C99" s="12"/>
      <c r="D99" s="12"/>
      <c r="E99" s="12"/>
      <c r="F99" s="12"/>
      <c r="G99" s="12"/>
    </row>
    <row r="100" spans="1:7">
      <c r="A100" s="12" t="str">
        <f>"INSERT INTO "&amp;$C$96&amp;"(estadoMateria) VALUES ('"&amp;C11&amp;"');"</f>
        <v>INSERT INTO Formulacao(estadoMateria) VALUES ('Emulsão de óleo em água');</v>
      </c>
      <c r="B100" s="12"/>
      <c r="C100" s="12"/>
      <c r="D100" s="12"/>
      <c r="E100" s="12"/>
      <c r="F100" s="12"/>
      <c r="G100" s="12"/>
    </row>
    <row r="101" spans="1:7">
      <c r="A101" s="12" t="str">
        <f>"INSERT INTO "&amp;$C$96&amp;"(estadoMateria) VALUES ('"&amp;C3&amp;"');"</f>
        <v>INSERT INTO Formulacao(estadoMateria) VALUES ('Pó molhável');</v>
      </c>
      <c r="B101" s="12"/>
      <c r="C101" s="12"/>
      <c r="D101" s="12"/>
      <c r="E101" s="12"/>
      <c r="F101" s="12"/>
      <c r="G10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S37"/>
  <sheetViews>
    <sheetView zoomScale="65" workbookViewId="0">
      <selection activeCell="C38" sqref="C38"/>
    </sheetView>
  </sheetViews>
  <sheetFormatPr defaultRowHeight="14.25"/>
  <cols>
    <col min="2" max="2" width="9.86328125" customWidth="1"/>
    <col min="3" max="3" width="22.86328125" bestFit="1" customWidth="1"/>
    <col min="4" max="4" width="9.1328125" bestFit="1" customWidth="1"/>
    <col min="12" max="12" width="11.86328125" customWidth="1"/>
  </cols>
  <sheetData>
    <row r="1" spans="1:19">
      <c r="A1" s="2" t="s">
        <v>211</v>
      </c>
      <c r="B1" s="2" t="s">
        <v>155</v>
      </c>
      <c r="C1" s="2" t="s">
        <v>152</v>
      </c>
      <c r="D1" s="2" t="s">
        <v>212</v>
      </c>
      <c r="E1" s="2" t="s">
        <v>213</v>
      </c>
    </row>
    <row r="2" spans="1:19">
      <c r="A2">
        <v>101</v>
      </c>
      <c r="B2" t="s">
        <v>214</v>
      </c>
      <c r="C2" t="s">
        <v>215</v>
      </c>
      <c r="D2">
        <v>1.2</v>
      </c>
      <c r="E2" t="s">
        <v>216</v>
      </c>
      <c r="G2" s="18"/>
      <c r="L2" s="7" t="s">
        <v>8</v>
      </c>
      <c r="M2" s="7" t="s">
        <v>9</v>
      </c>
      <c r="N2" s="7" t="s">
        <v>217</v>
      </c>
      <c r="O2" s="7"/>
      <c r="P2" s="7"/>
      <c r="Q2" s="7"/>
      <c r="R2" s="7"/>
      <c r="S2" s="106"/>
    </row>
    <row r="3" spans="1:19">
      <c r="A3">
        <v>102</v>
      </c>
      <c r="B3" t="s">
        <v>214</v>
      </c>
      <c r="C3" t="s">
        <v>218</v>
      </c>
      <c r="D3">
        <v>3</v>
      </c>
      <c r="E3" t="s">
        <v>216</v>
      </c>
      <c r="G3" s="18"/>
      <c r="L3" s="12" t="str">
        <f>"INSERT INTO " &amp;$N$2&amp; "(designacaoUnidade) VALUES ('"&amp;$E$2&amp;"');"</f>
        <v>INSERT INTO TipoUnidade(designacaoUnidade) VALUES ('ha');</v>
      </c>
      <c r="M3" s="12"/>
      <c r="N3" s="12"/>
      <c r="O3" s="12"/>
      <c r="P3" s="12"/>
      <c r="Q3" s="12"/>
      <c r="R3" s="12"/>
    </row>
    <row r="4" spans="1:19">
      <c r="A4">
        <v>103</v>
      </c>
      <c r="B4" t="s">
        <v>214</v>
      </c>
      <c r="C4" t="s">
        <v>219</v>
      </c>
      <c r="D4">
        <v>1.5</v>
      </c>
      <c r="E4" t="s">
        <v>216</v>
      </c>
      <c r="L4" s="12" t="str">
        <f>"INSERT INTO " &amp;$N$2&amp; "(designacaoUnidade) VALUES ('"&amp;$E$13&amp;"');"</f>
        <v>INSERT INTO TipoUnidade(designacaoUnidade) VALUES ('m3');</v>
      </c>
      <c r="M4" s="12"/>
      <c r="N4" s="12"/>
      <c r="O4" s="12"/>
      <c r="P4" s="12"/>
      <c r="Q4" s="12"/>
      <c r="R4" s="12"/>
    </row>
    <row r="5" spans="1:19">
      <c r="A5">
        <v>104</v>
      </c>
      <c r="B5" t="s">
        <v>214</v>
      </c>
      <c r="C5" t="s">
        <v>220</v>
      </c>
      <c r="D5">
        <v>0.8</v>
      </c>
      <c r="E5" t="s">
        <v>216</v>
      </c>
      <c r="L5" s="12" t="str">
        <f>"INSERT INTO " &amp;$N$2&amp; "(designacaoUnidade) VALUES ('"&amp;$E$9&amp;"');"</f>
        <v>INSERT INTO TipoUnidade(designacaoUnidade) VALUES ('m2');</v>
      </c>
      <c r="M5" s="12"/>
      <c r="N5" s="12"/>
      <c r="O5" s="12"/>
      <c r="P5" s="12"/>
      <c r="Q5" s="12"/>
      <c r="R5" s="12"/>
    </row>
    <row r="6" spans="1:19">
      <c r="A6">
        <v>105</v>
      </c>
      <c r="B6" t="s">
        <v>214</v>
      </c>
      <c r="C6" t="s">
        <v>221</v>
      </c>
      <c r="D6">
        <v>1.1000000000000001</v>
      </c>
      <c r="E6" t="s">
        <v>216</v>
      </c>
      <c r="L6" s="12" t="s">
        <v>222</v>
      </c>
      <c r="M6" s="12"/>
      <c r="N6" s="12"/>
      <c r="O6" s="12"/>
      <c r="P6" s="12"/>
      <c r="Q6" s="12"/>
      <c r="R6" s="12"/>
    </row>
    <row r="7" spans="1:19">
      <c r="A7">
        <v>106</v>
      </c>
      <c r="B7" t="s">
        <v>214</v>
      </c>
      <c r="C7" t="s">
        <v>223</v>
      </c>
      <c r="D7">
        <v>0.3</v>
      </c>
      <c r="E7" t="s">
        <v>216</v>
      </c>
      <c r="L7" s="12" t="s">
        <v>224</v>
      </c>
      <c r="M7" s="12"/>
      <c r="N7" s="12"/>
      <c r="O7" s="12"/>
      <c r="P7" s="12"/>
      <c r="Q7" s="12"/>
      <c r="R7" s="12"/>
    </row>
    <row r="8" spans="1:19">
      <c r="A8">
        <v>107</v>
      </c>
      <c r="B8" t="s">
        <v>214</v>
      </c>
      <c r="C8" t="s">
        <v>225</v>
      </c>
      <c r="D8">
        <v>2</v>
      </c>
      <c r="E8" t="s">
        <v>216</v>
      </c>
      <c r="L8" s="12" t="str">
        <f>"INSERT INTO " &amp;$N$2&amp; "(designacaoUnidade) VALUES ('%');"</f>
        <v>INSERT INTO TipoUnidade(designacaoUnidade) VALUES ('%');</v>
      </c>
      <c r="M8" s="12"/>
      <c r="N8" s="12"/>
      <c r="O8" s="12"/>
      <c r="P8" s="12"/>
      <c r="Q8" s="12"/>
      <c r="R8" s="12"/>
      <c r="S8" s="18"/>
    </row>
    <row r="9" spans="1:19">
      <c r="A9">
        <v>201</v>
      </c>
      <c r="B9" t="s">
        <v>226</v>
      </c>
      <c r="C9" t="s">
        <v>227</v>
      </c>
      <c r="D9">
        <v>600</v>
      </c>
      <c r="E9" t="s">
        <v>228</v>
      </c>
    </row>
    <row r="10" spans="1:19">
      <c r="A10">
        <v>202</v>
      </c>
      <c r="B10" t="s">
        <v>226</v>
      </c>
      <c r="C10" t="s">
        <v>229</v>
      </c>
      <c r="D10">
        <v>800</v>
      </c>
      <c r="E10" t="s">
        <v>228</v>
      </c>
    </row>
    <row r="11" spans="1:19">
      <c r="A11">
        <v>203</v>
      </c>
      <c r="B11" t="s">
        <v>230</v>
      </c>
      <c r="C11" t="s">
        <v>231</v>
      </c>
      <c r="D11">
        <v>900</v>
      </c>
      <c r="E11" t="s">
        <v>228</v>
      </c>
      <c r="L11" s="21" t="s">
        <v>8</v>
      </c>
      <c r="M11" s="21" t="s">
        <v>9</v>
      </c>
      <c r="N11" s="21" t="s">
        <v>232</v>
      </c>
      <c r="O11" s="21"/>
      <c r="P11" s="21"/>
      <c r="Q11" s="21"/>
      <c r="R11" s="21"/>
      <c r="S11" s="106"/>
    </row>
    <row r="12" spans="1:19">
      <c r="A12">
        <v>250</v>
      </c>
      <c r="B12" t="s">
        <v>233</v>
      </c>
      <c r="C12" t="s">
        <v>233</v>
      </c>
      <c r="D12">
        <v>0</v>
      </c>
      <c r="L12" s="22" t="str">
        <f>"INSERT INTO " &amp;$N$11&amp; "(designacaoTipoEdificio) VALUES ('"&amp;$B$9&amp;"');"</f>
        <v>INSERT INTO TipoEdificio(designacaoTipoEdificio) VALUES ('Armazém');</v>
      </c>
      <c r="M12" s="22"/>
      <c r="N12" s="22"/>
      <c r="O12" s="22"/>
      <c r="P12" s="22"/>
      <c r="Q12" s="22"/>
      <c r="R12" s="22"/>
    </row>
    <row r="13" spans="1:19">
      <c r="A13">
        <v>301</v>
      </c>
      <c r="B13" t="s">
        <v>234</v>
      </c>
      <c r="C13" t="s">
        <v>235</v>
      </c>
      <c r="D13">
        <v>18</v>
      </c>
      <c r="E13" t="s">
        <v>236</v>
      </c>
      <c r="L13" s="22" t="str">
        <f>"INSERT INTO " &amp;$N$11&amp; "(designacaoTipoEdificio) VALUES ('"&amp;$B$11&amp;"');"</f>
        <v>INSERT INTO TipoEdificio(designacaoTipoEdificio) VALUES ('Garagem');</v>
      </c>
      <c r="M13" s="22"/>
      <c r="N13" s="22"/>
      <c r="O13" s="22"/>
      <c r="P13" s="22"/>
      <c r="Q13" s="22"/>
      <c r="R13" s="22"/>
    </row>
    <row r="14" spans="1:19">
      <c r="A14">
        <v>302</v>
      </c>
      <c r="B14" t="s">
        <v>234</v>
      </c>
      <c r="C14" t="s">
        <v>237</v>
      </c>
      <c r="D14">
        <v>35</v>
      </c>
      <c r="E14" t="s">
        <v>236</v>
      </c>
      <c r="L14" s="22" t="str">
        <f>"INSERT INTO " &amp;$N$11&amp; "(designacaoTipoEdificio) VALUES ('"&amp;$B$13&amp;"');"</f>
        <v>INSERT INTO TipoEdificio(designacaoTipoEdificio) VALUES ('Rega');</v>
      </c>
      <c r="M14" s="22"/>
      <c r="N14" s="22"/>
      <c r="O14" s="22"/>
      <c r="P14" s="22"/>
      <c r="Q14" s="22"/>
      <c r="R14" s="22"/>
    </row>
    <row r="15" spans="1:19">
      <c r="L15" s="22" t="str">
        <f>"INSERT INTO " &amp;$N$11&amp; "(designacaoTipoEdificio) VALUES ('"&amp;$B$12&amp;"');"</f>
        <v>INSERT INTO TipoEdificio(designacaoTipoEdificio) VALUES ('Moinho');</v>
      </c>
      <c r="M15" s="22"/>
      <c r="N15" s="22"/>
      <c r="O15" s="22"/>
      <c r="P15" s="22"/>
      <c r="Q15" s="22"/>
      <c r="R15" s="22"/>
    </row>
    <row r="19" spans="1:16">
      <c r="A19" s="13" t="s">
        <v>8</v>
      </c>
      <c r="B19" s="13" t="s">
        <v>9</v>
      </c>
      <c r="C19" s="13" t="s">
        <v>238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06"/>
    </row>
    <row r="20" spans="1:16">
      <c r="A20" s="14" t="str">
        <f t="shared" ref="A20:A25" si="0">"INSERT INTO " &amp;$C$19&amp; "(nomeEdificio, designacaoTipoEdificio, designacaoUnidade, dimensao) VALUES ('" &amp;C9&amp; "', '" &amp;B9&amp; "', "&amp;IF(ISBLANK(E9), "NULL", "'" &amp;E9&amp; "'")&amp;", " &amp; IF(ISBLANK(D9), "NULL",D9)&amp; ");"</f>
        <v>INSERT INTO Edificio(nomeEdificio, designacaoTipoEdificio, designacaoUnidade, dimensao) VALUES ('Espigueiro', 'Armazém', 'm2', 600);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6">
      <c r="A21" s="14" t="str">
        <f t="shared" si="0"/>
        <v>INSERT INTO Edificio(nomeEdificio, designacaoTipoEdificio, designacaoUnidade, dimensao) VALUES ('Armazém novo', 'Armazém', 'm2', 800);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6">
      <c r="A22" s="14" t="str">
        <f t="shared" si="0"/>
        <v>INSERT INTO Edificio(nomeEdificio, designacaoTipoEdificio, designacaoUnidade, dimensao) VALUES ('Armazém grande', 'Garagem', 'm2', 900);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6">
      <c r="A23" s="14" t="str">
        <f t="shared" si="0"/>
        <v>INSERT INTO Edificio(nomeEdificio, designacaoTipoEdificio, designacaoUnidade, dimensao) VALUES ('Moinho', 'Moinho', NULL, 0);</v>
      </c>
      <c r="B23" s="15"/>
      <c r="C23" s="15"/>
      <c r="D23" s="15"/>
      <c r="E23" s="15"/>
      <c r="F23" s="15"/>
      <c r="G23" s="15"/>
      <c r="H23" s="15"/>
      <c r="I23" s="15"/>
      <c r="J23" s="94"/>
      <c r="K23" s="15"/>
      <c r="L23" s="15"/>
      <c r="M23" s="15"/>
      <c r="N23" s="15"/>
      <c r="O23" s="15"/>
    </row>
    <row r="24" spans="1:16">
      <c r="A24" s="14" t="str">
        <f t="shared" si="0"/>
        <v>INSERT INTO Edificio(nomeEdificio, designacaoTipoEdificio, designacaoUnidade, dimensao) VALUES ('Tanque do campo grande', 'Rega', 'm3', 18);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6">
      <c r="A25" s="14" t="str">
        <f t="shared" si="0"/>
        <v>INSERT INTO Edificio(nomeEdificio, designacaoTipoEdificio, designacaoUnidade, dimensao) VALUES ('Poço da bouça', 'Rega', 'm3', 35);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8" spans="1:16">
      <c r="A28" s="17" t="s">
        <v>8</v>
      </c>
      <c r="B28" s="17" t="s">
        <v>9</v>
      </c>
      <c r="C28" s="17" t="s">
        <v>214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06"/>
    </row>
    <row r="29" spans="1:16">
      <c r="A29" s="11" t="str">
        <f xml:space="preserve"> "INSERT INTO " &amp;$C$28&amp; "(nomeParcela, designacaoUnidade, area) VALUES('" &amp;C2&amp; "', '" &amp;E2&amp; "', " &amp;TEXT(SUBSTITUTE(D2, "%", "") * 10, "0.0")&amp; ");"</f>
        <v>INSERT INTO Parcela(nomeParcela, designacaoUnidade, area) VALUES('Campo da bouça', 'ha', 1.2);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6">
      <c r="A30" s="11" t="str">
        <f t="shared" ref="A30:A35" si="1" xml:space="preserve"> "INSERT INTO " &amp;$C$28&amp; "(nomeParcela, designacaoUnidade, area) VALUES('" &amp;C3&amp; "', '" &amp;E3&amp; "', " &amp;TEXT(SUBSTITUTE(D3, "%", "") * 10, "0.0")&amp; ");"</f>
        <v>INSERT INTO Parcela(nomeParcela, designacaoUnidade, area) VALUES('Campo Grande', 'ha', 3.0);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6">
      <c r="A31" s="11" t="str">
        <f t="shared" si="1"/>
        <v>INSERT INTO Parcela(nomeParcela, designacaoUnidade, area) VALUES('Campo do poço', 'ha', 1.5);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6">
      <c r="A32" s="11" t="str">
        <f t="shared" si="1"/>
        <v>INSERT INTO Parcela(nomeParcela, designacaoUnidade, area) VALUES('Lameiro da ponte', 'ha', 0.8);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5">
      <c r="A33" s="11" t="str">
        <f t="shared" si="1"/>
        <v>INSERT INTO Parcela(nomeParcela, designacaoUnidade, area) VALUES('Lameiro do moinho', 'ha', 1.1);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5">
      <c r="A34" s="11" t="str">
        <f t="shared" si="1"/>
        <v>INSERT INTO Parcela(nomeParcela, designacaoUnidade, area) VALUES('Horta nova', 'ha', 0.3);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5">
      <c r="A35" s="11" t="str">
        <f t="shared" si="1"/>
        <v>INSERT INTO Parcela(nomeParcela, designacaoUnidade, area) VALUES('Vinha', 'ha', 2.0);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7" spans="1:15">
      <c r="O37" s="18"/>
    </row>
  </sheetData>
  <sortState xmlns:xlrd2="http://schemas.microsoft.com/office/spreadsheetml/2017/richdata2" ref="A2:E13">
    <sortCondition ref="A2:A13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5FEC-FA94-4C37-A50C-05AA7544719E}">
  <dimension ref="A1:A28"/>
  <sheetViews>
    <sheetView workbookViewId="0"/>
  </sheetViews>
  <sheetFormatPr defaultRowHeight="14.25"/>
  <cols>
    <col min="1" max="1" width="10.1328125" bestFit="1" customWidth="1"/>
  </cols>
  <sheetData>
    <row r="1" spans="1:1">
      <c r="A1" t="s">
        <v>155</v>
      </c>
    </row>
    <row r="2" spans="1:1">
      <c r="A2" t="s">
        <v>102</v>
      </c>
    </row>
    <row r="3" spans="1:1">
      <c r="A3" t="s">
        <v>102</v>
      </c>
    </row>
    <row r="4" spans="1:1">
      <c r="A4" t="s">
        <v>102</v>
      </c>
    </row>
    <row r="5" spans="1:1">
      <c r="A5" t="s">
        <v>102</v>
      </c>
    </row>
    <row r="6" spans="1:1">
      <c r="A6" t="s">
        <v>102</v>
      </c>
    </row>
    <row r="7" spans="1:1">
      <c r="A7" t="s">
        <v>102</v>
      </c>
    </row>
    <row r="8" spans="1:1">
      <c r="A8" t="s">
        <v>102</v>
      </c>
    </row>
    <row r="9" spans="1:1">
      <c r="A9" t="s">
        <v>102</v>
      </c>
    </row>
    <row r="10" spans="1:1">
      <c r="A10" t="s">
        <v>102</v>
      </c>
    </row>
    <row r="11" spans="1:1">
      <c r="A11" t="s">
        <v>102</v>
      </c>
    </row>
    <row r="12" spans="1:1">
      <c r="A12" t="s">
        <v>14</v>
      </c>
    </row>
    <row r="13" spans="1:1">
      <c r="A13" t="s">
        <v>14</v>
      </c>
    </row>
    <row r="14" spans="1:1">
      <c r="A14" t="s">
        <v>102</v>
      </c>
    </row>
    <row r="15" spans="1:1">
      <c r="A15" t="s">
        <v>102</v>
      </c>
    </row>
    <row r="16" spans="1:1">
      <c r="A16" t="s">
        <v>102</v>
      </c>
    </row>
    <row r="17" spans="1:1">
      <c r="A17" t="s">
        <v>102</v>
      </c>
    </row>
    <row r="18" spans="1:1">
      <c r="A18" t="s">
        <v>102</v>
      </c>
    </row>
    <row r="19" spans="1:1">
      <c r="A19" t="s">
        <v>102</v>
      </c>
    </row>
    <row r="20" spans="1:1">
      <c r="A20" t="s">
        <v>102</v>
      </c>
    </row>
    <row r="21" spans="1:1">
      <c r="A21" t="s">
        <v>102</v>
      </c>
    </row>
    <row r="22" spans="1:1">
      <c r="A22" t="s">
        <v>102</v>
      </c>
    </row>
    <row r="23" spans="1:1">
      <c r="A23" t="s">
        <v>14</v>
      </c>
    </row>
    <row r="24" spans="1:1">
      <c r="A24" t="s">
        <v>14</v>
      </c>
    </row>
    <row r="25" spans="1:1">
      <c r="A25" t="s">
        <v>14</v>
      </c>
    </row>
    <row r="26" spans="1:1">
      <c r="A26" t="s">
        <v>14</v>
      </c>
    </row>
    <row r="27" spans="1:1">
      <c r="A27" t="s">
        <v>14</v>
      </c>
    </row>
    <row r="28" spans="1:1">
      <c r="A28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4F55-3AD2-43C0-B14A-51CC76375CB5}">
  <dimension ref="A1:A28"/>
  <sheetViews>
    <sheetView workbookViewId="0"/>
  </sheetViews>
  <sheetFormatPr defaultRowHeight="14.25"/>
  <cols>
    <col min="1" max="1" width="27" bestFit="1" customWidth="1"/>
  </cols>
  <sheetData>
    <row r="1" spans="1:1">
      <c r="A1" t="s">
        <v>239</v>
      </c>
    </row>
    <row r="2" spans="1:1">
      <c r="A2" t="s">
        <v>240</v>
      </c>
    </row>
    <row r="3" spans="1:1">
      <c r="A3" t="s">
        <v>241</v>
      </c>
    </row>
    <row r="4" spans="1:1">
      <c r="A4" t="s">
        <v>240</v>
      </c>
    </row>
    <row r="5" spans="1:1">
      <c r="A5" t="s">
        <v>241</v>
      </c>
    </row>
    <row r="6" spans="1:1">
      <c r="A6" t="s">
        <v>242</v>
      </c>
    </row>
    <row r="7" spans="1:1">
      <c r="A7" t="s">
        <v>240</v>
      </c>
    </row>
    <row r="8" spans="1:1">
      <c r="A8" t="s">
        <v>242</v>
      </c>
    </row>
    <row r="9" spans="1:1">
      <c r="A9" t="s">
        <v>240</v>
      </c>
    </row>
    <row r="10" spans="1:1">
      <c r="A10" t="s">
        <v>242</v>
      </c>
    </row>
    <row r="11" spans="1:1">
      <c r="A11" t="s">
        <v>240</v>
      </c>
    </row>
    <row r="12" spans="1:1">
      <c r="A12" t="s">
        <v>243</v>
      </c>
    </row>
    <row r="13" spans="1:1">
      <c r="A13" t="s">
        <v>244</v>
      </c>
    </row>
    <row r="14" spans="1:1">
      <c r="A14" t="s">
        <v>245</v>
      </c>
    </row>
    <row r="15" spans="1:1">
      <c r="A15" t="s">
        <v>246</v>
      </c>
    </row>
    <row r="16" spans="1:1">
      <c r="A16" t="s">
        <v>247</v>
      </c>
    </row>
    <row r="17" spans="1:1">
      <c r="A17" t="s">
        <v>248</v>
      </c>
    </row>
    <row r="18" spans="1:1">
      <c r="A18" t="s">
        <v>249</v>
      </c>
    </row>
    <row r="19" spans="1:1">
      <c r="A19" t="s">
        <v>247</v>
      </c>
    </row>
    <row r="20" spans="1:1">
      <c r="A20" t="s">
        <v>248</v>
      </c>
    </row>
    <row r="21" spans="1:1">
      <c r="A21" t="s">
        <v>246</v>
      </c>
    </row>
    <row r="22" spans="1:1">
      <c r="A22" t="s">
        <v>250</v>
      </c>
    </row>
    <row r="23" spans="1:1">
      <c r="A23" t="s">
        <v>251</v>
      </c>
    </row>
    <row r="24" spans="1:1">
      <c r="A24" t="s">
        <v>252</v>
      </c>
    </row>
    <row r="25" spans="1:1">
      <c r="A25" t="s">
        <v>253</v>
      </c>
    </row>
    <row r="26" spans="1:1">
      <c r="A26" t="s">
        <v>253</v>
      </c>
    </row>
    <row r="27" spans="1:1">
      <c r="A27" t="s">
        <v>254</v>
      </c>
    </row>
    <row r="28" spans="1:1">
      <c r="A28" t="s">
        <v>255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4044-5261-44EC-87C6-C9317524CDED}">
  <dimension ref="A1:A28"/>
  <sheetViews>
    <sheetView workbookViewId="0"/>
  </sheetViews>
  <sheetFormatPr defaultRowHeight="14.25"/>
  <cols>
    <col min="1" max="1" width="14.53125" bestFit="1" customWidth="1"/>
  </cols>
  <sheetData>
    <row r="1" spans="1:1">
      <c r="A1" t="s">
        <v>214</v>
      </c>
    </row>
    <row r="2" spans="1:1">
      <c r="A2" t="s">
        <v>215</v>
      </c>
    </row>
    <row r="3" spans="1:1">
      <c r="A3" t="s">
        <v>215</v>
      </c>
    </row>
    <row r="4" spans="1:1">
      <c r="A4" t="s">
        <v>215</v>
      </c>
    </row>
    <row r="5" spans="1:1">
      <c r="A5" t="s">
        <v>215</v>
      </c>
    </row>
    <row r="6" spans="1:1">
      <c r="A6" t="s">
        <v>219</v>
      </c>
    </row>
    <row r="7" spans="1:1">
      <c r="A7" t="s">
        <v>219</v>
      </c>
    </row>
    <row r="8" spans="1:1">
      <c r="A8" t="s">
        <v>219</v>
      </c>
    </row>
    <row r="9" spans="1:1">
      <c r="A9" t="s">
        <v>219</v>
      </c>
    </row>
    <row r="10" spans="1:1">
      <c r="A10" t="s">
        <v>219</v>
      </c>
    </row>
    <row r="11" spans="1:1">
      <c r="A11" t="s">
        <v>219</v>
      </c>
    </row>
    <row r="12" spans="1:1">
      <c r="A12" t="s">
        <v>218</v>
      </c>
    </row>
    <row r="13" spans="1:1">
      <c r="A13" t="s">
        <v>218</v>
      </c>
    </row>
    <row r="14" spans="1:1">
      <c r="A14" t="s">
        <v>256</v>
      </c>
    </row>
    <row r="15" spans="1:1">
      <c r="A15" t="s">
        <v>256</v>
      </c>
    </row>
    <row r="16" spans="1:1">
      <c r="A16" t="s">
        <v>256</v>
      </c>
    </row>
    <row r="17" spans="1:1">
      <c r="A17" t="s">
        <v>256</v>
      </c>
    </row>
    <row r="18" spans="1:1">
      <c r="A18" t="s">
        <v>256</v>
      </c>
    </row>
    <row r="19" spans="1:1">
      <c r="A19" t="s">
        <v>256</v>
      </c>
    </row>
    <row r="20" spans="1:1">
      <c r="A20" t="s">
        <v>256</v>
      </c>
    </row>
    <row r="21" spans="1:1">
      <c r="A21" t="s">
        <v>256</v>
      </c>
    </row>
    <row r="22" spans="1:1">
      <c r="A22" t="s">
        <v>256</v>
      </c>
    </row>
    <row r="23" spans="1:1">
      <c r="A23" t="s">
        <v>220</v>
      </c>
    </row>
    <row r="24" spans="1:1">
      <c r="A24" t="s">
        <v>220</v>
      </c>
    </row>
    <row r="25" spans="1:1">
      <c r="A25" t="s">
        <v>220</v>
      </c>
    </row>
    <row r="26" spans="1:1">
      <c r="A26" t="s">
        <v>220</v>
      </c>
    </row>
    <row r="27" spans="1:1">
      <c r="A27" t="s">
        <v>225</v>
      </c>
    </row>
    <row r="28" spans="1:1">
      <c r="A28" t="s">
        <v>225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AQ87"/>
  <sheetViews>
    <sheetView zoomScale="52" zoomScaleNormal="70" workbookViewId="0">
      <selection activeCell="AH32" sqref="AH32"/>
    </sheetView>
  </sheetViews>
  <sheetFormatPr defaultRowHeight="14.25"/>
  <cols>
    <col min="2" max="2" width="30.53125" customWidth="1"/>
    <col min="3" max="3" width="28.86328125" bestFit="1" customWidth="1"/>
    <col min="4" max="4" width="19.1328125" customWidth="1"/>
    <col min="5" max="6" width="10.86328125" bestFit="1" customWidth="1"/>
    <col min="11" max="11" width="12.86328125" customWidth="1"/>
    <col min="14" max="14" width="13.1328125" customWidth="1"/>
    <col min="15" max="15" width="13" customWidth="1"/>
    <col min="29" max="29" width="15.46484375" customWidth="1"/>
  </cols>
  <sheetData>
    <row r="1" spans="1:43">
      <c r="A1" s="6" t="s">
        <v>211</v>
      </c>
      <c r="B1" s="6" t="s">
        <v>214</v>
      </c>
      <c r="C1" s="2" t="s">
        <v>239</v>
      </c>
      <c r="D1" t="s">
        <v>155</v>
      </c>
      <c r="E1" s="44" t="s">
        <v>257</v>
      </c>
      <c r="F1" s="2" t="s">
        <v>258</v>
      </c>
      <c r="G1" s="2" t="s">
        <v>259</v>
      </c>
      <c r="H1" s="2" t="s">
        <v>260</v>
      </c>
      <c r="I1" s="23" t="s">
        <v>261</v>
      </c>
      <c r="J1" s="28" t="s">
        <v>262</v>
      </c>
      <c r="K1" s="2" t="s">
        <v>263</v>
      </c>
      <c r="L1" s="2" t="s">
        <v>264</v>
      </c>
      <c r="M1" s="106"/>
      <c r="N1" s="20" t="s">
        <v>8</v>
      </c>
      <c r="O1" s="20" t="s">
        <v>9</v>
      </c>
      <c r="P1" s="20" t="s">
        <v>265</v>
      </c>
      <c r="Q1" s="20"/>
      <c r="R1" s="20"/>
      <c r="S1" s="20"/>
      <c r="T1" s="3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</row>
    <row r="2" spans="1:43">
      <c r="A2">
        <v>101</v>
      </c>
      <c r="B2" t="s">
        <v>215</v>
      </c>
      <c r="C2" t="s">
        <v>240</v>
      </c>
      <c r="D2" t="s">
        <v>102</v>
      </c>
      <c r="E2" s="45">
        <v>44114</v>
      </c>
      <c r="F2" s="1">
        <v>44285</v>
      </c>
      <c r="G2">
        <v>1.1000000000000001</v>
      </c>
      <c r="H2" t="s">
        <v>216</v>
      </c>
      <c r="I2" s="23">
        <f t="shared" ref="I2:I28" si="0">MATCH(C2,$B$38:$B$54,0)</f>
        <v>6</v>
      </c>
      <c r="J2" s="28" t="s">
        <v>266</v>
      </c>
      <c r="K2">
        <f>1</f>
        <v>1</v>
      </c>
      <c r="N2" s="31" t="str">
        <f t="shared" ref="N2:N28" si="1">"INSERT INTO "&amp;$P$1&amp;" (dataInicial, nomeParcela, variedade, nomeComum, designacaoUnidade, quantidade, dataFinal) VALUES ("&amp;"TO_DATE('"&amp;TEXT(E2,"DD/MM/AAAA")&amp;"', 'DD/MM/YYYY') , '"&amp;B2&amp;"' , UPPER('" &amp;INDEX($D$38:$D$54,MATCH(I2,$A$32:$A$48,0))&amp; "'), '" &amp;INDEX($C$38:$C$54,MATCH(I2,$A$32:$A$48,0))&amp; "', '" &amp;H2&amp; "', "&amp;TEXT(SUBSTITUTE(G2,"%","")*100,"0.00")&amp;", "&amp;IF(ISBLANK(F2),"NULL","TO_DATE('"&amp;TEXT(F2,"DD/MM/AAAA")&amp;"', 'DD/MM/YYYY')")&amp;");"</f>
        <v>INSERT INTO CulturaInstalada (dataInicial, nomeParcela, variedade, nomeComum, designacaoUnidade, quantidade, dataFinal) VALUES (TO_DATE('10/10/Saturday', 'DD/MM/YYYY') , 'Campo da bouça' , UPPER('Amarelo'), 'Tremoço', 'ha', 110.00, TO_DATE('30/03/Tuesday', 'DD/MM/YYYY'));</v>
      </c>
      <c r="O2" s="31"/>
      <c r="P2" s="31"/>
      <c r="Q2" s="31"/>
      <c r="R2" s="31"/>
      <c r="S2" s="31"/>
      <c r="T2" s="32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42"/>
      <c r="AG2" s="42"/>
      <c r="AH2" s="42"/>
      <c r="AI2" s="42"/>
      <c r="AJ2" s="42"/>
      <c r="AK2" s="137"/>
      <c r="AL2" s="42"/>
      <c r="AM2" s="42"/>
      <c r="AN2" s="42"/>
      <c r="AO2" s="42"/>
      <c r="AP2" s="42"/>
      <c r="AQ2" s="42"/>
    </row>
    <row r="3" spans="1:43">
      <c r="A3">
        <v>101</v>
      </c>
      <c r="B3" t="s">
        <v>215</v>
      </c>
      <c r="C3" t="s">
        <v>241</v>
      </c>
      <c r="D3" t="s">
        <v>102</v>
      </c>
      <c r="E3" s="45">
        <v>44296</v>
      </c>
      <c r="F3" s="1">
        <v>44420</v>
      </c>
      <c r="G3">
        <v>0.9</v>
      </c>
      <c r="H3" t="s">
        <v>216</v>
      </c>
      <c r="I3" s="23">
        <f t="shared" si="0"/>
        <v>7</v>
      </c>
      <c r="J3" s="28" t="s">
        <v>266</v>
      </c>
      <c r="K3">
        <f>K2+1</f>
        <v>2</v>
      </c>
      <c r="N3" s="31" t="str">
        <f t="shared" si="1"/>
        <v>INSERT INTO CulturaInstalada (dataInicial, nomeParcela, variedade, nomeComum, designacaoUnidade, quantidade, dataFinal) VALUES (TO_DATE('10/04/Saturday', 'DD/MM/YYYY') , 'Campo da bouça' , UPPER('Doce Golden Bantam'), 'Milho', 'ha', 90.00, TO_DATE('12/08/Thursday', 'DD/MM/YYYY'));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</row>
    <row r="4" spans="1:43">
      <c r="A4">
        <v>101</v>
      </c>
      <c r="B4" t="s">
        <v>215</v>
      </c>
      <c r="C4" t="s">
        <v>240</v>
      </c>
      <c r="D4" t="s">
        <v>102</v>
      </c>
      <c r="E4" s="45">
        <v>44472</v>
      </c>
      <c r="F4" s="1">
        <v>44656</v>
      </c>
      <c r="G4">
        <v>1.1000000000000001</v>
      </c>
      <c r="H4" t="s">
        <v>216</v>
      </c>
      <c r="I4" s="23">
        <f t="shared" si="0"/>
        <v>6</v>
      </c>
      <c r="J4" s="28" t="s">
        <v>266</v>
      </c>
      <c r="K4">
        <f t="shared" ref="K4:K28" si="2">K3+1</f>
        <v>3</v>
      </c>
      <c r="N4" s="31" t="str">
        <f t="shared" si="1"/>
        <v>INSERT INTO CulturaInstalada (dataInicial, nomeParcela, variedade, nomeComum, designacaoUnidade, quantidade, dataFinal) VALUES (TO_DATE('03/10/Sunday', 'DD/MM/YYYY') , 'Campo da bouça' , UPPER('Amarelo'), 'Tremoço', 'ha', 110.00, TO_DATE('05/04/Tuesday', 'DD/MM/YYYY'));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pans="1:43">
      <c r="A5">
        <v>101</v>
      </c>
      <c r="B5" t="s">
        <v>215</v>
      </c>
      <c r="C5" t="s">
        <v>241</v>
      </c>
      <c r="D5" t="s">
        <v>102</v>
      </c>
      <c r="E5" s="45">
        <v>44666</v>
      </c>
      <c r="F5" s="1">
        <v>44794</v>
      </c>
      <c r="G5">
        <v>0.9</v>
      </c>
      <c r="H5" t="s">
        <v>216</v>
      </c>
      <c r="I5" s="23">
        <f t="shared" si="0"/>
        <v>7</v>
      </c>
      <c r="J5" s="28" t="s">
        <v>266</v>
      </c>
      <c r="K5">
        <f t="shared" si="2"/>
        <v>4</v>
      </c>
      <c r="N5" s="31" t="str">
        <f t="shared" si="1"/>
        <v>INSERT INTO CulturaInstalada (dataInicial, nomeParcela, variedade, nomeComum, designacaoUnidade, quantidade, dataFinal) VALUES (TO_DATE('15/04/Friday', 'DD/MM/YYYY') , 'Campo da bouça' , UPPER('Doce Golden Bantam'), 'Milho', 'ha', 90.00, TO_DATE('21/08/Sunday', 'DD/MM/YYYY'));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1:43">
      <c r="A6">
        <v>103</v>
      </c>
      <c r="B6" t="s">
        <v>219</v>
      </c>
      <c r="C6" t="s">
        <v>242</v>
      </c>
      <c r="D6" t="s">
        <v>102</v>
      </c>
      <c r="E6" s="45">
        <v>43926</v>
      </c>
      <c r="F6" s="1">
        <v>44063</v>
      </c>
      <c r="G6">
        <v>1.2</v>
      </c>
      <c r="H6" t="s">
        <v>216</v>
      </c>
      <c r="I6" s="23">
        <f t="shared" si="0"/>
        <v>14</v>
      </c>
      <c r="J6" s="28" t="s">
        <v>266</v>
      </c>
      <c r="K6">
        <f t="shared" si="2"/>
        <v>5</v>
      </c>
      <c r="N6" s="31" t="str">
        <f t="shared" si="1"/>
        <v>INSERT INTO CulturaInstalada (dataInicial, nomeParcela, variedade, nomeComum, designacaoUnidade, quantidade, dataFinal) VALUES (TO_DATE('05/04/Sunday', 'DD/MM/YYYY') , 'Campo do poço' , UPPER('MAS 24.C'), 'Milho', 'ha', 120.00, TO_DATE('20/08/Thursday', 'DD/MM/YYYY'));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3">
      <c r="A7">
        <v>103</v>
      </c>
      <c r="B7" t="s">
        <v>219</v>
      </c>
      <c r="C7" t="s">
        <v>240</v>
      </c>
      <c r="D7" t="s">
        <v>102</v>
      </c>
      <c r="E7" s="45">
        <v>44116</v>
      </c>
      <c r="F7" s="1">
        <v>44270</v>
      </c>
      <c r="G7">
        <v>1.3</v>
      </c>
      <c r="H7" t="s">
        <v>216</v>
      </c>
      <c r="I7" s="23">
        <f t="shared" si="0"/>
        <v>6</v>
      </c>
      <c r="J7" s="28" t="s">
        <v>266</v>
      </c>
      <c r="K7">
        <f t="shared" si="2"/>
        <v>6</v>
      </c>
      <c r="N7" s="31" t="str">
        <f t="shared" si="1"/>
        <v>INSERT INTO CulturaInstalada (dataInicial, nomeParcela, variedade, nomeComum, designacaoUnidade, quantidade, dataFinal) VALUES (TO_DATE('12/10/Monday', 'DD/MM/YYYY') , 'Campo do poço' , UPPER('Amarelo'), 'Tremoço', 'ha', 130.00, TO_DATE('15/03/Monday', 'DD/MM/YYYY'));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</row>
    <row r="8" spans="1:43">
      <c r="A8">
        <v>103</v>
      </c>
      <c r="B8" t="s">
        <v>219</v>
      </c>
      <c r="C8" t="s">
        <v>242</v>
      </c>
      <c r="D8" t="s">
        <v>102</v>
      </c>
      <c r="E8" s="45">
        <v>44289</v>
      </c>
      <c r="F8" s="1">
        <v>44433</v>
      </c>
      <c r="G8">
        <v>1.2</v>
      </c>
      <c r="H8" t="s">
        <v>216</v>
      </c>
      <c r="I8" s="23">
        <f t="shared" si="0"/>
        <v>14</v>
      </c>
      <c r="J8" s="28" t="s">
        <v>266</v>
      </c>
      <c r="K8">
        <f t="shared" si="2"/>
        <v>7</v>
      </c>
      <c r="N8" s="31" t="str">
        <f t="shared" si="1"/>
        <v>INSERT INTO CulturaInstalada (dataInicial, nomeParcela, variedade, nomeComum, designacaoUnidade, quantidade, dataFinal) VALUES (TO_DATE('03/04/Saturday', 'DD/MM/YYYY') , 'Campo do poço' , UPPER('MAS 24.C'), 'Milho', 'ha', 120.00, TO_DATE('25/08/Wednesday', 'DD/MM/YYYY'));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>
      <c r="A9">
        <v>103</v>
      </c>
      <c r="B9" t="s">
        <v>219</v>
      </c>
      <c r="C9" t="s">
        <v>240</v>
      </c>
      <c r="D9" t="s">
        <v>102</v>
      </c>
      <c r="E9" s="45">
        <v>44475</v>
      </c>
      <c r="F9" s="1">
        <v>44639</v>
      </c>
      <c r="G9">
        <v>1.3</v>
      </c>
      <c r="H9" t="s">
        <v>216</v>
      </c>
      <c r="I9" s="23">
        <f t="shared" si="0"/>
        <v>6</v>
      </c>
      <c r="J9" s="28" t="s">
        <v>266</v>
      </c>
      <c r="K9">
        <f t="shared" si="2"/>
        <v>8</v>
      </c>
      <c r="N9" s="31" t="str">
        <f t="shared" si="1"/>
        <v>INSERT INTO CulturaInstalada (dataInicial, nomeParcela, variedade, nomeComum, designacaoUnidade, quantidade, dataFinal) VALUES (TO_DATE('06/10/Wednesday', 'DD/MM/YYYY') , 'Campo do poço' , UPPER('Amarelo'), 'Tremoço', 'ha', 130.00, TO_DATE('19/03/Saturday', 'DD/MM/YYYY'));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</row>
    <row r="10" spans="1:43">
      <c r="A10">
        <v>103</v>
      </c>
      <c r="B10" t="s">
        <v>219</v>
      </c>
      <c r="C10" t="s">
        <v>242</v>
      </c>
      <c r="D10" t="s">
        <v>102</v>
      </c>
      <c r="E10" s="45">
        <v>44659</v>
      </c>
      <c r="F10" s="1">
        <v>44791</v>
      </c>
      <c r="G10">
        <v>1.2</v>
      </c>
      <c r="H10" t="s">
        <v>216</v>
      </c>
      <c r="I10" s="23">
        <f t="shared" si="0"/>
        <v>14</v>
      </c>
      <c r="J10" s="28" t="s">
        <v>266</v>
      </c>
      <c r="K10">
        <f t="shared" si="2"/>
        <v>9</v>
      </c>
      <c r="N10" s="31" t="str">
        <f t="shared" si="1"/>
        <v>INSERT INTO CulturaInstalada (dataInicial, nomeParcela, variedade, nomeComum, designacaoUnidade, quantidade, dataFinal) VALUES (TO_DATE('08/04/Friday', 'DD/MM/YYYY') , 'Campo do poço' , UPPER('MAS 24.C'), 'Milho', 'ha', 120.00, TO_DATE('18/08/Thursday', 'DD/MM/YYYY'));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>
      <c r="A11">
        <v>103</v>
      </c>
      <c r="B11" t="s">
        <v>219</v>
      </c>
      <c r="C11" t="s">
        <v>240</v>
      </c>
      <c r="D11" t="s">
        <v>102</v>
      </c>
      <c r="E11" s="45">
        <v>44846</v>
      </c>
      <c r="F11" s="1">
        <v>45005</v>
      </c>
      <c r="G11">
        <v>1.3</v>
      </c>
      <c r="H11" t="s">
        <v>216</v>
      </c>
      <c r="I11" s="23">
        <f t="shared" si="0"/>
        <v>6</v>
      </c>
      <c r="J11" s="28" t="s">
        <v>266</v>
      </c>
      <c r="K11">
        <f t="shared" si="2"/>
        <v>10</v>
      </c>
      <c r="N11" s="31" t="str">
        <f t="shared" si="1"/>
        <v>INSERT INTO CulturaInstalada (dataInicial, nomeParcela, variedade, nomeComum, designacaoUnidade, quantidade, dataFinal) VALUES (TO_DATE('12/10/Wednesday', 'DD/MM/YYYY') , 'Campo do poço' , UPPER('Amarelo'), 'Tremoço', 'ha', 130.00, TO_DATE('20/03/Monday', 'DD/MM/YYYY'));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>
      <c r="A12">
        <v>102</v>
      </c>
      <c r="B12" t="s">
        <v>218</v>
      </c>
      <c r="C12" t="s">
        <v>243</v>
      </c>
      <c r="D12" t="s">
        <v>14</v>
      </c>
      <c r="E12" s="45">
        <v>42649</v>
      </c>
      <c r="G12">
        <v>30</v>
      </c>
      <c r="H12" t="s">
        <v>267</v>
      </c>
      <c r="I12" s="23">
        <f t="shared" si="0"/>
        <v>1</v>
      </c>
      <c r="J12" s="28" t="s">
        <v>266</v>
      </c>
      <c r="K12">
        <f t="shared" si="2"/>
        <v>11</v>
      </c>
      <c r="L12">
        <v>10</v>
      </c>
      <c r="N12" s="31" t="str">
        <f t="shared" si="1"/>
        <v>INSERT INTO CulturaInstalada (dataInicial, nomeParcela, variedade, nomeComum, designacaoUnidade, quantidade, dataFinal) VALUES (TO_DATE('06/10/Thursday', 'DD/MM/YYYY') , 'Campo Grande' , UPPER('Galega'), 'Oliveira', 'un', 3000.00, NULL);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>
      <c r="A13">
        <v>102</v>
      </c>
      <c r="B13" t="s">
        <v>218</v>
      </c>
      <c r="C13" t="s">
        <v>244</v>
      </c>
      <c r="D13" t="s">
        <v>14</v>
      </c>
      <c r="E13" s="45">
        <v>42653</v>
      </c>
      <c r="G13">
        <v>20</v>
      </c>
      <c r="H13" t="s">
        <v>267</v>
      </c>
      <c r="I13" s="23">
        <f t="shared" si="0"/>
        <v>2</v>
      </c>
      <c r="J13" s="28" t="s">
        <v>266</v>
      </c>
      <c r="K13">
        <f t="shared" si="2"/>
        <v>12</v>
      </c>
      <c r="L13">
        <v>10</v>
      </c>
      <c r="N13" s="31" t="str">
        <f t="shared" si="1"/>
        <v>INSERT INTO CulturaInstalada (dataInicial, nomeParcela, variedade, nomeComum, designacaoUnidade, quantidade, dataFinal) VALUES (TO_DATE('10/10/Monday', 'DD/MM/YYYY') , 'Campo Grande' , UPPER('Picual'), 'Oliveira', 'un', 2000.00, NULL);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>
      <c r="A14">
        <v>106</v>
      </c>
      <c r="B14" t="s">
        <v>223</v>
      </c>
      <c r="C14" t="s">
        <v>245</v>
      </c>
      <c r="D14" t="s">
        <v>102</v>
      </c>
      <c r="E14" s="45">
        <v>43900</v>
      </c>
      <c r="F14" s="1">
        <v>43966</v>
      </c>
      <c r="G14">
        <v>0.15</v>
      </c>
      <c r="H14" t="s">
        <v>216</v>
      </c>
      <c r="I14" s="23">
        <f t="shared" si="0"/>
        <v>9</v>
      </c>
      <c r="J14" s="28" t="s">
        <v>266</v>
      </c>
      <c r="K14">
        <f t="shared" si="2"/>
        <v>13</v>
      </c>
      <c r="N14" s="31" t="str">
        <f t="shared" si="1"/>
        <v>INSERT INTO CulturaInstalada (dataInicial, nomeParcela, variedade, nomeComum, designacaoUnidade, quantidade, dataFinal) VALUES (TO_DATE('10/03/Tuesday', 'DD/MM/YYYY') , 'Horta nova' , UPPER('Scarlet Nantes'), 'Cenoura', 'ha', 15.00, TO_DATE('15/05/Friday', 'DD/MM/YYYY'));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>
      <c r="A15">
        <v>106</v>
      </c>
      <c r="B15" t="s">
        <v>223</v>
      </c>
      <c r="C15" s="69" t="s">
        <v>246</v>
      </c>
      <c r="D15" t="s">
        <v>102</v>
      </c>
      <c r="E15" s="45">
        <v>43984</v>
      </c>
      <c r="F15" s="1">
        <v>44082</v>
      </c>
      <c r="G15">
        <v>0.1</v>
      </c>
      <c r="H15" t="s">
        <v>216</v>
      </c>
      <c r="I15" s="23">
        <f t="shared" si="0"/>
        <v>10</v>
      </c>
      <c r="J15" s="28" t="s">
        <v>266</v>
      </c>
      <c r="K15">
        <f t="shared" si="2"/>
        <v>14</v>
      </c>
      <c r="N15" s="31" t="str">
        <f t="shared" si="1"/>
        <v>INSERT INTO CulturaInstalada (dataInicial, nomeParcela, variedade, nomeComum, designacaoUnidade, quantidade, dataFinal) VALUES (TO_DATE('02/06/Tuesday', 'DD/MM/YYYY') , 'Horta nova' , UPPER('Nelson Hybrid'), 'Cenoura', 'ha', 10.00, TO_DATE('08/09/Tuesday', 'DD/MM/YYYY'));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>
      <c r="A16">
        <v>106</v>
      </c>
      <c r="B16" t="s">
        <v>223</v>
      </c>
      <c r="C16" s="70" t="s">
        <v>247</v>
      </c>
      <c r="D16" t="s">
        <v>102</v>
      </c>
      <c r="E16" s="45">
        <v>44094</v>
      </c>
      <c r="F16" s="1">
        <v>44206</v>
      </c>
      <c r="G16">
        <v>0.2</v>
      </c>
      <c r="H16" t="s">
        <v>216</v>
      </c>
      <c r="I16" s="23">
        <f t="shared" si="0"/>
        <v>11</v>
      </c>
      <c r="J16" s="28" t="s">
        <v>266</v>
      </c>
      <c r="K16">
        <f t="shared" si="2"/>
        <v>15</v>
      </c>
      <c r="N16" s="31" t="str">
        <f t="shared" si="1"/>
        <v>INSERT INTO CulturaInstalada (dataInicial, nomeParcela, variedade, nomeComum, designacaoUnidade, quantidade, dataFinal) VALUES (TO_DATE('20/09/Sunday', 'DD/MM/YYYY') , 'Horta nova' , UPPER('S. Cosme'), 'Nabo', 'ha', 20.00, TO_DATE('10/01/Sunday', 'DD/MM/YYYY'));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>
      <c r="A17">
        <v>106</v>
      </c>
      <c r="B17" t="s">
        <v>223</v>
      </c>
      <c r="C17" s="71" t="s">
        <v>248</v>
      </c>
      <c r="D17" t="s">
        <v>102</v>
      </c>
      <c r="E17" s="45">
        <v>44265</v>
      </c>
      <c r="F17" s="1">
        <v>44331</v>
      </c>
      <c r="G17">
        <v>0.15</v>
      </c>
      <c r="H17" t="s">
        <v>216</v>
      </c>
      <c r="I17" s="23">
        <f t="shared" si="0"/>
        <v>12</v>
      </c>
      <c r="J17" s="28" t="s">
        <v>266</v>
      </c>
      <c r="K17">
        <f t="shared" si="2"/>
        <v>16</v>
      </c>
      <c r="N17" s="31" t="str">
        <f t="shared" si="1"/>
        <v>INSERT INTO CulturaInstalada (dataInicial, nomeParcela, variedade, nomeComum, designacaoUnidade, quantidade, dataFinal) VALUES (TO_DATE('10/03/Wednesday', 'DD/MM/YYYY') , 'Horta nova' , UPPER('Sugarsnax Hybrid'), 'Cenoura', 'ha', 15.00, TO_DATE('15/05/Saturday', 'DD/MM/YYYY'));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>
      <c r="A18">
        <v>106</v>
      </c>
      <c r="B18" t="s">
        <v>223</v>
      </c>
      <c r="C18" s="29" t="s">
        <v>249</v>
      </c>
      <c r="D18" t="s">
        <v>102</v>
      </c>
      <c r="E18" s="45">
        <v>44349</v>
      </c>
      <c r="F18" s="1">
        <v>44447</v>
      </c>
      <c r="G18">
        <v>0.1</v>
      </c>
      <c r="H18" t="s">
        <v>216</v>
      </c>
      <c r="I18" s="23">
        <f t="shared" si="0"/>
        <v>13</v>
      </c>
      <c r="J18" s="28" t="s">
        <v>266</v>
      </c>
      <c r="K18">
        <f t="shared" si="2"/>
        <v>17</v>
      </c>
      <c r="N18" s="31" t="str">
        <f t="shared" si="1"/>
        <v>INSERT INTO CulturaInstalada (dataInicial, nomeParcela, variedade, nomeComum, designacaoUnidade, quantidade, dataFinal) VALUES (TO_DATE('02/06/Wednesday', 'DD/MM/YYYY') , 'Horta nova' , UPPER('Danvers Half Long'), 'Cenoura', 'ha', 10.00, TO_DATE('08/09/Wednesday', 'DD/MM/YYYY'));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>
      <c r="A19">
        <v>106</v>
      </c>
      <c r="B19" t="s">
        <v>223</v>
      </c>
      <c r="C19" s="70" t="s">
        <v>247</v>
      </c>
      <c r="D19" t="s">
        <v>102</v>
      </c>
      <c r="E19" s="45">
        <v>44459</v>
      </c>
      <c r="F19" s="1">
        <v>44571</v>
      </c>
      <c r="G19">
        <v>0.2</v>
      </c>
      <c r="H19" t="s">
        <v>216</v>
      </c>
      <c r="I19" s="23">
        <f t="shared" si="0"/>
        <v>11</v>
      </c>
      <c r="J19" s="28" t="s">
        <v>266</v>
      </c>
      <c r="K19">
        <f t="shared" si="2"/>
        <v>18</v>
      </c>
      <c r="N19" s="31" t="str">
        <f t="shared" si="1"/>
        <v>INSERT INTO CulturaInstalada (dataInicial, nomeParcela, variedade, nomeComum, designacaoUnidade, quantidade, dataFinal) VALUES (TO_DATE('20/09/Monday', 'DD/MM/YYYY') , 'Horta nova' , UPPER('S. Cosme'), 'Nabo', 'ha', 20.00, TO_DATE('10/01/Monday', 'DD/MM/YYYY'));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>
      <c r="A20">
        <v>106</v>
      </c>
      <c r="B20" t="s">
        <v>223</v>
      </c>
      <c r="C20" s="71" t="s">
        <v>248</v>
      </c>
      <c r="D20" t="s">
        <v>102</v>
      </c>
      <c r="E20" s="45">
        <v>44626</v>
      </c>
      <c r="F20" s="1">
        <v>44697</v>
      </c>
      <c r="G20">
        <v>0.15</v>
      </c>
      <c r="H20" t="s">
        <v>216</v>
      </c>
      <c r="I20" s="23">
        <f t="shared" si="0"/>
        <v>12</v>
      </c>
      <c r="J20" s="28" t="s">
        <v>266</v>
      </c>
      <c r="K20">
        <f t="shared" si="2"/>
        <v>19</v>
      </c>
      <c r="N20" s="31" t="str">
        <f t="shared" si="1"/>
        <v>INSERT INTO CulturaInstalada (dataInicial, nomeParcela, variedade, nomeComum, designacaoUnidade, quantidade, dataFinal) VALUES (TO_DATE('06/03/Sunday', 'DD/MM/YYYY') , 'Horta nova' , UPPER('Sugarsnax Hybrid'), 'Cenoura', 'ha', 15.00, TO_DATE('16/05/Monday', 'DD/MM/YYYY'));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>
      <c r="A21">
        <v>106</v>
      </c>
      <c r="B21" t="s">
        <v>223</v>
      </c>
      <c r="C21" s="69" t="s">
        <v>246</v>
      </c>
      <c r="D21" t="s">
        <v>102</v>
      </c>
      <c r="E21" s="45">
        <v>44711</v>
      </c>
      <c r="F21" s="1">
        <v>44809</v>
      </c>
      <c r="G21">
        <v>0.15</v>
      </c>
      <c r="H21" t="s">
        <v>216</v>
      </c>
      <c r="I21" s="23">
        <f t="shared" si="0"/>
        <v>10</v>
      </c>
      <c r="J21" s="28" t="s">
        <v>266</v>
      </c>
      <c r="K21">
        <f t="shared" si="2"/>
        <v>20</v>
      </c>
      <c r="N21" s="31" t="str">
        <f t="shared" si="1"/>
        <v>INSERT INTO CulturaInstalada (dataInicial, nomeParcela, variedade, nomeComum, designacaoUnidade, quantidade, dataFinal) VALUES (TO_DATE('30/05/Monday', 'DD/MM/YYYY') , 'Horta nova' , UPPER('Nelson Hybrid'), 'Cenoura', 'ha', 15.00, TO_DATE('05/09/Monday', 'DD/MM/YYYY'));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>
      <c r="A22">
        <v>106</v>
      </c>
      <c r="B22" t="s">
        <v>223</v>
      </c>
      <c r="C22" t="s">
        <v>250</v>
      </c>
      <c r="D22" t="s">
        <v>102</v>
      </c>
      <c r="E22" s="45">
        <v>44824</v>
      </c>
      <c r="F22" s="1">
        <v>44940</v>
      </c>
      <c r="G22">
        <v>0.25</v>
      </c>
      <c r="H22" t="s">
        <v>216</v>
      </c>
      <c r="I22" s="23">
        <f t="shared" si="0"/>
        <v>15</v>
      </c>
      <c r="J22" s="28" t="s">
        <v>266</v>
      </c>
      <c r="K22">
        <f t="shared" si="2"/>
        <v>21</v>
      </c>
      <c r="N22" s="31" t="str">
        <f t="shared" si="1"/>
        <v>INSERT INTO CulturaInstalada (dataInicial, nomeParcela, variedade, nomeComum, designacaoUnidade, quantidade, dataFinal) VALUES (TO_DATE('20/09/Tuesday', 'DD/MM/YYYY') , 'Horta nova' , UPPER('Senhora Conceição'), 'Nabo greleiro', 'ha', 25.00, TO_DATE('14/01/Saturday', 'DD/MM/YYYY'));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>
      <c r="A23">
        <v>104</v>
      </c>
      <c r="B23" t="s">
        <v>220</v>
      </c>
      <c r="C23" t="s">
        <v>251</v>
      </c>
      <c r="D23" t="s">
        <v>14</v>
      </c>
      <c r="E23" s="45">
        <v>42742</v>
      </c>
      <c r="G23">
        <v>90</v>
      </c>
      <c r="H23" t="s">
        <v>267</v>
      </c>
      <c r="I23" s="23">
        <f t="shared" si="0"/>
        <v>3</v>
      </c>
      <c r="J23" s="28" t="s">
        <v>266</v>
      </c>
      <c r="K23">
        <f t="shared" si="2"/>
        <v>22</v>
      </c>
      <c r="L23">
        <v>21</v>
      </c>
      <c r="N23" s="31" t="str">
        <f t="shared" si="1"/>
        <v>INSERT INTO CulturaInstalada (dataInicial, nomeParcela, variedade, nomeComum, designacaoUnidade, quantidade, dataFinal) VALUES (TO_DATE('07/01/Saturday', 'DD/MM/YYYY') , 'Lameiro da ponte' , UPPER('Jonagored'), 'Macieira', 'un', 9000.00, NULL);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43">
      <c r="A24">
        <v>104</v>
      </c>
      <c r="B24" t="s">
        <v>220</v>
      </c>
      <c r="C24" t="s">
        <v>252</v>
      </c>
      <c r="D24" t="s">
        <v>14</v>
      </c>
      <c r="E24" s="45">
        <v>42743</v>
      </c>
      <c r="G24">
        <v>60</v>
      </c>
      <c r="H24" t="s">
        <v>267</v>
      </c>
      <c r="I24" s="23">
        <f t="shared" si="0"/>
        <v>4</v>
      </c>
      <c r="J24" s="28" t="s">
        <v>266</v>
      </c>
      <c r="K24">
        <f t="shared" si="2"/>
        <v>23</v>
      </c>
      <c r="L24">
        <v>21</v>
      </c>
      <c r="N24" s="31" t="str">
        <f t="shared" si="1"/>
        <v>INSERT INTO CulturaInstalada (dataInicial, nomeParcela, variedade, nomeComum, designacaoUnidade, quantidade, dataFinal) VALUES (TO_DATE('08/01/Sunday', 'DD/MM/YYYY') , 'Lameiro da ponte' , UPPER('Fuji'), 'Macieira', 'un', 6000.00, NULL);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</row>
    <row r="25" spans="1:43">
      <c r="A25">
        <v>104</v>
      </c>
      <c r="B25" t="s">
        <v>220</v>
      </c>
      <c r="C25" t="s">
        <v>253</v>
      </c>
      <c r="D25" t="s">
        <v>14</v>
      </c>
      <c r="E25" s="45">
        <v>42743</v>
      </c>
      <c r="G25">
        <v>40</v>
      </c>
      <c r="H25" t="s">
        <v>267</v>
      </c>
      <c r="I25" s="23">
        <f t="shared" si="0"/>
        <v>5</v>
      </c>
      <c r="J25" s="28" t="s">
        <v>266</v>
      </c>
      <c r="K25">
        <f t="shared" si="2"/>
        <v>24</v>
      </c>
      <c r="L25">
        <v>21</v>
      </c>
      <c r="N25" s="31" t="str">
        <f t="shared" si="1"/>
        <v>INSERT INTO CulturaInstalada (dataInicial, nomeParcela, variedade, nomeComum, designacaoUnidade, quantidade, dataFinal) VALUES (TO_DATE('08/01/Sunday', 'DD/MM/YYYY') , 'Lameiro da ponte' , UPPER('Royal Gala'), 'Macieira', 'un', 4000.00, NULL);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</row>
    <row r="26" spans="1:43">
      <c r="A26">
        <v>104</v>
      </c>
      <c r="B26" t="s">
        <v>220</v>
      </c>
      <c r="C26" t="s">
        <v>253</v>
      </c>
      <c r="D26" t="s">
        <v>14</v>
      </c>
      <c r="E26" s="45">
        <v>43444</v>
      </c>
      <c r="G26">
        <v>30</v>
      </c>
      <c r="H26" t="s">
        <v>267</v>
      </c>
      <c r="I26" s="23">
        <f t="shared" si="0"/>
        <v>5</v>
      </c>
      <c r="J26" s="28" t="s">
        <v>266</v>
      </c>
      <c r="K26">
        <f t="shared" si="2"/>
        <v>25</v>
      </c>
      <c r="L26">
        <v>21</v>
      </c>
      <c r="N26" s="31" t="str">
        <f t="shared" si="1"/>
        <v>INSERT INTO CulturaInstalada (dataInicial, nomeParcela, variedade, nomeComum, designacaoUnidade, quantidade, dataFinal) VALUES (TO_DATE('10/12/Monday', 'DD/MM/YYYY') , 'Lameiro da ponte' , UPPER('Royal Gala'), 'Macieira', 'un', 3000.00, NULL);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</row>
    <row r="27" spans="1:43">
      <c r="A27">
        <v>107</v>
      </c>
      <c r="B27" t="s">
        <v>225</v>
      </c>
      <c r="C27" t="s">
        <v>254</v>
      </c>
      <c r="D27" t="s">
        <v>14</v>
      </c>
      <c r="E27" s="45">
        <v>43110</v>
      </c>
      <c r="G27">
        <v>500</v>
      </c>
      <c r="H27" t="s">
        <v>267</v>
      </c>
      <c r="I27" s="23">
        <f t="shared" si="0"/>
        <v>16</v>
      </c>
      <c r="J27" s="28" t="s">
        <v>266</v>
      </c>
      <c r="K27">
        <f t="shared" si="2"/>
        <v>26</v>
      </c>
      <c r="N27" s="31" t="str">
        <f t="shared" si="1"/>
        <v>INSERT INTO CulturaInstalada (dataInicial, nomeParcela, variedade, nomeComum, designacaoUnidade, quantidade, dataFinal) VALUES (TO_DATE('10/01/Wednesday', 'DD/MM/YYYY') , 'Vinha' , UPPER('Dona Maria'), 'Videira', 'un', 50000.00, NULL);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</row>
    <row r="28" spans="1:43">
      <c r="A28">
        <v>107</v>
      </c>
      <c r="B28" t="s">
        <v>225</v>
      </c>
      <c r="C28" t="s">
        <v>255</v>
      </c>
      <c r="D28" t="s">
        <v>14</v>
      </c>
      <c r="E28" s="45">
        <v>43111</v>
      </c>
      <c r="G28">
        <v>700</v>
      </c>
      <c r="H28" t="s">
        <v>267</v>
      </c>
      <c r="I28" s="23">
        <f t="shared" si="0"/>
        <v>17</v>
      </c>
      <c r="J28" s="28" t="s">
        <v>266</v>
      </c>
      <c r="K28">
        <f t="shared" si="2"/>
        <v>27</v>
      </c>
      <c r="N28" s="31" t="str">
        <f t="shared" si="1"/>
        <v>INSERT INTO CulturaInstalada (dataInicial, nomeParcela, variedade, nomeComum, designacaoUnidade, quantidade, dataFinal) VALUES (TO_DATE('11/01/Thursday', 'DD/MM/YYYY') , 'Vinha' , UPPER('Cardinal'), 'Videira', 'un', 70000.00, NULL);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</row>
    <row r="29" spans="1:43">
      <c r="A29" s="112"/>
      <c r="B29" s="112"/>
      <c r="C29" s="112" t="s">
        <v>268</v>
      </c>
      <c r="D29" s="112" t="s">
        <v>102</v>
      </c>
      <c r="E29" s="138"/>
      <c r="F29" s="112"/>
      <c r="G29" s="112"/>
      <c r="H29" s="112"/>
      <c r="I29" s="112">
        <v>18</v>
      </c>
      <c r="J29" s="112"/>
      <c r="K29" s="112"/>
    </row>
    <row r="30" spans="1:43">
      <c r="B30" s="112"/>
      <c r="C30" s="112"/>
      <c r="E30" s="138"/>
      <c r="F30" s="112"/>
      <c r="G30" s="112"/>
      <c r="H30" s="112"/>
      <c r="I30" s="112"/>
      <c r="J30" s="112"/>
      <c r="K30" s="112"/>
    </row>
    <row r="31" spans="1:43">
      <c r="A31" s="24" t="s">
        <v>269</v>
      </c>
      <c r="B31" s="112"/>
      <c r="C31" s="112"/>
      <c r="D31" s="112"/>
      <c r="E31" s="138"/>
      <c r="F31" s="112"/>
      <c r="G31" s="112"/>
      <c r="H31" s="112"/>
      <c r="I31" s="112"/>
      <c r="J31" s="112"/>
      <c r="K31" s="112"/>
    </row>
    <row r="32" spans="1:43">
      <c r="A32" s="23">
        <f>1</f>
        <v>1</v>
      </c>
      <c r="B32" s="112"/>
      <c r="C32" s="112"/>
      <c r="D32" s="112"/>
      <c r="E32" s="138"/>
      <c r="F32" s="112"/>
      <c r="G32" s="112"/>
      <c r="H32" s="112"/>
      <c r="I32" s="112"/>
      <c r="J32" s="112"/>
      <c r="K32" s="112"/>
    </row>
    <row r="33" spans="1:11">
      <c r="A33" s="23">
        <f t="shared" ref="A33:A44" si="3">A32+1</f>
        <v>2</v>
      </c>
      <c r="B33" s="112"/>
      <c r="C33" s="112"/>
      <c r="D33" s="112"/>
      <c r="E33" s="138"/>
      <c r="F33" s="112"/>
      <c r="G33" s="112"/>
      <c r="H33" s="112"/>
      <c r="I33" s="112"/>
      <c r="J33" s="112"/>
      <c r="K33" s="112"/>
    </row>
    <row r="34" spans="1:11">
      <c r="A34" s="23">
        <f t="shared" si="3"/>
        <v>3</v>
      </c>
      <c r="B34" s="112"/>
      <c r="C34" s="112"/>
      <c r="D34" s="112"/>
      <c r="E34" s="138"/>
      <c r="F34" s="112"/>
      <c r="G34" s="112"/>
      <c r="H34" s="112"/>
      <c r="I34" s="112"/>
      <c r="J34" s="112"/>
      <c r="K34" s="112"/>
    </row>
    <row r="35" spans="1:11">
      <c r="A35" s="23">
        <f t="shared" si="3"/>
        <v>4</v>
      </c>
      <c r="B35" s="112"/>
      <c r="C35" s="112"/>
      <c r="D35" s="112"/>
      <c r="E35" s="138"/>
      <c r="F35" s="112"/>
      <c r="G35" s="112"/>
      <c r="H35" s="112"/>
      <c r="I35" s="112"/>
      <c r="J35" s="112"/>
      <c r="K35" s="112"/>
    </row>
    <row r="36" spans="1:11">
      <c r="A36" s="23">
        <f t="shared" si="3"/>
        <v>5</v>
      </c>
    </row>
    <row r="37" spans="1:11">
      <c r="A37" s="23">
        <f>A36+1</f>
        <v>6</v>
      </c>
      <c r="B37" s="24" t="s">
        <v>239</v>
      </c>
      <c r="C37" s="24" t="s">
        <v>270</v>
      </c>
      <c r="D37" s="24" t="s">
        <v>2</v>
      </c>
      <c r="E37" s="24" t="s">
        <v>271</v>
      </c>
      <c r="F37" s="28" t="s">
        <v>262</v>
      </c>
    </row>
    <row r="38" spans="1:11">
      <c r="A38" s="23">
        <f t="shared" si="3"/>
        <v>7</v>
      </c>
      <c r="B38" s="23" t="s">
        <v>243</v>
      </c>
      <c r="C38" s="23" t="str">
        <f t="shared" ref="C38:C54" si="4">_xlfn.TEXTBEFORE(B38," ")</f>
        <v>Oliveira</v>
      </c>
      <c r="D38" s="23" t="str">
        <f t="shared" ref="D38:D54" si="5">_xlfn.TEXTAFTER(B38," ")</f>
        <v>Galega</v>
      </c>
      <c r="E38" s="23" t="s">
        <v>272</v>
      </c>
      <c r="F38" s="28" t="s">
        <v>266</v>
      </c>
    </row>
    <row r="39" spans="1:11">
      <c r="A39" s="23">
        <f t="shared" si="3"/>
        <v>8</v>
      </c>
      <c r="B39" s="23" t="s">
        <v>244</v>
      </c>
      <c r="C39" s="23" t="str">
        <f t="shared" si="4"/>
        <v>Oliveira</v>
      </c>
      <c r="D39" s="23" t="str">
        <f t="shared" si="5"/>
        <v>Picual</v>
      </c>
      <c r="E39" s="23" t="s">
        <v>272</v>
      </c>
      <c r="F39" s="28" t="s">
        <v>266</v>
      </c>
    </row>
    <row r="40" spans="1:11">
      <c r="A40" s="23">
        <f t="shared" si="3"/>
        <v>9</v>
      </c>
      <c r="B40" s="23" t="s">
        <v>251</v>
      </c>
      <c r="C40" s="23" t="str">
        <f t="shared" si="4"/>
        <v>Macieira</v>
      </c>
      <c r="D40" s="23" t="str">
        <f t="shared" si="5"/>
        <v>Jonagored</v>
      </c>
      <c r="E40" s="23" t="s">
        <v>273</v>
      </c>
      <c r="F40" s="28" t="s">
        <v>266</v>
      </c>
    </row>
    <row r="41" spans="1:11">
      <c r="A41" s="23">
        <f t="shared" si="3"/>
        <v>10</v>
      </c>
      <c r="B41" s="23" t="s">
        <v>252</v>
      </c>
      <c r="C41" s="23" t="str">
        <f t="shared" si="4"/>
        <v>Macieira</v>
      </c>
      <c r="D41" s="23" t="str">
        <f t="shared" si="5"/>
        <v>Fuji</v>
      </c>
      <c r="E41" s="23" t="s">
        <v>273</v>
      </c>
      <c r="F41" s="28" t="s">
        <v>266</v>
      </c>
    </row>
    <row r="42" spans="1:11">
      <c r="A42" s="23">
        <f t="shared" si="3"/>
        <v>11</v>
      </c>
      <c r="B42" s="23" t="s">
        <v>253</v>
      </c>
      <c r="C42" s="23" t="str">
        <f t="shared" si="4"/>
        <v>Macieira</v>
      </c>
      <c r="D42" s="23" t="str">
        <f t="shared" si="5"/>
        <v>Royal Gala</v>
      </c>
      <c r="E42" s="23" t="s">
        <v>273</v>
      </c>
      <c r="F42" s="28" t="s">
        <v>266</v>
      </c>
    </row>
    <row r="43" spans="1:11">
      <c r="A43" s="23">
        <f t="shared" si="3"/>
        <v>12</v>
      </c>
      <c r="B43" s="23" t="s">
        <v>240</v>
      </c>
      <c r="C43" s="23" t="str">
        <f t="shared" si="4"/>
        <v>Tremoço</v>
      </c>
      <c r="D43" s="23" t="str">
        <f t="shared" si="5"/>
        <v>Amarelo</v>
      </c>
      <c r="E43" s="23" t="s">
        <v>111</v>
      </c>
      <c r="F43" s="28" t="s">
        <v>266</v>
      </c>
    </row>
    <row r="44" spans="1:11">
      <c r="A44" s="23">
        <f t="shared" si="3"/>
        <v>13</v>
      </c>
      <c r="B44" s="23" t="s">
        <v>241</v>
      </c>
      <c r="C44" s="23" t="str">
        <f t="shared" si="4"/>
        <v>Milho</v>
      </c>
      <c r="D44" s="23" t="str">
        <f t="shared" si="5"/>
        <v>Doce Golden Bantam</v>
      </c>
      <c r="E44" s="23" t="s">
        <v>116</v>
      </c>
      <c r="F44" s="28" t="s">
        <v>266</v>
      </c>
    </row>
    <row r="45" spans="1:11">
      <c r="A45" s="23">
        <f>A44+1</f>
        <v>14</v>
      </c>
      <c r="B45" s="23" t="s">
        <v>240</v>
      </c>
      <c r="C45" s="23" t="str">
        <f t="shared" si="4"/>
        <v>Tremoço</v>
      </c>
      <c r="D45" s="23" t="str">
        <f t="shared" si="5"/>
        <v>Amarelo</v>
      </c>
      <c r="E45" s="23" t="s">
        <v>111</v>
      </c>
      <c r="F45" s="28" t="s">
        <v>266</v>
      </c>
    </row>
    <row r="46" spans="1:11">
      <c r="A46" s="23">
        <f t="shared" ref="A46:A49" si="6">A45+1</f>
        <v>15</v>
      </c>
      <c r="B46" s="23" t="s">
        <v>245</v>
      </c>
      <c r="C46" s="23" t="str">
        <f t="shared" si="4"/>
        <v>Cenoura</v>
      </c>
      <c r="D46" s="23" t="str">
        <f t="shared" si="5"/>
        <v>Scarlet Nantes</v>
      </c>
      <c r="E46" s="23" t="s">
        <v>100</v>
      </c>
      <c r="F46" s="28" t="s">
        <v>266</v>
      </c>
    </row>
    <row r="47" spans="1:11">
      <c r="A47" s="23">
        <f t="shared" si="6"/>
        <v>16</v>
      </c>
      <c r="B47" s="23" t="s">
        <v>246</v>
      </c>
      <c r="C47" s="23" t="str">
        <f t="shared" si="4"/>
        <v>Cenoura</v>
      </c>
      <c r="D47" s="23" t="str">
        <f t="shared" si="5"/>
        <v>Nelson Hybrid</v>
      </c>
      <c r="E47" s="23" t="s">
        <v>100</v>
      </c>
      <c r="F47" s="28" t="s">
        <v>266</v>
      </c>
    </row>
    <row r="48" spans="1:11">
      <c r="A48" s="23">
        <f t="shared" si="6"/>
        <v>17</v>
      </c>
      <c r="B48" s="23" t="s">
        <v>247</v>
      </c>
      <c r="C48" s="23" t="str">
        <f t="shared" si="4"/>
        <v>Nabo</v>
      </c>
      <c r="D48" s="23" t="str">
        <f t="shared" si="5"/>
        <v>S. Cosme</v>
      </c>
      <c r="E48" s="23" t="s">
        <v>137</v>
      </c>
      <c r="F48" s="28" t="s">
        <v>266</v>
      </c>
    </row>
    <row r="49" spans="1:6">
      <c r="A49" s="23">
        <f t="shared" si="6"/>
        <v>18</v>
      </c>
      <c r="B49" s="23" t="s">
        <v>248</v>
      </c>
      <c r="C49" s="23" t="str">
        <f t="shared" si="4"/>
        <v>Cenoura</v>
      </c>
      <c r="D49" s="23" t="str">
        <f t="shared" si="5"/>
        <v>Sugarsnax Hybrid</v>
      </c>
      <c r="E49" s="23" t="s">
        <v>100</v>
      </c>
      <c r="F49" s="28" t="s">
        <v>266</v>
      </c>
    </row>
    <row r="50" spans="1:6">
      <c r="B50" s="23" t="s">
        <v>249</v>
      </c>
      <c r="C50" s="23" t="str">
        <f t="shared" si="4"/>
        <v>Cenoura</v>
      </c>
      <c r="D50" s="23" t="str">
        <f t="shared" si="5"/>
        <v>Danvers Half Long</v>
      </c>
      <c r="E50" s="23" t="s">
        <v>100</v>
      </c>
      <c r="F50" s="28" t="s">
        <v>266</v>
      </c>
    </row>
    <row r="51" spans="1:6">
      <c r="A51" s="106"/>
      <c r="B51" s="23" t="s">
        <v>242</v>
      </c>
      <c r="C51" s="23" t="str">
        <f t="shared" si="4"/>
        <v>Milho</v>
      </c>
      <c r="D51" s="23" t="str">
        <f t="shared" si="5"/>
        <v>MAS 24.C</v>
      </c>
      <c r="E51" s="23" t="s">
        <v>116</v>
      </c>
      <c r="F51" s="28" t="s">
        <v>266</v>
      </c>
    </row>
    <row r="52" spans="1:6">
      <c r="B52" s="23" t="s">
        <v>250</v>
      </c>
      <c r="C52" s="23" t="s">
        <v>122</v>
      </c>
      <c r="D52" s="23" t="str">
        <f>_xlfn.TEXTAFTER(_xlfn.TEXTAFTER(B52," ")," ")</f>
        <v>Senhora Conceição</v>
      </c>
      <c r="E52" s="23" t="s">
        <v>137</v>
      </c>
      <c r="F52" s="28" t="s">
        <v>266</v>
      </c>
    </row>
    <row r="53" spans="1:6">
      <c r="B53" s="23" t="s">
        <v>254</v>
      </c>
      <c r="C53" s="23" t="str">
        <f t="shared" si="4"/>
        <v>Videira</v>
      </c>
      <c r="D53" s="23" t="str">
        <f t="shared" si="5"/>
        <v>Dona Maria</v>
      </c>
      <c r="E53" s="23" t="s">
        <v>274</v>
      </c>
      <c r="F53" s="28" t="s">
        <v>266</v>
      </c>
    </row>
    <row r="54" spans="1:6">
      <c r="B54" s="23" t="s">
        <v>255</v>
      </c>
      <c r="C54" s="23" t="str">
        <f t="shared" si="4"/>
        <v>Videira</v>
      </c>
      <c r="D54" s="23" t="str">
        <f t="shared" si="5"/>
        <v>Cardinal</v>
      </c>
      <c r="E54" s="23" t="s">
        <v>274</v>
      </c>
      <c r="F54" s="28" t="s">
        <v>266</v>
      </c>
    </row>
    <row r="55" spans="1:6">
      <c r="B55" s="23" t="s">
        <v>268</v>
      </c>
      <c r="C55" s="23" t="s">
        <v>268</v>
      </c>
      <c r="D55" s="23" t="s">
        <v>275</v>
      </c>
      <c r="E55" s="23" t="s">
        <v>276</v>
      </c>
    </row>
    <row r="57" spans="1:6">
      <c r="B57" s="19" t="s">
        <v>8</v>
      </c>
      <c r="C57" s="19" t="s">
        <v>277</v>
      </c>
      <c r="D57" s="19" t="s">
        <v>271</v>
      </c>
      <c r="E57" s="19"/>
      <c r="F57" s="19"/>
    </row>
    <row r="58" spans="1:6">
      <c r="B58" s="15" t="str">
        <f>"INSERT INTO "&amp;$D$57&amp;"(nomeProduto, idStock) VALUES ('"&amp;Operações!C294&amp;"', "&amp;Operações!E294&amp;");"</f>
        <v>INSERT INTO Produto(nomeProduto, idStock) VALUES ('Azeitona', 1);</v>
      </c>
      <c r="C58" s="15"/>
      <c r="D58" s="15"/>
      <c r="E58" s="15"/>
      <c r="F58" s="15"/>
    </row>
    <row r="59" spans="1:6">
      <c r="B59" s="15" t="str">
        <f>"INSERT INTO "&amp;$D$57&amp;"(nomeProduto, idStock) VALUES ('"&amp;Operações!C295&amp;"', "&amp;Operações!E295&amp;");"</f>
        <v>INSERT INTO Produto(nomeProduto, idStock) VALUES ('Maçã', 2);</v>
      </c>
      <c r="C59" s="15"/>
      <c r="D59" s="15"/>
      <c r="E59" s="15"/>
      <c r="F59" s="15"/>
    </row>
    <row r="60" spans="1:6">
      <c r="B60" s="15" t="str">
        <f>"INSERT INTO "&amp;$D$57&amp;"(nomeProduto, idStock) VALUES ('"&amp;Operações!C296&amp;"', "&amp;Operações!E296&amp;");"</f>
        <v>INSERT INTO Produto(nomeProduto, idStock) VALUES ('Tremoço', 3);</v>
      </c>
      <c r="C60" s="15"/>
      <c r="D60" s="15"/>
      <c r="E60" s="15"/>
      <c r="F60" s="15"/>
    </row>
    <row r="61" spans="1:6">
      <c r="B61" s="15" t="str">
        <f>"INSERT INTO "&amp;$D$57&amp;"(nomeProduto, idStock) VALUES ('"&amp;Operações!C297&amp;"', "&amp;Operações!E297&amp;");"</f>
        <v>INSERT INTO Produto(nomeProduto, idStock) VALUES ('Milho', 4);</v>
      </c>
      <c r="C61" s="15"/>
      <c r="D61" s="15"/>
      <c r="E61" s="15"/>
      <c r="F61" s="15"/>
    </row>
    <row r="62" spans="1:6">
      <c r="B62" s="15" t="str">
        <f>"INSERT INTO "&amp;$D$57&amp;"(nomeProduto, idStock) VALUES ('"&amp;Operações!C298&amp;"', "&amp;Operações!E298&amp;");"</f>
        <v>INSERT INTO Produto(nomeProduto, idStock) VALUES ('Cenoura', 5);</v>
      </c>
      <c r="C62" s="15"/>
      <c r="D62" s="15"/>
      <c r="E62" s="15"/>
      <c r="F62" s="15"/>
    </row>
    <row r="63" spans="1:6">
      <c r="B63" s="15" t="str">
        <f>"INSERT INTO "&amp;$D$57&amp;"(nomeProduto, idStock) VALUES ('"&amp;Operações!C299&amp;"', "&amp;Operações!E299&amp;");"</f>
        <v>INSERT INTO Produto(nomeProduto, idStock) VALUES ('Nabo', 6);</v>
      </c>
      <c r="C63" s="15"/>
      <c r="D63" s="15"/>
      <c r="E63" s="15"/>
      <c r="F63" s="15"/>
    </row>
    <row r="64" spans="1:6">
      <c r="A64" s="107"/>
      <c r="B64" s="15" t="str">
        <f>"INSERT INTO "&amp;$D$57&amp;"(nomeProduto, idStock) VALUES ('"&amp;Operações!C300&amp;"', "&amp;Operações!E300&amp;");"</f>
        <v>INSERT INTO Produto(nomeProduto, idStock) VALUES ('Uvas', 7);</v>
      </c>
      <c r="C64" s="15"/>
      <c r="D64" s="15"/>
      <c r="E64" s="15"/>
      <c r="F64" s="15"/>
    </row>
    <row r="65" spans="2:9">
      <c r="B65" s="15" t="str">
        <f>"INSERT INTO "&amp;$D$57&amp;"(nomeProduto, idStock) VALUES ('"&amp;Operações!C317&amp;"',  "&amp;Operações!E317&amp;");"</f>
        <v>INSERT INTO Produto(nomeProduto, idStock) VALUES ('Abóbora',  21);</v>
      </c>
      <c r="C65" s="15"/>
      <c r="D65" s="15"/>
      <c r="E65" s="15"/>
      <c r="F65" s="15"/>
    </row>
    <row r="70" spans="2:9">
      <c r="B70" s="19" t="s">
        <v>8</v>
      </c>
      <c r="C70" s="19" t="s">
        <v>277</v>
      </c>
      <c r="D70" s="19" t="s">
        <v>278</v>
      </c>
      <c r="E70" s="19"/>
      <c r="F70" s="19"/>
      <c r="G70" s="19"/>
      <c r="H70" s="19"/>
      <c r="I70" s="19"/>
    </row>
    <row r="71" spans="2:9">
      <c r="B71" s="15" t="str">
        <f>"INSERT INTO "&amp;$D$70&amp;" (nomeProduto, variedade, nomeComum) VALUES ('"&amp;INDEX($E$38:$E$55,MATCH(I2,$A$32:$A$49,0))&amp;"', '"&amp;UPPER(INDEX($D$38:$D$55,MATCH(I2,$A$32:$A$49,0)))&amp; "', '" &amp;INDEX($C$38:$C$55,MATCH(I2,$A$32:$A$49,0))&amp;"');"</f>
        <v>INSERT INTO Producao (nomeProduto, variedade, nomeComum) VALUES ('Tremoço', 'AMARELO', 'Tremoço');</v>
      </c>
      <c r="C71" s="15"/>
      <c r="D71" s="15"/>
      <c r="E71" s="15"/>
      <c r="F71" s="15"/>
      <c r="G71" s="15"/>
      <c r="H71" s="15"/>
      <c r="I71" s="15"/>
    </row>
    <row r="72" spans="2:9">
      <c r="B72" s="15" t="str">
        <f>"INSERT INTO "&amp;$D$70&amp;" (nomeProduto, variedade, nomeComum) VALUES ('"&amp;INDEX($E$38:$E$55,MATCH(I3,$A$32:$A$49,0))&amp;"', '"&amp;UPPER(INDEX($D$38:$D$55,MATCH(I3,$A$32:$A$49,0)))&amp; "', '" &amp;INDEX($C$38:$C$55,MATCH(I3,$A$32:$A$49,0))&amp;"');"</f>
        <v>INSERT INTO Producao (nomeProduto, variedade, nomeComum) VALUES ('Milho', 'DOCE GOLDEN BANTAM', 'Milho');</v>
      </c>
      <c r="C72" s="15"/>
      <c r="D72" s="15"/>
      <c r="E72" s="15"/>
      <c r="F72" s="15"/>
      <c r="G72" s="15"/>
      <c r="H72" s="15"/>
      <c r="I72" s="15"/>
    </row>
    <row r="73" spans="2:9">
      <c r="B73" s="15" t="str">
        <f>"INSERT INTO "&amp;$D$70&amp;" (nomeProduto, variedade, nomeComum) VALUES ('"&amp;INDEX($E$38:$E$55,MATCH(I8,$A$32:$A$49,0))&amp;"', '"&amp;UPPER(INDEX($D$38:$D$55,MATCH(I8,$A$32:$A$49,0)))&amp; "', '" &amp;INDEX($C$38:$C$55,MATCH(I8,$A$32:$A$49,0))&amp;"');"</f>
        <v>INSERT INTO Producao (nomeProduto, variedade, nomeComum) VALUES ('Milho', 'MAS 24.C', 'Milho');</v>
      </c>
      <c r="C73" s="15"/>
      <c r="D73" s="15"/>
      <c r="E73" s="15"/>
      <c r="F73" s="15"/>
      <c r="G73" s="15"/>
      <c r="H73" s="15"/>
      <c r="I73" s="15"/>
    </row>
    <row r="74" spans="2:9">
      <c r="B74" s="15" t="str">
        <f t="shared" ref="B74:B80" si="7">"INSERT INTO "&amp;$D$70&amp;" (nomeProduto, variedade, nomeComum) VALUES ('"&amp;INDEX($E$38:$E$55,MATCH(I12,$A$32:$A$49,0))&amp;"', '"&amp;UPPER(INDEX($D$38:$D$55,MATCH(I12,$A$32:$A$49,0)))&amp; "', '" &amp;INDEX($C$38:$C$55,MATCH(I12,$A$32:$A$49,0))&amp;"');"</f>
        <v>INSERT INTO Producao (nomeProduto, variedade, nomeComum) VALUES ('Azeitona', 'GALEGA', 'Oliveira');</v>
      </c>
      <c r="C74" s="15"/>
      <c r="D74" s="15"/>
      <c r="E74" s="15"/>
      <c r="F74" s="15"/>
      <c r="G74" s="15"/>
      <c r="H74" s="15"/>
      <c r="I74" s="15"/>
    </row>
    <row r="75" spans="2:9">
      <c r="B75" s="15" t="str">
        <f t="shared" si="7"/>
        <v>INSERT INTO Producao (nomeProduto, variedade, nomeComum) VALUES ('Azeitona', 'PICUAL', 'Oliveira');</v>
      </c>
      <c r="C75" s="15"/>
      <c r="D75" s="15"/>
      <c r="E75" s="15"/>
      <c r="F75" s="15"/>
      <c r="G75" s="15"/>
      <c r="H75" s="15"/>
      <c r="I75" s="15"/>
    </row>
    <row r="76" spans="2:9">
      <c r="B76" s="15" t="str">
        <f t="shared" si="7"/>
        <v>INSERT INTO Producao (nomeProduto, variedade, nomeComum) VALUES ('Cenoura', 'SCARLET NANTES', 'Cenoura');</v>
      </c>
      <c r="C76" s="15"/>
      <c r="D76" s="15"/>
      <c r="E76" s="15"/>
      <c r="F76" s="15"/>
      <c r="G76" s="15"/>
      <c r="H76" s="15"/>
      <c r="I76" s="15"/>
    </row>
    <row r="77" spans="2:9">
      <c r="B77" s="15" t="str">
        <f t="shared" si="7"/>
        <v>INSERT INTO Producao (nomeProduto, variedade, nomeComum) VALUES ('Cenoura', 'NELSON HYBRID', 'Cenoura');</v>
      </c>
      <c r="C77" s="15"/>
      <c r="D77" s="15"/>
      <c r="E77" s="15"/>
      <c r="F77" s="15"/>
      <c r="G77" s="15"/>
      <c r="H77" s="15"/>
      <c r="I77" s="15"/>
    </row>
    <row r="78" spans="2:9">
      <c r="B78" s="15" t="str">
        <f t="shared" si="7"/>
        <v>INSERT INTO Producao (nomeProduto, variedade, nomeComum) VALUES ('Nabo', 'S. COSME', 'Nabo');</v>
      </c>
      <c r="C78" s="15"/>
      <c r="D78" s="15"/>
      <c r="E78" s="15"/>
      <c r="F78" s="15"/>
      <c r="G78" s="15"/>
      <c r="H78" s="15"/>
      <c r="I78" s="15"/>
    </row>
    <row r="79" spans="2:9">
      <c r="B79" s="15" t="str">
        <f t="shared" si="7"/>
        <v>INSERT INTO Producao (nomeProduto, variedade, nomeComum) VALUES ('Cenoura', 'SUGARSNAX HYBRID', 'Cenoura');</v>
      </c>
      <c r="C79" s="15"/>
      <c r="D79" s="15"/>
      <c r="E79" s="15"/>
      <c r="F79" s="15"/>
      <c r="G79" s="15"/>
      <c r="H79" s="15"/>
      <c r="I79" s="15"/>
    </row>
    <row r="80" spans="2:9">
      <c r="B80" s="15" t="str">
        <f t="shared" si="7"/>
        <v>INSERT INTO Producao (nomeProduto, variedade, nomeComum) VALUES ('Cenoura', 'DANVERS HALF LONG', 'Cenoura');</v>
      </c>
      <c r="C80" s="15"/>
      <c r="D80" s="15"/>
      <c r="E80" s="15"/>
      <c r="F80" s="15"/>
      <c r="G80" s="15"/>
      <c r="H80" s="15"/>
      <c r="I80" s="15"/>
    </row>
    <row r="81" spans="2:9">
      <c r="B81" s="15" t="str">
        <f>"INSERT INTO "&amp;$D$70&amp;" (nomeProduto, variedade, nomeComum) VALUES ('"&amp;INDEX($E$38:$E$55,MATCH(I22,$A$32:$A$49,0))&amp;"', '"&amp;UPPER(INDEX($D$38:$D$55,MATCH(I22,$A$32:$A$49,0)))&amp; "', '" &amp;INDEX($C$38:$C$55,MATCH(I22,$A$32:$A$49,0))&amp;"');"</f>
        <v>INSERT INTO Producao (nomeProduto, variedade, nomeComum) VALUES ('Nabo', 'SENHORA CONCEIÇÃO', 'Nabo greleiro');</v>
      </c>
      <c r="C81" s="15"/>
      <c r="D81" s="15"/>
      <c r="E81" s="15"/>
      <c r="F81" s="15"/>
      <c r="G81" s="15"/>
      <c r="H81" s="15"/>
      <c r="I81" s="15"/>
    </row>
    <row r="82" spans="2:9">
      <c r="B82" s="15" t="str">
        <f>"INSERT INTO "&amp;$D$70&amp;" (nomeProduto, variedade, nomeComum) VALUES ('"&amp;INDEX($E$38:$E$55,MATCH(I23,$A$32:$A$49,0))&amp;"', '"&amp;UPPER(INDEX($D$38:$D$55,MATCH(I23,$A$32:$A$49,0)))&amp; "', '" &amp;INDEX($C$38:$C$55,MATCH(I23,$A$32:$A$49,0))&amp;"');"</f>
        <v>INSERT INTO Producao (nomeProduto, variedade, nomeComum) VALUES ('Maçã', 'JONAGORED', 'Macieira');</v>
      </c>
      <c r="C82" s="15"/>
      <c r="D82" s="15"/>
      <c r="E82" s="15"/>
      <c r="F82" s="15"/>
      <c r="G82" s="15"/>
      <c r="H82" s="15"/>
      <c r="I82" s="15"/>
    </row>
    <row r="83" spans="2:9">
      <c r="B83" s="15" t="str">
        <f>"INSERT INTO "&amp;$D$70&amp;" (nomeProduto, variedade, nomeComum) VALUES ('"&amp;INDEX($E$38:$E$55,MATCH(I24,$A$32:$A$49,0))&amp;"', '"&amp;UPPER(INDEX($D$38:$D$55,MATCH(I24,$A$32:$A$49,0)))&amp; "', '" &amp;INDEX($C$38:$C$55,MATCH(I24,$A$32:$A$49,0))&amp;"');"</f>
        <v>INSERT INTO Producao (nomeProduto, variedade, nomeComum) VALUES ('Maçã', 'FUJI', 'Macieira');</v>
      </c>
      <c r="C83" s="15"/>
      <c r="D83" s="15"/>
      <c r="E83" s="15"/>
      <c r="F83" s="15"/>
      <c r="G83" s="15"/>
      <c r="H83" s="15"/>
      <c r="I83" s="15"/>
    </row>
    <row r="84" spans="2:9">
      <c r="B84" s="15" t="str">
        <f>"INSERT INTO "&amp;$D$70&amp;" (nomeProduto, variedade, nomeComum) VALUES ('"&amp;INDEX($E$38:$E$55,MATCH(I26,$A$32:$A$49,0))&amp;"', '"&amp;UPPER(INDEX($D$38:$D$55,MATCH(I26,$A$32:$A$49,0)))&amp; "', '" &amp;INDEX($C$38:$C$55,MATCH(I26,$A$32:$A$49,0))&amp;"');"</f>
        <v>INSERT INTO Producao (nomeProduto, variedade, nomeComum) VALUES ('Maçã', 'ROYAL GALA', 'Macieira');</v>
      </c>
      <c r="C84" s="15"/>
      <c r="D84" s="15"/>
      <c r="E84" s="15"/>
      <c r="F84" s="15"/>
      <c r="G84" s="15"/>
      <c r="H84" s="15"/>
      <c r="I84" s="15"/>
    </row>
    <row r="85" spans="2:9">
      <c r="B85" s="15" t="str">
        <f>"INSERT INTO "&amp;$D$70&amp;" (nomeProduto, variedade, nomeComum) VALUES ('"&amp;INDEX($E$38:$E$55,MATCH(I27,$A$32:$A$49,0))&amp;"', '"&amp;UPPER(INDEX($D$38:$D$55,MATCH(I27,$A$32:$A$49,0)))&amp; "', '" &amp;INDEX($C$38:$C$55,MATCH(I27,$A$32:$A$49,0))&amp;"');"</f>
        <v>INSERT INTO Producao (nomeProduto, variedade, nomeComum) VALUES ('Uvas', 'DONA MARIA', 'Videira');</v>
      </c>
      <c r="C85" s="15"/>
      <c r="D85" s="15"/>
      <c r="E85" s="15"/>
      <c r="F85" s="15"/>
      <c r="G85" s="15"/>
      <c r="H85" s="15"/>
      <c r="I85" s="15"/>
    </row>
    <row r="86" spans="2:9">
      <c r="B86" s="15" t="str">
        <f>"INSERT INTO "&amp;$D$70&amp;" (nomeProduto, variedade, nomeComum) VALUES ('"&amp;INDEX($E$38:$E$55,MATCH(I28,$A$32:$A$49,0))&amp;"', '"&amp;UPPER(INDEX($D$38:$D$55,MATCH(I28,$A$32:$A$49,0)))&amp; "', '" &amp;INDEX($C$38:$C$55,MATCH(I28,$A$32:$A$49,0))&amp;"');"</f>
        <v>INSERT INTO Producao (nomeProduto, variedade, nomeComum) VALUES ('Uvas', 'CARDINAL', 'Videira');</v>
      </c>
      <c r="C86" s="15"/>
      <c r="D86" s="15"/>
      <c r="E86" s="15"/>
      <c r="F86" s="15"/>
      <c r="G86" s="15"/>
      <c r="H86" s="15"/>
      <c r="I86" s="15"/>
    </row>
    <row r="87" spans="2:9">
      <c r="B87" s="15" t="str">
        <f>"INSERT INTO "&amp;$D$70&amp;" (nomeProduto, variedade, nomeComum) VALUES ('"&amp;INDEX($E$38:$E$55,MATCH(I29,$A$32:$A$49,0))&amp;"', '"&amp;UPPER(INDEX($D$38:$D$55,MATCH(I29,$A$32:$A$49,0)))&amp; "', '" &amp;INDEX($C$38:$C$55,MATCH(I29,$A$32:$A$49,0))&amp;"');"</f>
        <v>INSERT INTO Producao (nomeProduto, variedade, nomeComum) VALUES ('Abóbora', 'BUTTERNUT', 'Abóbora Manteiga');</v>
      </c>
      <c r="C87" s="15"/>
      <c r="D87" s="15"/>
      <c r="E87" s="15"/>
      <c r="F87" s="15"/>
      <c r="G87" s="15"/>
      <c r="H87" s="15"/>
      <c r="I87" s="15"/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sheetPr filterMode="1"/>
  <dimension ref="A1:BV324"/>
  <sheetViews>
    <sheetView zoomScale="45" zoomScaleNormal="70" workbookViewId="0">
      <selection activeCell="H246" sqref="H246"/>
    </sheetView>
  </sheetViews>
  <sheetFormatPr defaultRowHeight="14.25"/>
  <cols>
    <col min="1" max="1" width="9.1328125" bestFit="1" customWidth="1"/>
    <col min="2" max="2" width="23.1328125" customWidth="1"/>
    <col min="3" max="3" width="21.86328125" customWidth="1"/>
    <col min="4" max="4" width="15.1328125" customWidth="1"/>
    <col min="5" max="5" width="28.86328125" bestFit="1" customWidth="1"/>
    <col min="6" max="6" width="12.46484375" customWidth="1"/>
    <col min="7" max="7" width="10.86328125" bestFit="1" customWidth="1"/>
    <col min="9" max="9" width="16.1328125" bestFit="1" customWidth="1"/>
    <col min="11" max="11" width="12.53125" customWidth="1"/>
    <col min="12" max="12" width="9.1328125" bestFit="1" customWidth="1"/>
    <col min="13" max="13" width="13.86328125" customWidth="1"/>
    <col min="14" max="14" width="21.1328125" customWidth="1"/>
    <col min="15" max="15" width="13.86328125" customWidth="1"/>
    <col min="16" max="16" width="17.86328125" customWidth="1"/>
    <col min="17" max="17" width="18.86328125" customWidth="1"/>
    <col min="18" max="18" width="10.86328125" bestFit="1" customWidth="1"/>
    <col min="19" max="21" width="9.1328125" bestFit="1" customWidth="1"/>
    <col min="23" max="23" width="14.1328125" customWidth="1"/>
    <col min="67" max="67" width="12.46484375" customWidth="1"/>
    <col min="68" max="68" width="11.1328125" customWidth="1"/>
    <col min="69" max="69" width="11.86328125" customWidth="1"/>
    <col min="70" max="70" width="12" customWidth="1"/>
    <col min="76" max="76" width="13" customWidth="1"/>
    <col min="77" max="77" width="12.46484375" customWidth="1"/>
  </cols>
  <sheetData>
    <row r="1" spans="1:60" ht="15" thickTop="1" thickBot="1">
      <c r="A1" s="2" t="s">
        <v>279</v>
      </c>
      <c r="B1" s="2" t="s">
        <v>214</v>
      </c>
      <c r="C1" s="2" t="s">
        <v>280</v>
      </c>
      <c r="D1" s="2" t="s">
        <v>281</v>
      </c>
      <c r="E1" s="2" t="s">
        <v>239</v>
      </c>
      <c r="F1" s="2" t="s">
        <v>282</v>
      </c>
      <c r="G1" s="2" t="s">
        <v>259</v>
      </c>
      <c r="H1" s="2" t="s">
        <v>213</v>
      </c>
      <c r="I1" s="2" t="s">
        <v>283</v>
      </c>
      <c r="J1" s="23" t="s">
        <v>261</v>
      </c>
      <c r="K1" s="35" t="s">
        <v>284</v>
      </c>
      <c r="L1" s="23" t="s">
        <v>285</v>
      </c>
      <c r="M1" s="68" t="s">
        <v>262</v>
      </c>
      <c r="O1" s="23" t="s">
        <v>286</v>
      </c>
      <c r="Q1" s="106"/>
      <c r="R1" s="9" t="s">
        <v>8</v>
      </c>
      <c r="S1" s="9" t="s">
        <v>9</v>
      </c>
      <c r="T1" s="9" t="s">
        <v>287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3" t="s">
        <v>9</v>
      </c>
      <c r="AO1" s="93" t="s">
        <v>288</v>
      </c>
      <c r="AP1" s="93" t="s">
        <v>8</v>
      </c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106"/>
    </row>
    <row r="2" spans="1:60" ht="15" hidden="1" thickTop="1" thickBot="1">
      <c r="A2">
        <v>102</v>
      </c>
      <c r="B2" t="s">
        <v>218</v>
      </c>
      <c r="C2" t="s">
        <v>289</v>
      </c>
      <c r="E2" t="s">
        <v>243</v>
      </c>
      <c r="F2" s="1">
        <v>42649</v>
      </c>
      <c r="G2">
        <v>30</v>
      </c>
      <c r="H2" t="s">
        <v>267</v>
      </c>
      <c r="J2" s="23">
        <f>MATCH(E2,Culturas!$B$38:$B$54,0)</f>
        <v>1</v>
      </c>
      <c r="K2" s="35">
        <f>INDEX(Culturas!$E$12:$E$13,MATCH(Operações!E2,Culturas!$C$12:$C$13,0))</f>
        <v>42649</v>
      </c>
      <c r="L2" s="23">
        <f>1</f>
        <v>1</v>
      </c>
      <c r="M2" s="68" t="s">
        <v>266</v>
      </c>
      <c r="O2" s="23" t="str">
        <f>_xlfn.TEXTBEFORE(E2, " ")</f>
        <v>Oliveira</v>
      </c>
      <c r="R2" s="10" t="str">
        <f xml:space="preserve"> "INSERT INTO " &amp;$T$1&amp; " (idOperacao, designacaoOperacaoAgricola, designacaoUnidade, quantidade, dataOperacao) VALUES (" &amp;L2&amp; ", '" &amp;C2&amp; "', " &amp;IF(ISBLANK(H2), "null", "'" &amp;H2&amp; "'" )&amp; ",   "&amp;IF(ISBLANK(G2), "null",TEXT(SUBSTITUTE(G2, "%", "") * 10, "0.0"))&amp;",  TO_DATE('"&amp;TEXT(F2,"DD/MM/AAAA")&amp;"', 'DD/MM/YYYY'));"</f>
        <v>INSERT INTO Operacao (idOperacao, designacaoOperacaoAgricola, designacaoUnidade, quantidade, dataOperacao) VALUES (1, 'Plantação', 'un',   300.0,  TO_DATE('06/10/Thursday', 'DD/MM/YYYY'));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N2" s="90" t="str">
        <f xml:space="preserve"> "INSERT INTO " &amp;$AO$1&amp; " (idOperacao, nomeParcela, dataInicial, nomeComum, variedade) VALUES (" &amp;L2&amp; ", '" &amp;B2&amp; "', TO_DATE('"&amp;TEXT(K2,"DD/MM/AAAA")&amp;"', 'DD/MM/YYYY'), '"  &amp;INDEX($D$270:$D$286,MATCH(J2,$B$270:$B$286,0))&amp; "', UPPER('" &amp;INDEX($E$270:$E$286,MATCH(J2,$B$270:$B$286,0))&amp;  "') );"</f>
        <v>INSERT INTO OperacaoCultura (idOperacao, nomeParcela, dataInicial, nomeComum, variedade) VALUES (1, 'Campo Grande', TO_DATE('06/10/Thursday', 'DD/MM/YYYY'), 'Oliveira', UPPER('Galega') );</v>
      </c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</row>
    <row r="3" spans="1:60" ht="15" hidden="1" thickTop="1" thickBot="1">
      <c r="A3">
        <v>102</v>
      </c>
      <c r="B3" t="s">
        <v>218</v>
      </c>
      <c r="C3" t="s">
        <v>289</v>
      </c>
      <c r="E3" t="s">
        <v>244</v>
      </c>
      <c r="F3" s="1">
        <v>42653</v>
      </c>
      <c r="G3">
        <v>20</v>
      </c>
      <c r="H3" t="s">
        <v>267</v>
      </c>
      <c r="J3" s="23">
        <f>MATCH(E3,Culturas!$B$38:$B$54,0)</f>
        <v>2</v>
      </c>
      <c r="K3" s="35">
        <f>INDEX(Culturas!$E$12:$E$13,MATCH(Operações!E3,Culturas!$C$12:$C$13,0))</f>
        <v>42653</v>
      </c>
      <c r="L3" s="23">
        <f>L2+1</f>
        <v>2</v>
      </c>
      <c r="M3" s="68" t="s">
        <v>266</v>
      </c>
      <c r="O3" s="23" t="str">
        <f t="shared" ref="O3:O66" si="0">_xlfn.TEXTBEFORE(E3, " ")</f>
        <v>Oliveira</v>
      </c>
      <c r="R3" s="10" t="str">
        <f t="shared" ref="R3:R66" si="1" xml:space="preserve"> "INSERT INTO " &amp;$T$1&amp; " (idOperacao, designacaoOperacaoAgricola, designacaoUnidade, quantidade, dataOperacao) VALUES (" &amp;L3&amp; ", '" &amp;C3&amp; "', " &amp;IF(ISBLANK(H3), "null", "'" &amp;H3&amp; "'" )&amp; ",   "&amp;IF(ISBLANK(G3), "null",TEXT(SUBSTITUTE(G3, "%", "") * 10, "0.0"))&amp;",  TO_DATE('"&amp;TEXT(F3,"DD/MM/AAAA")&amp;"', 'DD/MM/YYYY'));"</f>
        <v>INSERT INTO Operacao (idOperacao, designacaoOperacaoAgricola, designacaoUnidade, quantidade, dataOperacao) VALUES (2, 'Plantação', 'un',   200.0,  TO_DATE('10/10/Monday', 'DD/MM/YYYY'));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N3" s="90" t="str">
        <f t="shared" ref="AN3:AN66" si="2" xml:space="preserve"> "INSERT INTO " &amp;$AO$1&amp; " (idOperacao, nomeParcela, dataInicial, nomeComum, variedade) VALUES (" &amp;L3&amp; ", '" &amp;B3&amp; "', TO_DATE('"&amp;TEXT(K3,"DD/MM/AAAA")&amp;"', 'DD/MM/YYYY'), '"  &amp;INDEX($D$270:$D$286,MATCH(J3,$B$270:$B$286,0))&amp; "', UPPER('" &amp;INDEX($E$270:$E$286,MATCH(J3,$B$270:$B$286,0))&amp;  "') );"</f>
        <v>INSERT INTO OperacaoCultura (idOperacao, nomeParcela, dataInicial, nomeComum, variedade) VALUES (2, 'Campo Grande', TO_DATE('10/10/Monday', 'DD/MM/YYYY'), 'Oliveira', UPPER('Picual') );</v>
      </c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</row>
    <row r="4" spans="1:60" ht="15" hidden="1" thickTop="1" thickBot="1">
      <c r="A4">
        <v>104</v>
      </c>
      <c r="B4" t="s">
        <v>220</v>
      </c>
      <c r="C4" t="s">
        <v>289</v>
      </c>
      <c r="E4" t="s">
        <v>251</v>
      </c>
      <c r="F4" s="1">
        <v>42742</v>
      </c>
      <c r="G4">
        <v>90</v>
      </c>
      <c r="H4" t="s">
        <v>267</v>
      </c>
      <c r="J4" s="23">
        <f>MATCH(E4,Culturas!$B$38:$B$54,0)</f>
        <v>3</v>
      </c>
      <c r="K4" s="139">
        <f>INDEX(Culturas!$E$2:$E$28,MATCH(Operações!E4,Culturas!$C$2:$C$29,0))</f>
        <v>42742</v>
      </c>
      <c r="L4" s="23">
        <f t="shared" ref="L4:L67" si="3">L3+1</f>
        <v>3</v>
      </c>
      <c r="M4" s="68" t="s">
        <v>266</v>
      </c>
      <c r="O4" s="23" t="str">
        <f t="shared" si="0"/>
        <v>Macieira</v>
      </c>
      <c r="R4" s="10" t="str">
        <f t="shared" si="1"/>
        <v>INSERT INTO Operacao (idOperacao, designacaoOperacaoAgricola, designacaoUnidade, quantidade, dataOperacao) VALUES (3, 'Plantação', 'un',   900.0,  TO_DATE('07/01/Saturday', 'DD/MM/YYYY'));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90" t="str">
        <f t="shared" si="2"/>
        <v>INSERT INTO OperacaoCultura (idOperacao, nomeParcela, dataInicial, nomeComum, variedade) VALUES (3, 'Lameiro da ponte', TO_DATE('07/01/Saturday', 'DD/MM/YYYY'), 'Macieira', UPPER('Jonagored') );</v>
      </c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</row>
    <row r="5" spans="1:60" ht="15" hidden="1" thickTop="1" thickBot="1">
      <c r="A5">
        <v>104</v>
      </c>
      <c r="B5" t="s">
        <v>220</v>
      </c>
      <c r="C5" t="s">
        <v>289</v>
      </c>
      <c r="E5" t="s">
        <v>252</v>
      </c>
      <c r="F5" s="1">
        <v>42743</v>
      </c>
      <c r="G5">
        <v>60</v>
      </c>
      <c r="H5" t="s">
        <v>267</v>
      </c>
      <c r="J5" s="23">
        <f>MATCH(E5,Culturas!$B$38:$B$54,0)</f>
        <v>4</v>
      </c>
      <c r="K5" s="139">
        <f>INDEX(Culturas!$E$2:$E$28,MATCH(Operações!E5,Culturas!$C$2:$C$29,0))</f>
        <v>42743</v>
      </c>
      <c r="L5" s="23">
        <f t="shared" si="3"/>
        <v>4</v>
      </c>
      <c r="M5" s="68" t="s">
        <v>266</v>
      </c>
      <c r="O5" s="23" t="str">
        <f t="shared" si="0"/>
        <v>Macieira</v>
      </c>
      <c r="R5" s="10" t="str">
        <f t="shared" si="1"/>
        <v>INSERT INTO Operacao (idOperacao, designacaoOperacaoAgricola, designacaoUnidade, quantidade, dataOperacao) VALUES (4, 'Plantação', 'un',   600.0,  TO_DATE('08/01/Sunday', 'DD/MM/YYYY'));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N5" s="90" t="str">
        <f t="shared" si="2"/>
        <v>INSERT INTO OperacaoCultura (idOperacao, nomeParcela, dataInicial, nomeComum, variedade) VALUES (4, 'Lameiro da ponte', TO_DATE('08/01/Sunday', 'DD/MM/YYYY'), 'Macieira', UPPER('Fuji') );</v>
      </c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</row>
    <row r="6" spans="1:60" ht="15" hidden="1" thickTop="1" thickBot="1">
      <c r="A6" s="64">
        <v>104</v>
      </c>
      <c r="B6" s="64" t="s">
        <v>220</v>
      </c>
      <c r="C6" s="63" t="s">
        <v>289</v>
      </c>
      <c r="D6" s="64"/>
      <c r="E6" s="64" t="s">
        <v>253</v>
      </c>
      <c r="F6" s="65">
        <v>42743</v>
      </c>
      <c r="G6" s="64">
        <v>40</v>
      </c>
      <c r="H6" s="64" t="s">
        <v>267</v>
      </c>
      <c r="I6" s="64"/>
      <c r="J6" s="64">
        <f>MATCH(E6,Culturas!$B$38:$B$54,0)</f>
        <v>5</v>
      </c>
      <c r="K6" s="146">
        <f>INDEX(Culturas!$E$2:$E$28,MATCH(Operações!E6,Culturas!$C$2:$C$29,0))</f>
        <v>42743</v>
      </c>
      <c r="L6" s="23">
        <f t="shared" si="3"/>
        <v>5</v>
      </c>
      <c r="M6" s="68" t="s">
        <v>266</v>
      </c>
      <c r="O6" s="23" t="str">
        <f t="shared" si="0"/>
        <v>Macieira</v>
      </c>
      <c r="R6" s="10" t="str">
        <f t="shared" si="1"/>
        <v>INSERT INTO Operacao (idOperacao, designacaoOperacaoAgricola, designacaoUnidade, quantidade, dataOperacao) VALUES (5, 'Plantação', 'un',   400.0,  TO_DATE('08/01/Sunday', 'DD/MM/YYYY'));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N6" s="90" t="str">
        <f t="shared" si="2"/>
        <v>INSERT INTO OperacaoCultura (idOperacao, nomeParcela, dataInicial, nomeComum, variedade) VALUES (5, 'Lameiro da ponte', TO_DATE('08/01/Sunday', 'DD/MM/YYYY'), 'Macieira', UPPER('Royal Gala') );</v>
      </c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</row>
    <row r="7" spans="1:60" ht="15" hidden="1" thickTop="1" thickBot="1">
      <c r="A7">
        <v>102</v>
      </c>
      <c r="B7" t="s">
        <v>218</v>
      </c>
      <c r="C7" t="s">
        <v>234</v>
      </c>
      <c r="E7" t="s">
        <v>244</v>
      </c>
      <c r="F7" s="1">
        <v>42919</v>
      </c>
      <c r="G7">
        <v>0.4</v>
      </c>
      <c r="H7" t="s">
        <v>236</v>
      </c>
      <c r="J7" s="23">
        <f>MATCH(E7,Culturas!$B$38:$B$54,0)</f>
        <v>2</v>
      </c>
      <c r="K7" s="35">
        <f>INDEX(Culturas!$E$12:$E$13,MATCH(Operações!E7,Culturas!$C$12:$C$13,0))</f>
        <v>42653</v>
      </c>
      <c r="L7" s="23">
        <f t="shared" si="3"/>
        <v>6</v>
      </c>
      <c r="M7" s="68" t="s">
        <v>266</v>
      </c>
      <c r="O7" s="23" t="str">
        <f t="shared" si="0"/>
        <v>Oliveira</v>
      </c>
      <c r="R7" s="10" t="str">
        <f xml:space="preserve"> "INSERT INTO " &amp;$T$1&amp; " (idOperacao, designacaoOperacaoAgricola, designacaoUnidade, quantidade, dataOperacao) VALUES (" &amp;L7&amp; ", '" &amp;C7&amp; "', " &amp;IF(ISBLANK(H7), "null", "'" &amp;H7&amp; "'" )&amp; ",   "&amp;IF(ISBLANK(G7), "null",TEXT(SUBSTITUTE(G7, "%", "") * 10, "0.0"))&amp;",  TO_DATE('"&amp;TEXT(F7,"DD/MM/AAAA")&amp; " - " &amp;TEXT(N7,"hh:mm") &amp;"', 'DD/MM/YYYY - HH:MI'));"</f>
        <v>INSERT INTO Operacao (idOperacao, designacaoOperacaoAgricola, designacaoUnidade, quantidade, dataOperacao) VALUES (6, 'Rega', 'm3',   4.0,  TO_DATE('03/07/Monday - 00:00', 'DD/MM/YYYY - HH:MI'));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N7" s="90" t="str">
        <f t="shared" si="2"/>
        <v>INSERT INTO OperacaoCultura (idOperacao, nomeParcela, dataInicial, nomeComum, variedade) VALUES (6, 'Campo Grande', TO_DATE('10/10/Monday', 'DD/MM/YYYY'), 'Oliveira', UPPER('Picual') );</v>
      </c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</row>
    <row r="8" spans="1:60" ht="15" hidden="1" thickTop="1" thickBot="1">
      <c r="A8">
        <v>102</v>
      </c>
      <c r="B8" t="s">
        <v>218</v>
      </c>
      <c r="C8" t="s">
        <v>234</v>
      </c>
      <c r="E8" t="s">
        <v>243</v>
      </c>
      <c r="F8" s="1">
        <v>42919</v>
      </c>
      <c r="G8">
        <v>0.9</v>
      </c>
      <c r="H8" t="s">
        <v>236</v>
      </c>
      <c r="J8" s="23">
        <f>MATCH(E8,Culturas!$B$38:$B$54,0)</f>
        <v>1</v>
      </c>
      <c r="K8" s="35">
        <f>INDEX(Culturas!$E$12:$E$13,MATCH(Operações!E8,Culturas!$C$12:$C$13,0))</f>
        <v>42649</v>
      </c>
      <c r="L8" s="23">
        <f t="shared" si="3"/>
        <v>7</v>
      </c>
      <c r="M8" s="68" t="s">
        <v>266</v>
      </c>
      <c r="O8" s="23" t="str">
        <f t="shared" si="0"/>
        <v>Oliveira</v>
      </c>
      <c r="R8" s="10" t="str">
        <f t="shared" ref="R8:R19" si="4" xml:space="preserve"> "INSERT INTO " &amp;$T$1&amp; " (idOperacao, designacaoOperacaoAgricola, designacaoUnidade, quantidade, dataOperacao) VALUES (" &amp;L8&amp; ", '" &amp;C8&amp; "', " &amp;IF(ISBLANK(H8), "null", "'" &amp;H8&amp; "'" )&amp; ",   "&amp;IF(ISBLANK(G8), "null",TEXT(SUBSTITUTE(G8, "%", "") * 10, "0.0"))&amp;",  TO_DATE('"&amp;TEXT(F8,"DD/MM/AAAA")&amp; " - " &amp;TEXT(N8,"hh:mm") &amp;"', 'DD/MM/YYYY - HH:MI'));"</f>
        <v>INSERT INTO Operacao (idOperacao, designacaoOperacaoAgricola, designacaoUnidade, quantidade, dataOperacao) VALUES (7, 'Rega', 'm3',   9.0,  TO_DATE('03/07/Monday - 00:00', 'DD/MM/YYYY - HH:MI'));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N8" s="90" t="str">
        <f t="shared" si="2"/>
        <v>INSERT INTO OperacaoCultura (idOperacao, nomeParcela, dataInicial, nomeComum, variedade) VALUES (7, 'Campo Grande', TO_DATE('06/10/Thursday', 'DD/MM/YYYY'), 'Oliveira', UPPER('Galega') );</v>
      </c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</row>
    <row r="9" spans="1:60" ht="15" hidden="1" thickTop="1" thickBot="1">
      <c r="A9" s="37">
        <v>104</v>
      </c>
      <c r="B9" s="37" t="s">
        <v>220</v>
      </c>
      <c r="C9" s="37" t="s">
        <v>234</v>
      </c>
      <c r="D9" s="37"/>
      <c r="E9" s="37" t="s">
        <v>251</v>
      </c>
      <c r="F9" s="38">
        <v>42926</v>
      </c>
      <c r="G9" s="37">
        <v>3</v>
      </c>
      <c r="H9" s="37" t="str">
        <f>"m3"</f>
        <v>m3</v>
      </c>
      <c r="I9" s="37"/>
      <c r="J9" s="37">
        <f>MATCH(E9,Culturas!$B$38:$B$54,0)</f>
        <v>3</v>
      </c>
      <c r="K9" s="143">
        <f>INDEX(Culturas!$E$2:$E$28,MATCH(Operações!E9,Culturas!$C$2:$C$29,0))</f>
        <v>42742</v>
      </c>
      <c r="L9" s="23">
        <f t="shared" si="3"/>
        <v>8</v>
      </c>
      <c r="M9" s="68" t="s">
        <v>266</v>
      </c>
      <c r="O9" s="23" t="str">
        <f t="shared" si="0"/>
        <v>Macieira</v>
      </c>
      <c r="R9" s="10" t="str">
        <f t="shared" si="4"/>
        <v>INSERT INTO Operacao (idOperacao, designacaoOperacaoAgricola, designacaoUnidade, quantidade, dataOperacao) VALUES (8, 'Rega', 'm3',   30.0,  TO_DATE('10/07/Monday - 00:00', 'DD/MM/YYYY - HH:MI'));</v>
      </c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10"/>
      <c r="AJ9" s="10"/>
      <c r="AK9" s="10"/>
      <c r="AL9" s="10"/>
      <c r="AN9" s="90" t="str">
        <f t="shared" si="2"/>
        <v>INSERT INTO OperacaoCultura (idOperacao, nomeParcela, dataInicial, nomeComum, variedade) VALUES (8, 'Lameiro da ponte', TO_DATE('07/01/Saturday', 'DD/MM/YYYY'), 'Macieira', UPPER('Jonagored') );</v>
      </c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</row>
    <row r="10" spans="1:60" ht="15" hidden="1" thickTop="1" thickBot="1">
      <c r="A10" s="37">
        <v>104</v>
      </c>
      <c r="B10" s="37" t="s">
        <v>220</v>
      </c>
      <c r="C10" s="37" t="s">
        <v>234</v>
      </c>
      <c r="D10" s="37"/>
      <c r="E10" s="37" t="s">
        <v>252</v>
      </c>
      <c r="F10" s="38">
        <v>42926</v>
      </c>
      <c r="G10" s="37">
        <v>3</v>
      </c>
      <c r="H10" s="37" t="str">
        <f>"m3"</f>
        <v>m3</v>
      </c>
      <c r="I10" s="37"/>
      <c r="J10" s="37">
        <f>MATCH(E10,Culturas!$B$38:$B$54,0)</f>
        <v>4</v>
      </c>
      <c r="K10" s="143">
        <f>INDEX(Culturas!$E$2:$E$28,MATCH(Operações!E10,Culturas!$C$2:$C$29,0))</f>
        <v>42743</v>
      </c>
      <c r="L10" s="23">
        <f t="shared" si="3"/>
        <v>9</v>
      </c>
      <c r="M10" s="68" t="s">
        <v>266</v>
      </c>
      <c r="O10" s="23" t="str">
        <f t="shared" si="0"/>
        <v>Macieira</v>
      </c>
      <c r="R10" s="10" t="str">
        <f t="shared" si="4"/>
        <v>INSERT INTO Operacao (idOperacao, designacaoOperacaoAgricola, designacaoUnidade, quantidade, dataOperacao) VALUES (9, 'Rega', 'm3',   30.0,  TO_DATE('10/07/Monday - 00:00', 'DD/MM/YYYY - HH:MI'));</v>
      </c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10"/>
      <c r="AJ10" s="10"/>
      <c r="AK10" s="10"/>
      <c r="AL10" s="10"/>
      <c r="AN10" s="90" t="str">
        <f t="shared" si="2"/>
        <v>INSERT INTO OperacaoCultura (idOperacao, nomeParcela, dataInicial, nomeComum, variedade) VALUES (9, 'Lameiro da ponte', TO_DATE('08/01/Sunday', 'DD/MM/YYYY'), 'Macieira', UPPER('Fuji') );</v>
      </c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</row>
    <row r="11" spans="1:60" ht="15" hidden="1" thickTop="1" thickBot="1">
      <c r="A11" s="37">
        <v>104</v>
      </c>
      <c r="B11" s="37" t="s">
        <v>220</v>
      </c>
      <c r="C11" s="37" t="s">
        <v>234</v>
      </c>
      <c r="D11" s="37"/>
      <c r="E11" s="37" t="s">
        <v>253</v>
      </c>
      <c r="F11" s="38">
        <v>42926</v>
      </c>
      <c r="G11" s="37">
        <v>3</v>
      </c>
      <c r="H11" s="37" t="str">
        <f>"m3"</f>
        <v>m3</v>
      </c>
      <c r="I11" s="37"/>
      <c r="J11" s="37">
        <f>MATCH(E11,Culturas!$B$38:$B$54,0)</f>
        <v>5</v>
      </c>
      <c r="K11" s="143">
        <f>INDEX(Culturas!$E$2:$E$28,MATCH(Operações!E11,Culturas!$C$2:$C$29,0))</f>
        <v>42743</v>
      </c>
      <c r="L11" s="23">
        <f t="shared" si="3"/>
        <v>10</v>
      </c>
      <c r="M11" s="68" t="s">
        <v>266</v>
      </c>
      <c r="O11" s="23" t="str">
        <f t="shared" si="0"/>
        <v>Macieira</v>
      </c>
      <c r="R11" s="10" t="str">
        <f t="shared" si="4"/>
        <v>INSERT INTO Operacao (idOperacao, designacaoOperacaoAgricola, designacaoUnidade, quantidade, dataOperacao) VALUES (10, 'Rega', 'm3',   30.0,  TO_DATE('10/07/Monday - 00:00', 'DD/MM/YYYY - HH:MI'));</v>
      </c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10"/>
      <c r="AJ11" s="10"/>
      <c r="AK11" s="10"/>
      <c r="AL11" s="10"/>
      <c r="AN11" s="90" t="str">
        <f t="shared" si="2"/>
        <v>INSERT INTO OperacaoCultura (idOperacao, nomeParcela, dataInicial, nomeComum, variedade) VALUES (10, 'Lameiro da ponte', TO_DATE('08/01/Sunday', 'DD/MM/YYYY'), 'Macieira', UPPER('Royal Gala') );</v>
      </c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</row>
    <row r="12" spans="1:60" ht="15" hidden="1" thickTop="1" thickBot="1">
      <c r="A12">
        <v>102</v>
      </c>
      <c r="B12" t="s">
        <v>218</v>
      </c>
      <c r="C12" t="s">
        <v>234</v>
      </c>
      <c r="E12" t="s">
        <v>244</v>
      </c>
      <c r="F12" s="1">
        <v>42957</v>
      </c>
      <c r="G12">
        <v>0.4</v>
      </c>
      <c r="H12" t="s">
        <v>236</v>
      </c>
      <c r="J12" s="23">
        <f>MATCH(E12,Culturas!$B$38:$B$54,0)</f>
        <v>2</v>
      </c>
      <c r="K12" s="35">
        <f>INDEX(Culturas!$E$12:$E$13,MATCH(Operações!E12,Culturas!$C$12:$C$13,0))</f>
        <v>42653</v>
      </c>
      <c r="L12" s="23">
        <f t="shared" si="3"/>
        <v>11</v>
      </c>
      <c r="M12" s="68" t="s">
        <v>266</v>
      </c>
      <c r="O12" s="23" t="str">
        <f t="shared" si="0"/>
        <v>Oliveira</v>
      </c>
      <c r="R12" s="10" t="str">
        <f t="shared" si="4"/>
        <v>INSERT INTO Operacao (idOperacao, designacaoOperacaoAgricola, designacaoUnidade, quantidade, dataOperacao) VALUES (11, 'Rega', 'm3',   4.0,  TO_DATE('10/08/Thursday - 00:00', 'DD/MM/YYYY - HH:MI'));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N12" s="90" t="str">
        <f t="shared" si="2"/>
        <v>INSERT INTO OperacaoCultura (idOperacao, nomeParcela, dataInicial, nomeComum, variedade) VALUES (11, 'Campo Grande', TO_DATE('10/10/Monday', 'DD/MM/YYYY'), 'Oliveira', UPPER('Picual') );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</row>
    <row r="13" spans="1:60" ht="15" hidden="1" thickTop="1" thickBot="1">
      <c r="A13">
        <v>102</v>
      </c>
      <c r="B13" t="s">
        <v>218</v>
      </c>
      <c r="C13" t="s">
        <v>234</v>
      </c>
      <c r="E13" t="s">
        <v>243</v>
      </c>
      <c r="F13" s="1">
        <v>42957</v>
      </c>
      <c r="G13">
        <v>0.9</v>
      </c>
      <c r="H13" t="s">
        <v>236</v>
      </c>
      <c r="J13" s="23">
        <f>MATCH(E13,Culturas!$B$38:$B$54,0)</f>
        <v>1</v>
      </c>
      <c r="K13" s="35">
        <f>INDEX(Culturas!$E$12:$E$13,MATCH(Operações!E13,Culturas!$C$12:$C$13,0))</f>
        <v>42649</v>
      </c>
      <c r="L13" s="23">
        <f t="shared" si="3"/>
        <v>12</v>
      </c>
      <c r="M13" s="68" t="s">
        <v>266</v>
      </c>
      <c r="O13" s="23" t="str">
        <f t="shared" si="0"/>
        <v>Oliveira</v>
      </c>
      <c r="R13" s="10" t="str">
        <f t="shared" si="4"/>
        <v>INSERT INTO Operacao (idOperacao, designacaoOperacaoAgricola, designacaoUnidade, quantidade, dataOperacao) VALUES (12, 'Rega', 'm3',   9.0,  TO_DATE('10/08/Thursday - 00:00', 'DD/MM/YYYY - HH:MI'));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N13" s="90" t="str">
        <f t="shared" si="2"/>
        <v>INSERT INTO OperacaoCultura (idOperacao, nomeParcela, dataInicial, nomeComum, variedade) VALUES (12, 'Campo Grande', TO_DATE('06/10/Thursday', 'DD/MM/YYYY'), 'Oliveira', UPPER('Galega') );</v>
      </c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</row>
    <row r="14" spans="1:60" ht="15" hidden="1" thickTop="1" thickBot="1">
      <c r="A14" s="37">
        <v>104</v>
      </c>
      <c r="B14" s="37" t="s">
        <v>220</v>
      </c>
      <c r="C14" s="37" t="s">
        <v>234</v>
      </c>
      <c r="D14" s="37"/>
      <c r="E14" s="37" t="s">
        <v>251</v>
      </c>
      <c r="F14" s="38">
        <v>42957</v>
      </c>
      <c r="G14" s="37">
        <v>3.5</v>
      </c>
      <c r="H14" s="37" t="str">
        <f t="shared" ref="H14:H19" si="5">"m3"</f>
        <v>m3</v>
      </c>
      <c r="I14" s="37"/>
      <c r="J14" s="37">
        <f>MATCH(E14,Culturas!$B$38:$B$54,0)</f>
        <v>3</v>
      </c>
      <c r="K14" s="143">
        <f>INDEX(Culturas!$E$2:$E$28,MATCH(Operações!E14,Culturas!$C$2:$C$29,0))</f>
        <v>42742</v>
      </c>
      <c r="L14" s="23">
        <f t="shared" si="3"/>
        <v>13</v>
      </c>
      <c r="M14" s="68" t="s">
        <v>266</v>
      </c>
      <c r="O14" s="23" t="str">
        <f t="shared" si="0"/>
        <v>Macieira</v>
      </c>
      <c r="R14" s="10" t="str">
        <f t="shared" si="4"/>
        <v>INSERT INTO Operacao (idOperacao, designacaoOperacaoAgricola, designacaoUnidade, quantidade, dataOperacao) VALUES (13, 'Rega', 'm3',   35.0,  TO_DATE('10/08/Thursday - 00:00', 'DD/MM/YYYY - HH:MI'));</v>
      </c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10"/>
      <c r="AJ14" s="10"/>
      <c r="AK14" s="10"/>
      <c r="AL14" s="10"/>
      <c r="AN14" s="90" t="str">
        <f t="shared" si="2"/>
        <v>INSERT INTO OperacaoCultura (idOperacao, nomeParcela, dataInicial, nomeComum, variedade) VALUES (13, 'Lameiro da ponte', TO_DATE('07/01/Saturday', 'DD/MM/YYYY'), 'Macieira', UPPER('Jonagored') );</v>
      </c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</row>
    <row r="15" spans="1:60" ht="15" hidden="1" thickTop="1" thickBot="1">
      <c r="A15" s="37">
        <v>104</v>
      </c>
      <c r="B15" s="37" t="s">
        <v>220</v>
      </c>
      <c r="C15" s="37" t="s">
        <v>234</v>
      </c>
      <c r="D15" s="37"/>
      <c r="E15" s="37" t="s">
        <v>252</v>
      </c>
      <c r="F15" s="38">
        <v>42957</v>
      </c>
      <c r="G15" s="37">
        <v>3.5</v>
      </c>
      <c r="H15" s="37" t="str">
        <f t="shared" si="5"/>
        <v>m3</v>
      </c>
      <c r="I15" s="37"/>
      <c r="J15" s="37">
        <f>MATCH(E15,Culturas!$B$38:$B$54,0)</f>
        <v>4</v>
      </c>
      <c r="K15" s="143">
        <f>INDEX(Culturas!$E$2:$E$28,MATCH(Operações!E15,Culturas!$C$2:$C$29,0))</f>
        <v>42743</v>
      </c>
      <c r="L15" s="23">
        <f t="shared" si="3"/>
        <v>14</v>
      </c>
      <c r="M15" s="68" t="s">
        <v>266</v>
      </c>
      <c r="O15" s="23" t="str">
        <f t="shared" si="0"/>
        <v>Macieira</v>
      </c>
      <c r="R15" s="10" t="str">
        <f t="shared" si="4"/>
        <v>INSERT INTO Operacao (idOperacao, designacaoOperacaoAgricola, designacaoUnidade, quantidade, dataOperacao) VALUES (14, 'Rega', 'm3',   35.0,  TO_DATE('10/08/Thursday - 00:00', 'DD/MM/YYYY - HH:MI'));</v>
      </c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10"/>
      <c r="AJ15" s="10"/>
      <c r="AK15" s="10"/>
      <c r="AL15" s="10"/>
      <c r="AN15" s="90" t="str">
        <f t="shared" si="2"/>
        <v>INSERT INTO OperacaoCultura (idOperacao, nomeParcela, dataInicial, nomeComum, variedade) VALUES (14, 'Lameiro da ponte', TO_DATE('08/01/Sunday', 'DD/MM/YYYY'), 'Macieira', UPPER('Fuji') );</v>
      </c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</row>
    <row r="16" spans="1:60" ht="15" hidden="1" thickTop="1" thickBot="1">
      <c r="A16" s="49">
        <v>104</v>
      </c>
      <c r="B16" s="49" t="s">
        <v>220</v>
      </c>
      <c r="C16" s="49" t="s">
        <v>234</v>
      </c>
      <c r="D16" s="49"/>
      <c r="E16" s="49" t="s">
        <v>253</v>
      </c>
      <c r="F16" s="50">
        <v>42957</v>
      </c>
      <c r="G16" s="49">
        <v>3.5</v>
      </c>
      <c r="H16" s="49" t="str">
        <f t="shared" si="5"/>
        <v>m3</v>
      </c>
      <c r="I16" s="49"/>
      <c r="J16" s="49">
        <f>MATCH(E16,Culturas!$B$38:$B$54,0)</f>
        <v>5</v>
      </c>
      <c r="K16" s="145">
        <f>INDEX(Culturas!$E$2:$E$28,MATCH(Operações!E16,Culturas!$C$2:$C$29,0))</f>
        <v>42743</v>
      </c>
      <c r="L16" s="23">
        <f t="shared" si="3"/>
        <v>15</v>
      </c>
      <c r="M16" s="68" t="s">
        <v>266</v>
      </c>
      <c r="O16" s="23" t="str">
        <f t="shared" si="0"/>
        <v>Macieira</v>
      </c>
      <c r="R16" s="10" t="str">
        <f t="shared" si="4"/>
        <v>INSERT INTO Operacao (idOperacao, designacaoOperacaoAgricola, designacaoUnidade, quantidade, dataOperacao) VALUES (15, 'Rega', 'm3',   35.0,  TO_DATE('10/08/Thursday - 00:00', 'DD/MM/YYYY - HH:MI'));</v>
      </c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10"/>
      <c r="AJ16" s="10"/>
      <c r="AK16" s="10"/>
      <c r="AL16" s="10"/>
      <c r="AN16" s="90" t="str">
        <f t="shared" si="2"/>
        <v>INSERT INTO OperacaoCultura (idOperacao, nomeParcela, dataInicial, nomeComum, variedade) VALUES (15, 'Lameiro da ponte', TO_DATE('08/01/Sunday', 'DD/MM/YYYY'), 'Macieira', UPPER('Royal Gala') );</v>
      </c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</row>
    <row r="17" spans="1:59" ht="15" hidden="1" thickTop="1" thickBot="1">
      <c r="A17" s="37">
        <v>104</v>
      </c>
      <c r="B17" s="37" t="s">
        <v>220</v>
      </c>
      <c r="C17" s="37" t="s">
        <v>234</v>
      </c>
      <c r="D17" s="37"/>
      <c r="E17" s="37" t="s">
        <v>251</v>
      </c>
      <c r="F17" s="38">
        <v>42988</v>
      </c>
      <c r="G17" s="37">
        <v>3</v>
      </c>
      <c r="H17" s="37" t="str">
        <f t="shared" si="5"/>
        <v>m3</v>
      </c>
      <c r="I17" s="37"/>
      <c r="J17" s="37">
        <f>MATCH(E17,Culturas!$B$38:$B$54,0)</f>
        <v>3</v>
      </c>
      <c r="K17" s="143">
        <f>INDEX(Culturas!$E$2:$E$28,MATCH(Operações!E17,Culturas!$C$2:$C$29,0))</f>
        <v>42742</v>
      </c>
      <c r="L17" s="23">
        <f t="shared" si="3"/>
        <v>16</v>
      </c>
      <c r="M17" s="68" t="s">
        <v>266</v>
      </c>
      <c r="O17" s="23" t="str">
        <f t="shared" si="0"/>
        <v>Macieira</v>
      </c>
      <c r="R17" s="10" t="str">
        <f t="shared" si="4"/>
        <v>INSERT INTO Operacao (idOperacao, designacaoOperacaoAgricola, designacaoUnidade, quantidade, dataOperacao) VALUES (16, 'Rega', 'm3',   30.0,  TO_DATE('10/09/Sunday - 00:00', 'DD/MM/YYYY - HH:MI'));</v>
      </c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10"/>
      <c r="AJ17" s="10"/>
      <c r="AK17" s="10"/>
      <c r="AL17" s="10"/>
      <c r="AN17" s="90" t="str">
        <f t="shared" si="2"/>
        <v>INSERT INTO OperacaoCultura (idOperacao, nomeParcela, dataInicial, nomeComum, variedade) VALUES (16, 'Lameiro da ponte', TO_DATE('07/01/Saturday', 'DD/MM/YYYY'), 'Macieira', UPPER('Jonagored') );</v>
      </c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</row>
    <row r="18" spans="1:59" ht="15" hidden="1" thickTop="1" thickBot="1">
      <c r="A18" s="37">
        <v>104</v>
      </c>
      <c r="B18" s="37" t="s">
        <v>220</v>
      </c>
      <c r="C18" s="37" t="s">
        <v>234</v>
      </c>
      <c r="D18" s="37"/>
      <c r="E18" s="37" t="s">
        <v>252</v>
      </c>
      <c r="F18" s="38">
        <v>42988</v>
      </c>
      <c r="G18" s="37">
        <v>3</v>
      </c>
      <c r="H18" s="37" t="str">
        <f t="shared" si="5"/>
        <v>m3</v>
      </c>
      <c r="I18" s="37"/>
      <c r="J18" s="37">
        <f>MATCH(E18,Culturas!$B$38:$B$54,0)</f>
        <v>4</v>
      </c>
      <c r="K18" s="143">
        <f>INDEX(Culturas!$E$2:$E$28,MATCH(Operações!E18,Culturas!$C$2:$C$29,0))</f>
        <v>42743</v>
      </c>
      <c r="L18" s="23">
        <f t="shared" si="3"/>
        <v>17</v>
      </c>
      <c r="M18" s="68" t="s">
        <v>266</v>
      </c>
      <c r="O18" s="23" t="str">
        <f t="shared" si="0"/>
        <v>Macieira</v>
      </c>
      <c r="R18" s="10" t="str">
        <f t="shared" si="4"/>
        <v>INSERT INTO Operacao (idOperacao, designacaoOperacaoAgricola, designacaoUnidade, quantidade, dataOperacao) VALUES (17, 'Rega', 'm3',   30.0,  TO_DATE('10/09/Sunday - 00:00', 'DD/MM/YYYY - HH:MI'));</v>
      </c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10"/>
      <c r="AJ18" s="10"/>
      <c r="AK18" s="10"/>
      <c r="AL18" s="10"/>
      <c r="AN18" s="90" t="str">
        <f t="shared" si="2"/>
        <v>INSERT INTO OperacaoCultura (idOperacao, nomeParcela, dataInicial, nomeComum, variedade) VALUES (17, 'Lameiro da ponte', TO_DATE('08/01/Sunday', 'DD/MM/YYYY'), 'Macieira', UPPER('Fuji') );</v>
      </c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</row>
    <row r="19" spans="1:59" ht="15" hidden="1" thickTop="1" thickBot="1">
      <c r="A19" s="37">
        <v>104</v>
      </c>
      <c r="B19" s="37" t="s">
        <v>220</v>
      </c>
      <c r="C19" s="37" t="s">
        <v>234</v>
      </c>
      <c r="D19" s="37"/>
      <c r="E19" s="37" t="s">
        <v>253</v>
      </c>
      <c r="F19" s="38">
        <v>42988</v>
      </c>
      <c r="G19" s="37">
        <v>3</v>
      </c>
      <c r="H19" s="37" t="str">
        <f t="shared" si="5"/>
        <v>m3</v>
      </c>
      <c r="I19" s="37"/>
      <c r="J19" s="37">
        <f>MATCH(E19,Culturas!$B$38:$B$54,0)</f>
        <v>5</v>
      </c>
      <c r="K19" s="143">
        <f>INDEX(Culturas!$E$2:$E$28,MATCH(Operações!E19,Culturas!$C$2:$C$29,0))</f>
        <v>42743</v>
      </c>
      <c r="L19" s="23">
        <f t="shared" si="3"/>
        <v>18</v>
      </c>
      <c r="M19" s="68" t="s">
        <v>266</v>
      </c>
      <c r="O19" s="23" t="str">
        <f t="shared" si="0"/>
        <v>Macieira</v>
      </c>
      <c r="R19" s="10" t="str">
        <f t="shared" si="4"/>
        <v>INSERT INTO Operacao (idOperacao, designacaoOperacaoAgricola, designacaoUnidade, quantidade, dataOperacao) VALUES (18, 'Rega', 'm3',   30.0,  TO_DATE('10/09/Sunday - 00:00', 'DD/MM/YYYY - HH:MI'));</v>
      </c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10"/>
      <c r="AJ19" s="10"/>
      <c r="AK19" s="10"/>
      <c r="AL19" s="10"/>
      <c r="AN19" s="90" t="str">
        <f t="shared" si="2"/>
        <v>INSERT INTO OperacaoCultura (idOperacao, nomeParcela, dataInicial, nomeComum, variedade) VALUES (18, 'Lameiro da ponte', TO_DATE('08/01/Sunday', 'DD/MM/YYYY'), 'Macieira', UPPER('Royal Gala') );</v>
      </c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</row>
    <row r="20" spans="1:59" ht="15" hidden="1" thickTop="1" thickBot="1">
      <c r="A20">
        <v>102</v>
      </c>
      <c r="B20" t="s">
        <v>218</v>
      </c>
      <c r="C20" t="s">
        <v>5</v>
      </c>
      <c r="E20" t="s">
        <v>243</v>
      </c>
      <c r="F20" s="1">
        <v>43043</v>
      </c>
      <c r="G20">
        <v>30</v>
      </c>
      <c r="H20" t="s">
        <v>267</v>
      </c>
      <c r="J20" s="23">
        <f>MATCH(E20,Culturas!$B$38:$B$54,0)</f>
        <v>1</v>
      </c>
      <c r="K20" s="35">
        <f>INDEX(Culturas!$E$12:$E$13,MATCH(Operações!E20,Culturas!$C$12:$C$13,0))</f>
        <v>42649</v>
      </c>
      <c r="L20" s="23">
        <f t="shared" si="3"/>
        <v>19</v>
      </c>
      <c r="M20" s="68" t="s">
        <v>266</v>
      </c>
      <c r="O20" s="23" t="str">
        <f t="shared" si="0"/>
        <v>Oliveira</v>
      </c>
      <c r="R20" s="10" t="str">
        <f t="shared" si="1"/>
        <v>INSERT INTO Operacao (idOperacao, designacaoOperacaoAgricola, designacaoUnidade, quantidade, dataOperacao) VALUES (19, 'Poda', 'un',   300.0,  TO_DATE('04/11/Saturday', 'DD/MM/YYYY'));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N20" s="90" t="str">
        <f t="shared" si="2"/>
        <v>INSERT INTO OperacaoCultura (idOperacao, nomeParcela, dataInicial, nomeComum, variedade) VALUES (19, 'Campo Grande', TO_DATE('06/10/Thursday', 'DD/MM/YYYY'), 'Oliveira', UPPER('Galega') );</v>
      </c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</row>
    <row r="21" spans="1:59" ht="15" hidden="1" thickTop="1" thickBot="1">
      <c r="A21">
        <v>102</v>
      </c>
      <c r="B21" t="s">
        <v>218</v>
      </c>
      <c r="C21" t="s">
        <v>5</v>
      </c>
      <c r="E21" t="s">
        <v>244</v>
      </c>
      <c r="F21" s="1">
        <v>43043</v>
      </c>
      <c r="G21">
        <v>20</v>
      </c>
      <c r="H21" t="s">
        <v>267</v>
      </c>
      <c r="J21" s="23">
        <f>MATCH(E21,Culturas!$B$38:$B$54,0)</f>
        <v>2</v>
      </c>
      <c r="K21" s="35">
        <f>INDEX(Culturas!$E$12:$E$13,MATCH(Operações!E21,Culturas!$C$12:$C$13,0))</f>
        <v>42653</v>
      </c>
      <c r="L21" s="23">
        <f t="shared" si="3"/>
        <v>20</v>
      </c>
      <c r="M21" s="68" t="s">
        <v>266</v>
      </c>
      <c r="O21" s="23" t="str">
        <f t="shared" si="0"/>
        <v>Oliveira</v>
      </c>
      <c r="R21" s="10" t="str">
        <f t="shared" si="1"/>
        <v>INSERT INTO Operacao (idOperacao, designacaoOperacaoAgricola, designacaoUnidade, quantidade, dataOperacao) VALUES (20, 'Poda', 'un',   200.0,  TO_DATE('04/11/Saturday', 'DD/MM/YYYY'));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N21" s="90" t="str">
        <f t="shared" si="2"/>
        <v>INSERT INTO OperacaoCultura (idOperacao, nomeParcela, dataInicial, nomeComum, variedade) VALUES (20, 'Campo Grande', TO_DATE('10/10/Monday', 'DD/MM/YYYY'), 'Oliveira', UPPER('Picual') );</v>
      </c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</row>
    <row r="22" spans="1:59" ht="15" hidden="1" thickTop="1" thickBot="1">
      <c r="A22">
        <v>102</v>
      </c>
      <c r="B22" t="s">
        <v>218</v>
      </c>
      <c r="C22" t="s">
        <v>290</v>
      </c>
      <c r="D22" t="s">
        <v>291</v>
      </c>
      <c r="E22" t="s">
        <v>243</v>
      </c>
      <c r="F22" s="1">
        <v>43079</v>
      </c>
      <c r="G22">
        <v>15</v>
      </c>
      <c r="H22" t="s">
        <v>292</v>
      </c>
      <c r="I22" t="s">
        <v>172</v>
      </c>
      <c r="J22" s="23">
        <f>MATCH(E22,Culturas!$B$38:$B$54,0)</f>
        <v>1</v>
      </c>
      <c r="K22" s="35">
        <f>INDEX(Culturas!$E$12:$E$13,MATCH(Operações!E22,Culturas!$C$12:$C$13,0))</f>
        <v>42649</v>
      </c>
      <c r="L22" s="84">
        <f t="shared" si="3"/>
        <v>21</v>
      </c>
      <c r="M22" s="68" t="s">
        <v>266</v>
      </c>
      <c r="O22" s="23" t="str">
        <f t="shared" si="0"/>
        <v>Oliveira</v>
      </c>
      <c r="R22" s="10" t="str">
        <f t="shared" si="1"/>
        <v>INSERT INTO Operacao (idOperacao, designacaoOperacaoAgricola, designacaoUnidade, quantidade, dataOperacao) VALUES (21, 'Fertilização', 'kg',   150.0,  TO_DATE('10/12/Sunday', 'DD/MM/YYYY'));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N22" s="90" t="str">
        <f t="shared" si="2"/>
        <v>INSERT INTO OperacaoCultura (idOperacao, nomeParcela, dataInicial, nomeComum, variedade) VALUES (21, 'Campo Grande', TO_DATE('06/10/Thursday', 'DD/MM/YYYY'), 'Oliveira', UPPER('Galega') );</v>
      </c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</row>
    <row r="23" spans="1:59" ht="15" hidden="1" thickTop="1" thickBot="1">
      <c r="A23">
        <v>102</v>
      </c>
      <c r="B23" t="s">
        <v>218</v>
      </c>
      <c r="C23" t="s">
        <v>290</v>
      </c>
      <c r="D23" t="s">
        <v>291</v>
      </c>
      <c r="E23" t="s">
        <v>244</v>
      </c>
      <c r="F23" s="1">
        <v>43079</v>
      </c>
      <c r="G23">
        <v>10</v>
      </c>
      <c r="H23" t="s">
        <v>292</v>
      </c>
      <c r="I23" t="s">
        <v>172</v>
      </c>
      <c r="J23" s="23">
        <f>MATCH(E23,Culturas!$B$38:$B$54,0)</f>
        <v>2</v>
      </c>
      <c r="K23" s="35">
        <f>INDEX(Culturas!$E$12:$E$13,MATCH(Operações!E23,Culturas!$C$12:$C$13,0))</f>
        <v>42653</v>
      </c>
      <c r="L23" s="84">
        <f t="shared" si="3"/>
        <v>22</v>
      </c>
      <c r="M23" s="68" t="s">
        <v>266</v>
      </c>
      <c r="O23" s="23" t="str">
        <f t="shared" si="0"/>
        <v>Oliveira</v>
      </c>
      <c r="R23" s="10" t="str">
        <f t="shared" si="1"/>
        <v>INSERT INTO Operacao (idOperacao, designacaoOperacaoAgricola, designacaoUnidade, quantidade, dataOperacao) VALUES (22, 'Fertilização', 'kg',   100.0,  TO_DATE('10/12/Sunday', 'DD/MM/YYYY'));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N23" s="90" t="str">
        <f t="shared" si="2"/>
        <v>INSERT INTO OperacaoCultura (idOperacao, nomeParcela, dataInicial, nomeComum, variedade) VALUES (22, 'Campo Grande', TO_DATE('10/10/Monday', 'DD/MM/YYYY'), 'Oliveira', UPPER('Picual') );</v>
      </c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</row>
    <row r="24" spans="1:59" ht="15" hidden="1" thickTop="1" thickBot="1">
      <c r="A24">
        <v>104</v>
      </c>
      <c r="B24" t="s">
        <v>220</v>
      </c>
      <c r="C24" t="s">
        <v>5</v>
      </c>
      <c r="E24" t="s">
        <v>251</v>
      </c>
      <c r="F24" s="1">
        <v>43107</v>
      </c>
      <c r="G24">
        <v>90</v>
      </c>
      <c r="H24" t="s">
        <v>267</v>
      </c>
      <c r="J24" s="23">
        <f>MATCH(E24,Culturas!$B$38:$B$54,0)</f>
        <v>3</v>
      </c>
      <c r="K24" s="139">
        <f>INDEX(Culturas!$E$2:$E$28,MATCH(Operações!E24,Culturas!$C$2:$C$29,0))</f>
        <v>42742</v>
      </c>
      <c r="L24" s="23">
        <f t="shared" si="3"/>
        <v>23</v>
      </c>
      <c r="M24" s="68" t="s">
        <v>266</v>
      </c>
      <c r="O24" s="23" t="str">
        <f t="shared" si="0"/>
        <v>Macieira</v>
      </c>
      <c r="R24" s="10" t="str">
        <f t="shared" si="1"/>
        <v>INSERT INTO Operacao (idOperacao, designacaoOperacaoAgricola, designacaoUnidade, quantidade, dataOperacao) VALUES (23, 'Poda', 'un',   900.0,  TO_DATE('07/01/Sunday', 'DD/MM/YYYY'));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N24" s="90" t="str">
        <f t="shared" si="2"/>
        <v>INSERT INTO OperacaoCultura (idOperacao, nomeParcela, dataInicial, nomeComum, variedade) VALUES (23, 'Lameiro da ponte', TO_DATE('07/01/Saturday', 'DD/MM/YYYY'), 'Macieira', UPPER('Jonagored') );</v>
      </c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</row>
    <row r="25" spans="1:59" ht="15" hidden="1" thickTop="1" thickBot="1">
      <c r="A25">
        <v>104</v>
      </c>
      <c r="B25" t="s">
        <v>220</v>
      </c>
      <c r="C25" t="s">
        <v>5</v>
      </c>
      <c r="E25" t="s">
        <v>252</v>
      </c>
      <c r="F25" s="1">
        <v>43108</v>
      </c>
      <c r="G25">
        <v>60</v>
      </c>
      <c r="H25" t="s">
        <v>267</v>
      </c>
      <c r="J25" s="23">
        <f>MATCH(E25,Culturas!$B$38:$B$54,0)</f>
        <v>4</v>
      </c>
      <c r="K25" s="139">
        <f>INDEX(Culturas!$E$2:$E$28,MATCH(Operações!E25,Culturas!$C$2:$C$29,0))</f>
        <v>42743</v>
      </c>
      <c r="L25" s="23">
        <f t="shared" si="3"/>
        <v>24</v>
      </c>
      <c r="M25" s="68" t="s">
        <v>266</v>
      </c>
      <c r="O25" s="23" t="str">
        <f t="shared" si="0"/>
        <v>Macieira</v>
      </c>
      <c r="R25" s="10" t="str">
        <f t="shared" si="1"/>
        <v>INSERT INTO Operacao (idOperacao, designacaoOperacaoAgricola, designacaoUnidade, quantidade, dataOperacao) VALUES (24, 'Poda', 'un',   600.0,  TO_DATE('08/01/Monday', 'DD/MM/YYYY'));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N25" s="90" t="str">
        <f t="shared" si="2"/>
        <v>INSERT INTO OperacaoCultura (idOperacao, nomeParcela, dataInicial, nomeComum, variedade) VALUES (24, 'Lameiro da ponte', TO_DATE('08/01/Sunday', 'DD/MM/YYYY'), 'Macieira', UPPER('Fuji') );</v>
      </c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</row>
    <row r="26" spans="1:59" ht="15" hidden="1" thickTop="1" thickBot="1">
      <c r="A26" s="66">
        <v>104</v>
      </c>
      <c r="B26" s="66" t="s">
        <v>220</v>
      </c>
      <c r="C26" s="66" t="s">
        <v>5</v>
      </c>
      <c r="D26" s="66"/>
      <c r="E26" s="66" t="s">
        <v>253</v>
      </c>
      <c r="F26" s="67">
        <v>43108</v>
      </c>
      <c r="G26" s="66">
        <v>40</v>
      </c>
      <c r="H26" s="66" t="s">
        <v>267</v>
      </c>
      <c r="I26" s="66"/>
      <c r="J26" s="66">
        <f>MATCH(E26,Culturas!$B$38:$B$54,0)</f>
        <v>5</v>
      </c>
      <c r="K26" s="147">
        <f>INDEX(Culturas!$E$2:$E$28,MATCH(Operações!E26,Culturas!$C$2:$C$29,0))</f>
        <v>42743</v>
      </c>
      <c r="L26" s="23">
        <f t="shared" si="3"/>
        <v>25</v>
      </c>
      <c r="M26" s="68" t="s">
        <v>266</v>
      </c>
      <c r="O26" s="23" t="str">
        <f t="shared" si="0"/>
        <v>Macieira</v>
      </c>
      <c r="R26" s="10" t="str">
        <f t="shared" si="1"/>
        <v>INSERT INTO Operacao (idOperacao, designacaoOperacaoAgricola, designacaoUnidade, quantidade, dataOperacao) VALUES (25, 'Poda', 'un',   400.0,  TO_DATE('08/01/Monday', 'DD/MM/YYYY'));</v>
      </c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10"/>
      <c r="AJ26" s="10"/>
      <c r="AK26" s="10"/>
      <c r="AL26" s="10"/>
      <c r="AN26" s="90" t="str">
        <f t="shared" si="2"/>
        <v>INSERT INTO OperacaoCultura (idOperacao, nomeParcela, dataInicial, nomeComum, variedade) VALUES (25, 'Lameiro da ponte', TO_DATE('08/01/Sunday', 'DD/MM/YYYY'), 'Macieira', UPPER('Royal Gala') );</v>
      </c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</row>
    <row r="27" spans="1:59" ht="15" hidden="1" thickTop="1" thickBot="1">
      <c r="A27">
        <v>107</v>
      </c>
      <c r="B27" t="s">
        <v>225</v>
      </c>
      <c r="C27" t="s">
        <v>289</v>
      </c>
      <c r="E27" t="s">
        <v>254</v>
      </c>
      <c r="F27" s="1">
        <v>43110</v>
      </c>
      <c r="G27">
        <v>500</v>
      </c>
      <c r="H27" t="s">
        <v>267</v>
      </c>
      <c r="J27" s="23">
        <f>MATCH(E27,Culturas!$B$38:$B$54,0)</f>
        <v>16</v>
      </c>
      <c r="K27" s="139">
        <f>INDEX(Culturas!$E$2:$E$28,MATCH(Operações!E27,Culturas!$C$2:$C$29,0))</f>
        <v>43110</v>
      </c>
      <c r="L27" s="23">
        <f t="shared" si="3"/>
        <v>26</v>
      </c>
      <c r="M27" s="68" t="s">
        <v>266</v>
      </c>
      <c r="O27" s="23" t="str">
        <f t="shared" si="0"/>
        <v>Videira</v>
      </c>
      <c r="R27" s="10" t="str">
        <f t="shared" si="1"/>
        <v>INSERT INTO Operacao (idOperacao, designacaoOperacaoAgricola, designacaoUnidade, quantidade, dataOperacao) VALUES (26, 'Plantação', 'un',   5000.0,  TO_DATE('10/01/Wednesday', 'DD/MM/YYYY'));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N27" s="90" t="str">
        <f t="shared" si="2"/>
        <v>INSERT INTO OperacaoCultura (idOperacao, nomeParcela, dataInicial, nomeComum, variedade) VALUES (26, 'Vinha', TO_DATE('10/01/Wednesday', 'DD/MM/YYYY'), 'Videira', UPPER('Dona Maria') );</v>
      </c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</row>
    <row r="28" spans="1:59" ht="15" hidden="1" thickTop="1" thickBot="1">
      <c r="A28">
        <v>107</v>
      </c>
      <c r="B28" t="s">
        <v>225</v>
      </c>
      <c r="C28" t="s">
        <v>289</v>
      </c>
      <c r="E28" t="s">
        <v>255</v>
      </c>
      <c r="F28" s="1">
        <v>43111</v>
      </c>
      <c r="G28">
        <v>700</v>
      </c>
      <c r="H28" t="s">
        <v>267</v>
      </c>
      <c r="J28" s="23">
        <f>MATCH(E28,Culturas!$B$38:$B$54,0)</f>
        <v>17</v>
      </c>
      <c r="K28" s="139">
        <f>INDEX(Culturas!$E$2:$E$28,MATCH(Operações!E28,Culturas!$C$2:$C$29,0))</f>
        <v>43111</v>
      </c>
      <c r="L28" s="23">
        <f t="shared" si="3"/>
        <v>27</v>
      </c>
      <c r="M28" s="68" t="s">
        <v>266</v>
      </c>
      <c r="O28" s="23" t="str">
        <f t="shared" si="0"/>
        <v>Videira</v>
      </c>
      <c r="R28" s="10" t="str">
        <f t="shared" si="1"/>
        <v>INSERT INTO Operacao (idOperacao, designacaoOperacaoAgricola, designacaoUnidade, quantidade, dataOperacao) VALUES (27, 'Plantação', 'un',   7000.0,  TO_DATE('11/01/Thursday', 'DD/MM/YYYY'));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N28" s="90" t="str">
        <f t="shared" si="2"/>
        <v>INSERT INTO OperacaoCultura (idOperacao, nomeParcela, dataInicial, nomeComum, variedade) VALUES (27, 'Vinha', TO_DATE('11/01/Thursday', 'DD/MM/YYYY'), 'Videira', UPPER('Cardinal') );</v>
      </c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</row>
    <row r="29" spans="1:59" ht="15" hidden="1" thickTop="1" thickBot="1">
      <c r="A29">
        <v>104</v>
      </c>
      <c r="B29" t="s">
        <v>220</v>
      </c>
      <c r="C29" t="s">
        <v>290</v>
      </c>
      <c r="D29" t="s">
        <v>291</v>
      </c>
      <c r="E29" t="s">
        <v>251</v>
      </c>
      <c r="F29" s="1">
        <v>43137</v>
      </c>
      <c r="G29">
        <v>10</v>
      </c>
      <c r="H29" t="s">
        <v>292</v>
      </c>
      <c r="I29" t="s">
        <v>179</v>
      </c>
      <c r="J29" s="23">
        <f>MATCH(E29,Culturas!$B$38:$B$54,0)</f>
        <v>3</v>
      </c>
      <c r="K29" s="139">
        <f>INDEX(Culturas!$E$2:$E$28,MATCH(Operações!E29,Culturas!$C$2:$C$29,0))</f>
        <v>42742</v>
      </c>
      <c r="L29" s="84">
        <f t="shared" si="3"/>
        <v>28</v>
      </c>
      <c r="M29" s="68" t="s">
        <v>266</v>
      </c>
      <c r="O29" s="23" t="str">
        <f t="shared" si="0"/>
        <v>Macieira</v>
      </c>
      <c r="R29" s="10" t="str">
        <f t="shared" si="1"/>
        <v>INSERT INTO Operacao (idOperacao, designacaoOperacaoAgricola, designacaoUnidade, quantidade, dataOperacao) VALUES (28, 'Fertilização', 'kg',   100.0,  TO_DATE('06/02/Tuesday', 'DD/MM/YYYY'));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N29" s="90" t="str">
        <f t="shared" si="2"/>
        <v>INSERT INTO OperacaoCultura (idOperacao, nomeParcela, dataInicial, nomeComum, variedade) VALUES (28, 'Lameiro da ponte', TO_DATE('07/01/Saturday', 'DD/MM/YYYY'), 'Macieira', UPPER('Jonagored') );</v>
      </c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</row>
    <row r="30" spans="1:59" ht="15" hidden="1" thickTop="1" thickBot="1">
      <c r="A30">
        <v>104</v>
      </c>
      <c r="B30" t="s">
        <v>220</v>
      </c>
      <c r="C30" t="s">
        <v>290</v>
      </c>
      <c r="D30" t="s">
        <v>291</v>
      </c>
      <c r="E30" t="s">
        <v>252</v>
      </c>
      <c r="F30" s="1">
        <v>43137</v>
      </c>
      <c r="G30">
        <v>6</v>
      </c>
      <c r="H30" t="s">
        <v>292</v>
      </c>
      <c r="I30" t="s">
        <v>179</v>
      </c>
      <c r="J30" s="23">
        <f>MATCH(E30,Culturas!$B$38:$B$54,0)</f>
        <v>4</v>
      </c>
      <c r="K30" s="139">
        <f>INDEX(Culturas!$E$2:$E$28,MATCH(Operações!E30,Culturas!$C$2:$C$29,0))</f>
        <v>42743</v>
      </c>
      <c r="L30" s="84">
        <f t="shared" si="3"/>
        <v>29</v>
      </c>
      <c r="M30" s="68" t="s">
        <v>266</v>
      </c>
      <c r="O30" s="23" t="str">
        <f t="shared" si="0"/>
        <v>Macieira</v>
      </c>
      <c r="R30" s="10" t="str">
        <f t="shared" si="1"/>
        <v>INSERT INTO Operacao (idOperacao, designacaoOperacaoAgricola, designacaoUnidade, quantidade, dataOperacao) VALUES (29, 'Fertilização', 'kg',   60.0,  TO_DATE('06/02/Tuesday', 'DD/MM/YYYY'));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N30" s="90" t="str">
        <f t="shared" si="2"/>
        <v>INSERT INTO OperacaoCultura (idOperacao, nomeParcela, dataInicial, nomeComum, variedade) VALUES (29, 'Lameiro da ponte', TO_DATE('08/01/Sunday', 'DD/MM/YYYY'), 'Macieira', UPPER('Fuji') );</v>
      </c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</row>
    <row r="31" spans="1:59" ht="15" hidden="1" thickTop="1" thickBot="1">
      <c r="A31" s="66">
        <v>104</v>
      </c>
      <c r="B31" s="66" t="s">
        <v>220</v>
      </c>
      <c r="C31" s="66" t="s">
        <v>290</v>
      </c>
      <c r="D31" s="66" t="s">
        <v>291</v>
      </c>
      <c r="E31" s="66" t="s">
        <v>253</v>
      </c>
      <c r="F31" s="67">
        <v>43137</v>
      </c>
      <c r="G31" s="66">
        <v>5</v>
      </c>
      <c r="H31" s="66" t="s">
        <v>292</v>
      </c>
      <c r="I31" s="66" t="s">
        <v>179</v>
      </c>
      <c r="J31" s="66">
        <f>MATCH(E31,Culturas!$B$38:$B$54,0)</f>
        <v>5</v>
      </c>
      <c r="K31" s="147">
        <f>INDEX(Culturas!$E$2:$E$28,MATCH(Operações!E31,Culturas!$C$2:$C$29,0))</f>
        <v>42743</v>
      </c>
      <c r="L31" s="84">
        <f t="shared" si="3"/>
        <v>30</v>
      </c>
      <c r="M31" s="68" t="s">
        <v>266</v>
      </c>
      <c r="O31" s="23" t="str">
        <f t="shared" si="0"/>
        <v>Macieira</v>
      </c>
      <c r="R31" s="10" t="str">
        <f t="shared" si="1"/>
        <v>INSERT INTO Operacao (idOperacao, designacaoOperacaoAgricola, designacaoUnidade, quantidade, dataOperacao) VALUES (30, 'Fertilização', 'kg',   50.0,  TO_DATE('06/02/Tuesday', 'DD/MM/YYYY'));</v>
      </c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10"/>
      <c r="AJ31" s="10"/>
      <c r="AK31" s="10"/>
      <c r="AL31" s="10"/>
      <c r="AN31" s="90" t="str">
        <f t="shared" si="2"/>
        <v>INSERT INTO OperacaoCultura (idOperacao, nomeParcela, dataInicial, nomeComum, variedade) VALUES (30, 'Lameiro da ponte', TO_DATE('08/01/Sunday', 'DD/MM/YYYY'), 'Macieira', UPPER('Royal Gala') );</v>
      </c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</row>
    <row r="32" spans="1:59" ht="15" hidden="1" thickTop="1" thickBot="1">
      <c r="A32">
        <v>102</v>
      </c>
      <c r="B32" t="s">
        <v>218</v>
      </c>
      <c r="C32" t="s">
        <v>234</v>
      </c>
      <c r="E32" t="s">
        <v>244</v>
      </c>
      <c r="F32" s="1">
        <v>43284</v>
      </c>
      <c r="G32">
        <v>1</v>
      </c>
      <c r="H32" t="s">
        <v>236</v>
      </c>
      <c r="J32" s="23">
        <f>MATCH(E32,Culturas!$B$38:$B$54,0)</f>
        <v>2</v>
      </c>
      <c r="K32" s="35">
        <f>INDEX(Culturas!$E$12:$E$13,MATCH(Operações!E32,Culturas!$C$12:$C$13,0))</f>
        <v>42653</v>
      </c>
      <c r="L32" s="23">
        <f t="shared" si="3"/>
        <v>31</v>
      </c>
      <c r="M32" s="68" t="s">
        <v>266</v>
      </c>
      <c r="O32" s="23" t="str">
        <f t="shared" si="0"/>
        <v>Oliveira</v>
      </c>
      <c r="R32" s="10" t="str">
        <f t="shared" ref="R32:R51" si="6" xml:space="preserve"> "INSERT INTO " &amp;$T$1&amp; " (idOperacao, designacaoOperacaoAgricola, designacaoUnidade, quantidade, dataOperacao) VALUES (" &amp;L32&amp; ", '" &amp;C32&amp; "', " &amp;IF(ISBLANK(H32), "null", "'" &amp;H32&amp; "'" )&amp; ",   "&amp;IF(ISBLANK(G32), "null",TEXT(SUBSTITUTE(G32, "%", "") * 10, "0.0"))&amp;",  TO_DATE('"&amp;TEXT(F32,"DD/MM/AAAA")&amp; " - " &amp;TEXT(N32,"hh:mm") &amp;"', 'DD/MM/YYYY - HH:MI'));"</f>
        <v>INSERT INTO Operacao (idOperacao, designacaoOperacaoAgricola, designacaoUnidade, quantidade, dataOperacao) VALUES (31, 'Rega', 'm3',   10.0,  TO_DATE('03/07/Tuesday - 00:00', 'DD/MM/YYYY - HH:MI'));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N32" s="90" t="str">
        <f t="shared" si="2"/>
        <v>INSERT INTO OperacaoCultura (idOperacao, nomeParcela, dataInicial, nomeComum, variedade) VALUES (31, 'Campo Grande', TO_DATE('10/10/Monday', 'DD/MM/YYYY'), 'Oliveira', UPPER('Picual') );</v>
      </c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</row>
    <row r="33" spans="1:59" ht="15" hidden="1" thickTop="1" thickBot="1">
      <c r="A33">
        <v>102</v>
      </c>
      <c r="B33" t="s">
        <v>218</v>
      </c>
      <c r="C33" t="s">
        <v>234</v>
      </c>
      <c r="E33" t="s">
        <v>243</v>
      </c>
      <c r="F33" s="1">
        <v>43284</v>
      </c>
      <c r="G33">
        <v>1.5</v>
      </c>
      <c r="H33" t="s">
        <v>236</v>
      </c>
      <c r="J33" s="23">
        <f>MATCH(E33,Culturas!$B$38:$B$54,0)</f>
        <v>1</v>
      </c>
      <c r="K33" s="35">
        <f>INDEX(Culturas!$E$12:$E$13,MATCH(Operações!E33,Culturas!$C$12:$C$13,0))</f>
        <v>42649</v>
      </c>
      <c r="L33" s="23">
        <f t="shared" si="3"/>
        <v>32</v>
      </c>
      <c r="M33" s="68" t="s">
        <v>266</v>
      </c>
      <c r="O33" s="23" t="str">
        <f t="shared" si="0"/>
        <v>Oliveira</v>
      </c>
      <c r="R33" s="10" t="str">
        <f t="shared" si="6"/>
        <v>INSERT INTO Operacao (idOperacao, designacaoOperacaoAgricola, designacaoUnidade, quantidade, dataOperacao) VALUES (32, 'Rega', 'm3',   15.0,  TO_DATE('03/07/Tuesday - 00:00', 'DD/MM/YYYY - HH:MI'));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N33" s="90" t="str">
        <f t="shared" si="2"/>
        <v>INSERT INTO OperacaoCultura (idOperacao, nomeParcela, dataInicial, nomeComum, variedade) VALUES (32, 'Campo Grande', TO_DATE('06/10/Thursday', 'DD/MM/YYYY'), 'Oliveira', UPPER('Galega') );</v>
      </c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</row>
    <row r="34" spans="1:59" ht="15" hidden="1" thickTop="1" thickBot="1">
      <c r="A34" s="37">
        <v>104</v>
      </c>
      <c r="B34" s="37" t="s">
        <v>220</v>
      </c>
      <c r="C34" s="37" t="s">
        <v>234</v>
      </c>
      <c r="D34" s="37"/>
      <c r="E34" s="37" t="s">
        <v>251</v>
      </c>
      <c r="F34" s="38">
        <v>43291</v>
      </c>
      <c r="G34" s="37">
        <v>3.5</v>
      </c>
      <c r="H34" s="37" t="str">
        <f>"m3"</f>
        <v>m3</v>
      </c>
      <c r="I34" s="37"/>
      <c r="J34" s="37">
        <f>MATCH(E34,Culturas!$B$38:$B$54,0)</f>
        <v>3</v>
      </c>
      <c r="K34" s="143">
        <f>INDEX(Culturas!$E$2:$E$28,MATCH(Operações!E34,Culturas!$C$2:$C$29,0))</f>
        <v>42742</v>
      </c>
      <c r="L34" s="23">
        <f t="shared" si="3"/>
        <v>33</v>
      </c>
      <c r="M34" s="68" t="s">
        <v>266</v>
      </c>
      <c r="O34" s="23" t="str">
        <f t="shared" si="0"/>
        <v>Macieira</v>
      </c>
      <c r="R34" s="10" t="str">
        <f t="shared" si="6"/>
        <v>INSERT INTO Operacao (idOperacao, designacaoOperacaoAgricola, designacaoUnidade, quantidade, dataOperacao) VALUES (33, 'Rega', 'm3',   35.0,  TO_DATE('10/07/Tuesday - 00:00', 'DD/MM/YYYY - HH:MI'));</v>
      </c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10"/>
      <c r="AJ34" s="10"/>
      <c r="AK34" s="10"/>
      <c r="AL34" s="10"/>
      <c r="AN34" s="90" t="str">
        <f t="shared" si="2"/>
        <v>INSERT INTO OperacaoCultura (idOperacao, nomeParcela, dataInicial, nomeComum, variedade) VALUES (33, 'Lameiro da ponte', TO_DATE('07/01/Saturday', 'DD/MM/YYYY'), 'Macieira', UPPER('Jonagored') );</v>
      </c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</row>
    <row r="35" spans="1:59" ht="15" hidden="1" thickTop="1" thickBot="1">
      <c r="A35" s="37">
        <v>104</v>
      </c>
      <c r="B35" s="37" t="s">
        <v>220</v>
      </c>
      <c r="C35" s="37" t="s">
        <v>234</v>
      </c>
      <c r="D35" s="37"/>
      <c r="E35" s="37" t="s">
        <v>252</v>
      </c>
      <c r="F35" s="38">
        <v>43291</v>
      </c>
      <c r="G35" s="37">
        <v>3.5</v>
      </c>
      <c r="H35" s="37" t="str">
        <f>"m3"</f>
        <v>m3</v>
      </c>
      <c r="I35" s="37"/>
      <c r="J35" s="37">
        <f>MATCH(E35,Culturas!$B$38:$B$54,0)</f>
        <v>4</v>
      </c>
      <c r="K35" s="143">
        <f>INDEX(Culturas!$E$2:$E$28,MATCH(Operações!E35,Culturas!$C$2:$C$29,0))</f>
        <v>42743</v>
      </c>
      <c r="L35" s="23">
        <f t="shared" si="3"/>
        <v>34</v>
      </c>
      <c r="M35" s="68" t="s">
        <v>266</v>
      </c>
      <c r="O35" s="23" t="str">
        <f t="shared" si="0"/>
        <v>Macieira</v>
      </c>
      <c r="R35" s="10" t="str">
        <f t="shared" si="6"/>
        <v>INSERT INTO Operacao (idOperacao, designacaoOperacaoAgricola, designacaoUnidade, quantidade, dataOperacao) VALUES (34, 'Rega', 'm3',   35.0,  TO_DATE('10/07/Tuesday - 00:00', 'DD/MM/YYYY - HH:MI'));</v>
      </c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10"/>
      <c r="AJ35" s="10"/>
      <c r="AK35" s="10"/>
      <c r="AL35" s="10"/>
      <c r="AN35" s="90" t="str">
        <f t="shared" si="2"/>
        <v>INSERT INTO OperacaoCultura (idOperacao, nomeParcela, dataInicial, nomeComum, variedade) VALUES (34, 'Lameiro da ponte', TO_DATE('08/01/Sunday', 'DD/MM/YYYY'), 'Macieira', UPPER('Fuji') );</v>
      </c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</row>
    <row r="36" spans="1:59" ht="15" hidden="1" thickTop="1" thickBot="1">
      <c r="A36" s="37">
        <v>104</v>
      </c>
      <c r="B36" s="37" t="s">
        <v>220</v>
      </c>
      <c r="C36" s="37" t="s">
        <v>234</v>
      </c>
      <c r="D36" s="37"/>
      <c r="E36" s="37" t="s">
        <v>253</v>
      </c>
      <c r="F36" s="38">
        <v>43291</v>
      </c>
      <c r="G36" s="37">
        <v>3.5</v>
      </c>
      <c r="H36" s="37" t="str">
        <f>"m3"</f>
        <v>m3</v>
      </c>
      <c r="I36" s="37"/>
      <c r="J36" s="37">
        <f>MATCH(E36,Culturas!$B$38:$B$54,0)</f>
        <v>5</v>
      </c>
      <c r="K36" s="143">
        <f>INDEX(Culturas!$E$2:$E$28,MATCH(Operações!E36,Culturas!$C$2:$C$29,0))</f>
        <v>42743</v>
      </c>
      <c r="L36" s="23">
        <f t="shared" si="3"/>
        <v>35</v>
      </c>
      <c r="M36" s="68" t="s">
        <v>266</v>
      </c>
      <c r="O36" s="23" t="str">
        <f t="shared" si="0"/>
        <v>Macieira</v>
      </c>
      <c r="R36" s="10" t="str">
        <f t="shared" si="6"/>
        <v>INSERT INTO Operacao (idOperacao, designacaoOperacaoAgricola, designacaoUnidade, quantidade, dataOperacao) VALUES (35, 'Rega', 'm3',   35.0,  TO_DATE('10/07/Tuesday - 00:00', 'DD/MM/YYYY - HH:MI'));</v>
      </c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10"/>
      <c r="AJ36" s="10"/>
      <c r="AK36" s="10"/>
      <c r="AL36" s="10"/>
      <c r="AN36" s="90" t="str">
        <f t="shared" si="2"/>
        <v>INSERT INTO OperacaoCultura (idOperacao, nomeParcela, dataInicial, nomeComum, variedade) VALUES (35, 'Lameiro da ponte', TO_DATE('08/01/Sunday', 'DD/MM/YYYY'), 'Macieira', UPPER('Royal Gala') );</v>
      </c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</row>
    <row r="37" spans="1:59" ht="15" hidden="1" thickTop="1" thickBot="1">
      <c r="A37" s="80">
        <v>107</v>
      </c>
      <c r="B37" s="80" t="s">
        <v>225</v>
      </c>
      <c r="C37" s="80" t="s">
        <v>234</v>
      </c>
      <c r="D37" s="80"/>
      <c r="E37" s="81" t="s">
        <v>254</v>
      </c>
      <c r="F37" s="82">
        <v>43291</v>
      </c>
      <c r="G37" s="80">
        <v>6</v>
      </c>
      <c r="H37" s="80" t="s">
        <v>236</v>
      </c>
      <c r="I37" s="80"/>
      <c r="J37" s="80">
        <f>MATCH(E37,Culturas!$B$38:$B$54,0)</f>
        <v>16</v>
      </c>
      <c r="K37" s="141">
        <f>INDEX(Culturas!$E$2:$E$28,MATCH(Operações!E37,Culturas!$C$2:$C$29,0))</f>
        <v>43110</v>
      </c>
      <c r="L37" s="23">
        <f t="shared" si="3"/>
        <v>36</v>
      </c>
      <c r="M37" s="68" t="s">
        <v>266</v>
      </c>
      <c r="O37" s="23" t="str">
        <f t="shared" si="0"/>
        <v>Videira</v>
      </c>
      <c r="R37" s="10" t="str">
        <f t="shared" si="6"/>
        <v>INSERT INTO Operacao (idOperacao, designacaoOperacaoAgricola, designacaoUnidade, quantidade, dataOperacao) VALUES (36, 'Rega', 'm3',   60.0,  TO_DATE('10/07/Tuesday - 00:00', 'DD/MM/YYYY - HH:MI'));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N37" s="90" t="str">
        <f t="shared" si="2"/>
        <v>INSERT INTO OperacaoCultura (idOperacao, nomeParcela, dataInicial, nomeComum, variedade) VALUES (36, 'Vinha', TO_DATE('10/01/Wednesday', 'DD/MM/YYYY'), 'Videira', UPPER('Dona Maria') );</v>
      </c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</row>
    <row r="38" spans="1:59" ht="15" hidden="1" thickTop="1" thickBot="1">
      <c r="A38" s="80">
        <v>107</v>
      </c>
      <c r="B38" s="80" t="s">
        <v>225</v>
      </c>
      <c r="C38" s="80" t="s">
        <v>234</v>
      </c>
      <c r="D38" s="80"/>
      <c r="E38" s="81" t="s">
        <v>255</v>
      </c>
      <c r="F38" s="82">
        <v>43291</v>
      </c>
      <c r="G38" s="80">
        <v>6</v>
      </c>
      <c r="H38" s="80" t="s">
        <v>236</v>
      </c>
      <c r="I38" s="80"/>
      <c r="J38" s="80">
        <f>MATCH(E38,Culturas!$B$38:$B$54,0)</f>
        <v>17</v>
      </c>
      <c r="K38" s="141">
        <f>INDEX(Culturas!$E$2:$E$28,MATCH(Operações!E38,Culturas!$C$2:$C$29,0))</f>
        <v>43111</v>
      </c>
      <c r="L38" s="23">
        <f t="shared" si="3"/>
        <v>37</v>
      </c>
      <c r="M38" s="68" t="s">
        <v>266</v>
      </c>
      <c r="O38" s="23" t="str">
        <f t="shared" si="0"/>
        <v>Videira</v>
      </c>
      <c r="R38" s="10" t="str">
        <f t="shared" si="6"/>
        <v>INSERT INTO Operacao (idOperacao, designacaoOperacaoAgricola, designacaoUnidade, quantidade, dataOperacao) VALUES (37, 'Rega', 'm3',   60.0,  TO_DATE('10/07/Tuesday - 00:00', 'DD/MM/YYYY - HH:MI'));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N38" s="90" t="str">
        <f t="shared" si="2"/>
        <v>INSERT INTO OperacaoCultura (idOperacao, nomeParcela, dataInicial, nomeComum, variedade) VALUES (37, 'Vinha', TO_DATE('11/01/Thursday', 'DD/MM/YYYY'), 'Videira', UPPER('Cardinal') );</v>
      </c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</row>
    <row r="39" spans="1:59" ht="15" hidden="1" thickTop="1" thickBot="1">
      <c r="A39">
        <v>102</v>
      </c>
      <c r="B39" t="s">
        <v>218</v>
      </c>
      <c r="C39" t="s">
        <v>234</v>
      </c>
      <c r="E39" t="s">
        <v>244</v>
      </c>
      <c r="F39" s="1">
        <v>43322</v>
      </c>
      <c r="G39">
        <v>1</v>
      </c>
      <c r="H39" t="s">
        <v>236</v>
      </c>
      <c r="J39" s="39">
        <f>MATCH(E39,Culturas!$B$38:$B$54,0)</f>
        <v>2</v>
      </c>
      <c r="K39" s="35">
        <f>INDEX(Culturas!$E$12:$E$13,MATCH(Operações!E39,Culturas!$C$12:$C$13,0))</f>
        <v>42653</v>
      </c>
      <c r="L39" s="23">
        <f t="shared" si="3"/>
        <v>38</v>
      </c>
      <c r="M39" s="68" t="s">
        <v>266</v>
      </c>
      <c r="O39" s="23" t="str">
        <f t="shared" si="0"/>
        <v>Oliveira</v>
      </c>
      <c r="R39" s="10" t="str">
        <f t="shared" si="6"/>
        <v>INSERT INTO Operacao (idOperacao, designacaoOperacaoAgricola, designacaoUnidade, quantidade, dataOperacao) VALUES (38, 'Rega', 'm3',   10.0,  TO_DATE('10/08/Friday - 00:00', 'DD/MM/YYYY - HH:MI'));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N39" s="90" t="str">
        <f t="shared" si="2"/>
        <v>INSERT INTO OperacaoCultura (idOperacao, nomeParcela, dataInicial, nomeComum, variedade) VALUES (38, 'Campo Grande', TO_DATE('10/10/Monday', 'DD/MM/YYYY'), 'Oliveira', UPPER('Picual') );</v>
      </c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</row>
    <row r="40" spans="1:59" ht="15" hidden="1" thickTop="1" thickBot="1">
      <c r="A40">
        <v>102</v>
      </c>
      <c r="B40" t="s">
        <v>218</v>
      </c>
      <c r="C40" t="s">
        <v>234</v>
      </c>
      <c r="E40" t="s">
        <v>243</v>
      </c>
      <c r="F40" s="1">
        <v>43322</v>
      </c>
      <c r="G40">
        <v>1.5</v>
      </c>
      <c r="H40" t="s">
        <v>236</v>
      </c>
      <c r="J40" s="39">
        <f>MATCH(E40,Culturas!$B$38:$B$54,0)</f>
        <v>1</v>
      </c>
      <c r="K40" s="35">
        <f>INDEX(Culturas!$E$12:$E$13,MATCH(Operações!E40,Culturas!$C$12:$C$13,0))</f>
        <v>42649</v>
      </c>
      <c r="L40" s="23">
        <f t="shared" si="3"/>
        <v>39</v>
      </c>
      <c r="M40" s="68" t="s">
        <v>266</v>
      </c>
      <c r="O40" s="23" t="str">
        <f t="shared" si="0"/>
        <v>Oliveira</v>
      </c>
      <c r="R40" s="10" t="str">
        <f t="shared" si="6"/>
        <v>INSERT INTO Operacao (idOperacao, designacaoOperacaoAgricola, designacaoUnidade, quantidade, dataOperacao) VALUES (39, 'Rega', 'm3',   15.0,  TO_DATE('10/08/Friday - 00:00', 'DD/MM/YYYY - HH:MI'));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N40" s="90" t="str">
        <f t="shared" si="2"/>
        <v>INSERT INTO OperacaoCultura (idOperacao, nomeParcela, dataInicial, nomeComum, variedade) VALUES (39, 'Campo Grande', TO_DATE('06/10/Thursday', 'DD/MM/YYYY'), 'Oliveira', UPPER('Galega') );</v>
      </c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</row>
    <row r="41" spans="1:59" ht="15" hidden="1" thickTop="1" thickBot="1">
      <c r="A41" s="37">
        <v>104</v>
      </c>
      <c r="B41" s="37" t="s">
        <v>220</v>
      </c>
      <c r="C41" s="37" t="s">
        <v>234</v>
      </c>
      <c r="D41" s="37"/>
      <c r="E41" s="37" t="s">
        <v>251</v>
      </c>
      <c r="F41" s="38">
        <v>43322</v>
      </c>
      <c r="G41" s="37">
        <v>4</v>
      </c>
      <c r="H41" s="37" t="str">
        <f>"m3"</f>
        <v>m3</v>
      </c>
      <c r="I41" s="37"/>
      <c r="J41" s="37">
        <f>MATCH(E41,Culturas!$B$38:$B$54,0)</f>
        <v>3</v>
      </c>
      <c r="K41" s="143">
        <f>INDEX(Culturas!$E$2:$E$28,MATCH(Operações!E41,Culturas!$C$2:$C$29,0))</f>
        <v>42742</v>
      </c>
      <c r="L41" s="23">
        <f t="shared" si="3"/>
        <v>40</v>
      </c>
      <c r="M41" s="68" t="s">
        <v>266</v>
      </c>
      <c r="O41" s="23" t="str">
        <f t="shared" si="0"/>
        <v>Macieira</v>
      </c>
      <c r="R41" s="10" t="str">
        <f t="shared" si="6"/>
        <v>INSERT INTO Operacao (idOperacao, designacaoOperacaoAgricola, designacaoUnidade, quantidade, dataOperacao) VALUES (40, 'Rega', 'm3',   40.0,  TO_DATE('10/08/Friday - 00:00', 'DD/MM/YYYY - HH:MI'));</v>
      </c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10"/>
      <c r="AJ41" s="10"/>
      <c r="AK41" s="10"/>
      <c r="AL41" s="10"/>
      <c r="AN41" s="90" t="str">
        <f t="shared" si="2"/>
        <v>INSERT INTO OperacaoCultura (idOperacao, nomeParcela, dataInicial, nomeComum, variedade) VALUES (40, 'Lameiro da ponte', TO_DATE('07/01/Saturday', 'DD/MM/YYYY'), 'Macieira', UPPER('Jonagored') );</v>
      </c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</row>
    <row r="42" spans="1:59" ht="15" hidden="1" thickTop="1" thickBot="1">
      <c r="A42" s="37">
        <v>104</v>
      </c>
      <c r="B42" s="37" t="s">
        <v>220</v>
      </c>
      <c r="C42" s="37" t="s">
        <v>234</v>
      </c>
      <c r="D42" s="37"/>
      <c r="E42" s="37" t="s">
        <v>252</v>
      </c>
      <c r="F42" s="38">
        <v>43322</v>
      </c>
      <c r="G42" s="37">
        <v>4</v>
      </c>
      <c r="H42" s="37" t="str">
        <f>"m3"</f>
        <v>m3</v>
      </c>
      <c r="I42" s="37"/>
      <c r="J42" s="37">
        <f>MATCH(E42,Culturas!$B$38:$B$54,0)</f>
        <v>4</v>
      </c>
      <c r="K42" s="143">
        <f>INDEX(Culturas!$E$2:$E$28,MATCH(Operações!E42,Culturas!$C$2:$C$29,0))</f>
        <v>42743</v>
      </c>
      <c r="L42" s="23">
        <f t="shared" si="3"/>
        <v>41</v>
      </c>
      <c r="M42" s="68" t="s">
        <v>266</v>
      </c>
      <c r="O42" s="23" t="str">
        <f t="shared" si="0"/>
        <v>Macieira</v>
      </c>
      <c r="R42" s="10" t="str">
        <f t="shared" si="6"/>
        <v>INSERT INTO Operacao (idOperacao, designacaoOperacaoAgricola, designacaoUnidade, quantidade, dataOperacao) VALUES (41, 'Rega', 'm3',   40.0,  TO_DATE('10/08/Friday - 00:00', 'DD/MM/YYYY - HH:MI'));</v>
      </c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10"/>
      <c r="AJ42" s="10"/>
      <c r="AK42" s="10"/>
      <c r="AL42" s="10"/>
      <c r="AN42" s="90" t="str">
        <f t="shared" si="2"/>
        <v>INSERT INTO OperacaoCultura (idOperacao, nomeParcela, dataInicial, nomeComum, variedade) VALUES (41, 'Lameiro da ponte', TO_DATE('08/01/Sunday', 'DD/MM/YYYY'), 'Macieira', UPPER('Fuji') );</v>
      </c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</row>
    <row r="43" spans="1:59" ht="15" hidden="1" thickTop="1" thickBot="1">
      <c r="A43" s="37">
        <v>104</v>
      </c>
      <c r="B43" s="37" t="s">
        <v>220</v>
      </c>
      <c r="C43" s="37" t="s">
        <v>234</v>
      </c>
      <c r="D43" s="37"/>
      <c r="E43" s="37" t="s">
        <v>253</v>
      </c>
      <c r="F43" s="38">
        <v>43322</v>
      </c>
      <c r="G43" s="37">
        <v>4</v>
      </c>
      <c r="H43" s="37" t="str">
        <f>"m3"</f>
        <v>m3</v>
      </c>
      <c r="I43" s="37"/>
      <c r="J43" s="37">
        <f>MATCH(E43,Culturas!$B$38:$B$54,0)</f>
        <v>5</v>
      </c>
      <c r="K43" s="143">
        <f>INDEX(Culturas!$E$2:$E$28,MATCH(Operações!E43,Culturas!$C$2:$C$29,0))</f>
        <v>42743</v>
      </c>
      <c r="L43" s="23">
        <f t="shared" si="3"/>
        <v>42</v>
      </c>
      <c r="M43" s="68" t="s">
        <v>266</v>
      </c>
      <c r="O43" s="23" t="str">
        <f t="shared" si="0"/>
        <v>Macieira</v>
      </c>
      <c r="R43" s="10" t="str">
        <f t="shared" si="6"/>
        <v>INSERT INTO Operacao (idOperacao, designacaoOperacaoAgricola, designacaoUnidade, quantidade, dataOperacao) VALUES (42, 'Rega', 'm3',   40.0,  TO_DATE('10/08/Friday - 00:00', 'DD/MM/YYYY - HH:MI'));</v>
      </c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10"/>
      <c r="AJ43" s="10"/>
      <c r="AK43" s="10"/>
      <c r="AL43" s="10"/>
      <c r="AN43" s="90" t="str">
        <f t="shared" si="2"/>
        <v>INSERT INTO OperacaoCultura (idOperacao, nomeParcela, dataInicial, nomeComum, variedade) VALUES (42, 'Lameiro da ponte', TO_DATE('08/01/Sunday', 'DD/MM/YYYY'), 'Macieira', UPPER('Royal Gala') );</v>
      </c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</row>
    <row r="44" spans="1:59" ht="15" hidden="1" thickTop="1" thickBot="1">
      <c r="A44" s="80">
        <v>107</v>
      </c>
      <c r="B44" s="80" t="s">
        <v>225</v>
      </c>
      <c r="C44" s="80" t="s">
        <v>234</v>
      </c>
      <c r="D44" s="80"/>
      <c r="E44" s="81" t="s">
        <v>254</v>
      </c>
      <c r="F44" s="82">
        <v>43323</v>
      </c>
      <c r="G44" s="80">
        <v>7</v>
      </c>
      <c r="H44" s="80" t="s">
        <v>236</v>
      </c>
      <c r="I44" s="80"/>
      <c r="J44" s="80">
        <f>MATCH(E44,Culturas!$B$38:$B$54,0)</f>
        <v>16</v>
      </c>
      <c r="K44" s="141">
        <f>INDEX(Culturas!$E$2:$E$28,MATCH(Operações!E44,Culturas!$C$2:$C$29,0))</f>
        <v>43110</v>
      </c>
      <c r="L44" s="23">
        <f t="shared" si="3"/>
        <v>43</v>
      </c>
      <c r="M44" s="68" t="s">
        <v>266</v>
      </c>
      <c r="O44" s="23" t="str">
        <f t="shared" si="0"/>
        <v>Videira</v>
      </c>
      <c r="R44" s="10" t="str">
        <f t="shared" si="6"/>
        <v>INSERT INTO Operacao (idOperacao, designacaoOperacaoAgricola, designacaoUnidade, quantidade, dataOperacao) VALUES (43, 'Rega', 'm3',   70.0,  TO_DATE('11/08/Saturday - 00:00', 'DD/MM/YYYY - HH:MI'));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N44" s="90" t="str">
        <f t="shared" si="2"/>
        <v>INSERT INTO OperacaoCultura (idOperacao, nomeParcela, dataInicial, nomeComum, variedade) VALUES (43, 'Vinha', TO_DATE('10/01/Wednesday', 'DD/MM/YYYY'), 'Videira', UPPER('Dona Maria') );</v>
      </c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</row>
    <row r="45" spans="1:59" ht="15" hidden="1" thickTop="1" thickBot="1">
      <c r="A45" s="80">
        <v>107</v>
      </c>
      <c r="B45" s="80" t="s">
        <v>225</v>
      </c>
      <c r="C45" s="80" t="s">
        <v>234</v>
      </c>
      <c r="D45" s="80"/>
      <c r="E45" s="81" t="s">
        <v>255</v>
      </c>
      <c r="F45" s="82">
        <v>43323</v>
      </c>
      <c r="G45" s="80">
        <v>7</v>
      </c>
      <c r="H45" s="80" t="s">
        <v>236</v>
      </c>
      <c r="I45" s="80"/>
      <c r="J45" s="80">
        <f>MATCH(E45,Culturas!$B$38:$B$54,0)</f>
        <v>17</v>
      </c>
      <c r="K45" s="141">
        <f>INDEX(Culturas!$E$2:$E$28,MATCH(Operações!E45,Culturas!$C$2:$C$29,0))</f>
        <v>43111</v>
      </c>
      <c r="L45" s="23">
        <f t="shared" si="3"/>
        <v>44</v>
      </c>
      <c r="M45" s="68" t="s">
        <v>266</v>
      </c>
      <c r="O45" s="23" t="str">
        <f t="shared" si="0"/>
        <v>Videira</v>
      </c>
      <c r="R45" s="10" t="str">
        <f t="shared" si="6"/>
        <v>INSERT INTO Operacao (idOperacao, designacaoOperacaoAgricola, designacaoUnidade, quantidade, dataOperacao) VALUES (44, 'Rega', 'm3',   70.0,  TO_DATE('11/08/Saturday - 00:00', 'DD/MM/YYYY - HH:MI'));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N45" s="90" t="str">
        <f t="shared" si="2"/>
        <v>INSERT INTO OperacaoCultura (idOperacao, nomeParcela, dataInicial, nomeComum, variedade) VALUES (44, 'Vinha', TO_DATE('11/01/Thursday', 'DD/MM/YYYY'), 'Videira', UPPER('Cardinal') );</v>
      </c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</row>
    <row r="46" spans="1:59" ht="15" hidden="1" thickTop="1" thickBot="1">
      <c r="A46" s="37">
        <v>104</v>
      </c>
      <c r="B46" s="37" t="s">
        <v>220</v>
      </c>
      <c r="C46" s="37" t="s">
        <v>234</v>
      </c>
      <c r="D46" s="37"/>
      <c r="E46" s="37" t="s">
        <v>251</v>
      </c>
      <c r="F46" s="38">
        <v>43345</v>
      </c>
      <c r="G46" s="37">
        <v>4</v>
      </c>
      <c r="H46" s="37" t="str">
        <f t="shared" ref="H46:H51" si="7">"m3"</f>
        <v>m3</v>
      </c>
      <c r="I46" s="37"/>
      <c r="J46" s="37">
        <f>MATCH(E46,Culturas!$B$38:$B$54,0)</f>
        <v>3</v>
      </c>
      <c r="K46" s="143">
        <f>INDEX(Culturas!$E$2:$E$28,MATCH(Operações!E46,Culturas!$C$2:$C$29,0))</f>
        <v>42742</v>
      </c>
      <c r="L46" s="23">
        <f t="shared" si="3"/>
        <v>45</v>
      </c>
      <c r="M46" s="68" t="s">
        <v>266</v>
      </c>
      <c r="O46" s="23" t="str">
        <f t="shared" si="0"/>
        <v>Macieira</v>
      </c>
      <c r="R46" s="10" t="str">
        <f t="shared" si="6"/>
        <v>INSERT INTO Operacao (idOperacao, designacaoOperacaoAgricola, designacaoUnidade, quantidade, dataOperacao) VALUES (45, 'Rega', 'm3',   40.0,  TO_DATE('02/09/Sunday - 00:00', 'DD/MM/YYYY - HH:MI'));</v>
      </c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10"/>
      <c r="AJ46" s="10"/>
      <c r="AK46" s="10"/>
      <c r="AL46" s="10"/>
      <c r="AN46" s="90" t="str">
        <f t="shared" si="2"/>
        <v>INSERT INTO OperacaoCultura (idOperacao, nomeParcela, dataInicial, nomeComum, variedade) VALUES (45, 'Lameiro da ponte', TO_DATE('07/01/Saturday', 'DD/MM/YYYY'), 'Macieira', UPPER('Jonagored') );</v>
      </c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</row>
    <row r="47" spans="1:59" ht="15" hidden="1" thickTop="1" thickBot="1">
      <c r="A47" s="37">
        <v>104</v>
      </c>
      <c r="B47" s="37" t="s">
        <v>220</v>
      </c>
      <c r="C47" s="37" t="s">
        <v>234</v>
      </c>
      <c r="D47" s="37"/>
      <c r="E47" s="37" t="s">
        <v>252</v>
      </c>
      <c r="F47" s="38">
        <v>43345</v>
      </c>
      <c r="G47" s="37">
        <v>4</v>
      </c>
      <c r="H47" s="37" t="str">
        <f t="shared" si="7"/>
        <v>m3</v>
      </c>
      <c r="I47" s="37"/>
      <c r="J47" s="37">
        <f>MATCH(E47,Culturas!$B$38:$B$54,0)</f>
        <v>4</v>
      </c>
      <c r="K47" s="143">
        <f>INDEX(Culturas!$E$2:$E$28,MATCH(Operações!E47,Culturas!$C$2:$C$29,0))</f>
        <v>42743</v>
      </c>
      <c r="L47" s="23">
        <f t="shared" si="3"/>
        <v>46</v>
      </c>
      <c r="M47" s="68" t="s">
        <v>266</v>
      </c>
      <c r="O47" s="23" t="str">
        <f t="shared" si="0"/>
        <v>Macieira</v>
      </c>
      <c r="R47" s="10" t="str">
        <f t="shared" si="6"/>
        <v>INSERT INTO Operacao (idOperacao, designacaoOperacaoAgricola, designacaoUnidade, quantidade, dataOperacao) VALUES (46, 'Rega', 'm3',   40.0,  TO_DATE('02/09/Sunday - 00:00', 'DD/MM/YYYY - HH:MI'));</v>
      </c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10"/>
      <c r="AJ47" s="10"/>
      <c r="AK47" s="10"/>
      <c r="AL47" s="10"/>
      <c r="AN47" s="90" t="str">
        <f t="shared" si="2"/>
        <v>INSERT INTO OperacaoCultura (idOperacao, nomeParcela, dataInicial, nomeComum, variedade) VALUES (46, 'Lameiro da ponte', TO_DATE('08/01/Sunday', 'DD/MM/YYYY'), 'Macieira', UPPER('Fuji') );</v>
      </c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</row>
    <row r="48" spans="1:59" ht="15" hidden="1" thickTop="1" thickBot="1">
      <c r="A48" s="49">
        <v>104</v>
      </c>
      <c r="B48" s="49" t="s">
        <v>220</v>
      </c>
      <c r="C48" s="49" t="s">
        <v>234</v>
      </c>
      <c r="D48" s="49"/>
      <c r="E48" s="49" t="s">
        <v>253</v>
      </c>
      <c r="F48" s="50">
        <v>43345</v>
      </c>
      <c r="G48" s="49">
        <v>4</v>
      </c>
      <c r="H48" s="49" t="str">
        <f t="shared" si="7"/>
        <v>m3</v>
      </c>
      <c r="I48" s="49"/>
      <c r="J48" s="49">
        <f>MATCH(E48,Culturas!$B$38:$B$54,0)</f>
        <v>5</v>
      </c>
      <c r="K48" s="145">
        <f>INDEX(Culturas!$E$2:$E$28,MATCH(Operações!E48,Culturas!$C$2:$C$29,0))</f>
        <v>42743</v>
      </c>
      <c r="L48" s="23">
        <f t="shared" si="3"/>
        <v>47</v>
      </c>
      <c r="M48" s="68" t="s">
        <v>266</v>
      </c>
      <c r="O48" s="23" t="str">
        <f t="shared" si="0"/>
        <v>Macieira</v>
      </c>
      <c r="R48" s="10" t="str">
        <f t="shared" si="6"/>
        <v>INSERT INTO Operacao (idOperacao, designacaoOperacaoAgricola, designacaoUnidade, quantidade, dataOperacao) VALUES (47, 'Rega', 'm3',   40.0,  TO_DATE('02/09/Sunday - 00:00', 'DD/MM/YYYY - HH:MI'));</v>
      </c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10"/>
      <c r="AJ48" s="10"/>
      <c r="AK48" s="10"/>
      <c r="AL48" s="10"/>
      <c r="AN48" s="90" t="str">
        <f t="shared" si="2"/>
        <v>INSERT INTO OperacaoCultura (idOperacao, nomeParcela, dataInicial, nomeComum, variedade) VALUES (47, 'Lameiro da ponte', TO_DATE('08/01/Sunday', 'DD/MM/YYYY'), 'Macieira', UPPER('Royal Gala') );</v>
      </c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</row>
    <row r="49" spans="1:59" ht="15" hidden="1" thickTop="1" thickBot="1">
      <c r="A49" s="37">
        <v>104</v>
      </c>
      <c r="B49" s="37" t="s">
        <v>220</v>
      </c>
      <c r="C49" s="37" t="s">
        <v>234</v>
      </c>
      <c r="D49" s="37"/>
      <c r="E49" s="37" t="s">
        <v>251</v>
      </c>
      <c r="F49" s="38">
        <v>43353</v>
      </c>
      <c r="G49" s="37">
        <v>4</v>
      </c>
      <c r="H49" s="37" t="str">
        <f t="shared" si="7"/>
        <v>m3</v>
      </c>
      <c r="I49" s="37"/>
      <c r="J49" s="37">
        <f>MATCH(E49,Culturas!$B$38:$B$54,0)</f>
        <v>3</v>
      </c>
      <c r="K49" s="143">
        <f>INDEX(Culturas!$E$2:$E$28,MATCH(Operações!E49,Culturas!$C$2:$C$29,0))</f>
        <v>42742</v>
      </c>
      <c r="L49" s="23">
        <f t="shared" si="3"/>
        <v>48</v>
      </c>
      <c r="M49" s="68" t="s">
        <v>266</v>
      </c>
      <c r="O49" s="23" t="str">
        <f t="shared" si="0"/>
        <v>Macieira</v>
      </c>
      <c r="R49" s="10" t="str">
        <f t="shared" si="6"/>
        <v>INSERT INTO Operacao (idOperacao, designacaoOperacaoAgricola, designacaoUnidade, quantidade, dataOperacao) VALUES (48, 'Rega', 'm3',   40.0,  TO_DATE('10/09/Monday - 00:00', 'DD/MM/YYYY - HH:MI'));</v>
      </c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10"/>
      <c r="AJ49" s="10"/>
      <c r="AK49" s="10"/>
      <c r="AL49" s="10"/>
      <c r="AN49" s="90" t="str">
        <f t="shared" si="2"/>
        <v>INSERT INTO OperacaoCultura (idOperacao, nomeParcela, dataInicial, nomeComum, variedade) VALUES (48, 'Lameiro da ponte', TO_DATE('07/01/Saturday', 'DD/MM/YYYY'), 'Macieira', UPPER('Jonagored') );</v>
      </c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</row>
    <row r="50" spans="1:59" ht="15" hidden="1" thickTop="1" thickBot="1">
      <c r="A50" s="37">
        <v>104</v>
      </c>
      <c r="B50" s="37" t="s">
        <v>220</v>
      </c>
      <c r="C50" s="37" t="s">
        <v>234</v>
      </c>
      <c r="D50" s="37"/>
      <c r="E50" s="37" t="s">
        <v>252</v>
      </c>
      <c r="F50" s="38">
        <v>43353</v>
      </c>
      <c r="G50" s="37">
        <v>4</v>
      </c>
      <c r="H50" s="37" t="str">
        <f t="shared" si="7"/>
        <v>m3</v>
      </c>
      <c r="I50" s="37"/>
      <c r="J50" s="37">
        <f>MATCH(E50,Culturas!$B$38:$B$54,0)</f>
        <v>4</v>
      </c>
      <c r="K50" s="143">
        <f>INDEX(Culturas!$E$2:$E$28,MATCH(Operações!E50,Culturas!$C$2:$C$29,0))</f>
        <v>42743</v>
      </c>
      <c r="L50" s="23">
        <f t="shared" si="3"/>
        <v>49</v>
      </c>
      <c r="M50" s="68" t="s">
        <v>266</v>
      </c>
      <c r="O50" s="23" t="str">
        <f t="shared" si="0"/>
        <v>Macieira</v>
      </c>
      <c r="R50" s="10" t="str">
        <f t="shared" si="6"/>
        <v>INSERT INTO Operacao (idOperacao, designacaoOperacaoAgricola, designacaoUnidade, quantidade, dataOperacao) VALUES (49, 'Rega', 'm3',   40.0,  TO_DATE('10/09/Monday - 00:00', 'DD/MM/YYYY - HH:MI'));</v>
      </c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10"/>
      <c r="AJ50" s="10"/>
      <c r="AK50" s="10"/>
      <c r="AL50" s="10"/>
      <c r="AN50" s="90" t="str">
        <f t="shared" si="2"/>
        <v>INSERT INTO OperacaoCultura (idOperacao, nomeParcela, dataInicial, nomeComum, variedade) VALUES (49, 'Lameiro da ponte', TO_DATE('08/01/Sunday', 'DD/MM/YYYY'), 'Macieira', UPPER('Fuji') );</v>
      </c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</row>
    <row r="51" spans="1:59" ht="15" hidden="1" thickTop="1" thickBot="1">
      <c r="A51" s="37">
        <v>104</v>
      </c>
      <c r="B51" s="37" t="s">
        <v>220</v>
      </c>
      <c r="C51" s="37" t="s">
        <v>234</v>
      </c>
      <c r="D51" s="37"/>
      <c r="E51" s="37" t="s">
        <v>253</v>
      </c>
      <c r="F51" s="38">
        <v>43353</v>
      </c>
      <c r="G51" s="37">
        <v>4</v>
      </c>
      <c r="H51" s="37" t="str">
        <f t="shared" si="7"/>
        <v>m3</v>
      </c>
      <c r="I51" s="37"/>
      <c r="J51" s="37">
        <f>MATCH(E51,Culturas!$B$38:$B$54,0)</f>
        <v>5</v>
      </c>
      <c r="K51" s="143">
        <f>INDEX(Culturas!$E$2:$E$28,MATCH(Operações!E51,Culturas!$C$2:$C$29,0))</f>
        <v>42743</v>
      </c>
      <c r="L51" s="23">
        <f t="shared" si="3"/>
        <v>50</v>
      </c>
      <c r="M51" s="68" t="s">
        <v>266</v>
      </c>
      <c r="O51" s="23" t="str">
        <f t="shared" si="0"/>
        <v>Macieira</v>
      </c>
      <c r="R51" s="10" t="str">
        <f t="shared" si="6"/>
        <v>INSERT INTO Operacao (idOperacao, designacaoOperacaoAgricola, designacaoUnidade, quantidade, dataOperacao) VALUES (50, 'Rega', 'm3',   40.0,  TO_DATE('10/09/Monday - 00:00', 'DD/MM/YYYY - HH:MI'));</v>
      </c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10"/>
      <c r="AJ51" s="10"/>
      <c r="AK51" s="10"/>
      <c r="AL51" s="10"/>
      <c r="AN51" s="90" t="str">
        <f t="shared" si="2"/>
        <v>INSERT INTO OperacaoCultura (idOperacao, nomeParcela, dataInicial, nomeComum, variedade) VALUES (50, 'Lameiro da ponte', TO_DATE('08/01/Sunday', 'DD/MM/YYYY'), 'Macieira', UPPER('Royal Gala') );</v>
      </c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</row>
    <row r="52" spans="1:59" ht="15" hidden="1" thickTop="1" thickBot="1">
      <c r="A52">
        <v>102</v>
      </c>
      <c r="B52" t="s">
        <v>218</v>
      </c>
      <c r="C52" t="s">
        <v>5</v>
      </c>
      <c r="E52" t="s">
        <v>243</v>
      </c>
      <c r="F52" s="1">
        <v>43421</v>
      </c>
      <c r="G52">
        <v>30</v>
      </c>
      <c r="H52" t="s">
        <v>267</v>
      </c>
      <c r="J52" s="23">
        <f>MATCH(E52,Culturas!$B$38:$B$54,0)</f>
        <v>1</v>
      </c>
      <c r="K52" s="35">
        <f>INDEX(Culturas!$E$12:$E$13,MATCH(Operações!E52,Culturas!$C$12:$C$13,0))</f>
        <v>42649</v>
      </c>
      <c r="L52" s="23">
        <f t="shared" si="3"/>
        <v>51</v>
      </c>
      <c r="M52" s="68" t="s">
        <v>266</v>
      </c>
      <c r="O52" s="23" t="str">
        <f t="shared" si="0"/>
        <v>Oliveira</v>
      </c>
      <c r="R52" s="10" t="str">
        <f t="shared" si="1"/>
        <v>INSERT INTO Operacao (idOperacao, designacaoOperacaoAgricola, designacaoUnidade, quantidade, dataOperacao) VALUES (51, 'Poda', 'un',   300.0,  TO_DATE('17/11/Saturday', 'DD/MM/YYYY'));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N52" s="90" t="str">
        <f t="shared" si="2"/>
        <v>INSERT INTO OperacaoCultura (idOperacao, nomeParcela, dataInicial, nomeComum, variedade) VALUES (51, 'Campo Grande', TO_DATE('06/10/Thursday', 'DD/MM/YYYY'), 'Oliveira', UPPER('Galega') );</v>
      </c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</row>
    <row r="53" spans="1:59" ht="15" hidden="1" thickTop="1" thickBot="1">
      <c r="A53">
        <v>102</v>
      </c>
      <c r="B53" t="s">
        <v>218</v>
      </c>
      <c r="C53" t="s">
        <v>5</v>
      </c>
      <c r="E53" t="s">
        <v>244</v>
      </c>
      <c r="F53" s="1">
        <v>43421</v>
      </c>
      <c r="G53">
        <v>20</v>
      </c>
      <c r="H53" t="s">
        <v>267</v>
      </c>
      <c r="J53" s="23">
        <f>MATCH(E53,Culturas!$B$38:$B$54,0)</f>
        <v>2</v>
      </c>
      <c r="K53" s="35">
        <f>INDEX(Culturas!$E$12:$E$13,MATCH(Operações!E53,Culturas!$C$12:$C$13,0))</f>
        <v>42653</v>
      </c>
      <c r="L53" s="23">
        <f t="shared" si="3"/>
        <v>52</v>
      </c>
      <c r="M53" s="68" t="s">
        <v>266</v>
      </c>
      <c r="O53" s="23" t="str">
        <f t="shared" si="0"/>
        <v>Oliveira</v>
      </c>
      <c r="R53" s="10" t="str">
        <f t="shared" si="1"/>
        <v>INSERT INTO Operacao (idOperacao, designacaoOperacaoAgricola, designacaoUnidade, quantidade, dataOperacao) VALUES (52, 'Poda', 'un',   200.0,  TO_DATE('17/11/Saturday', 'DD/MM/YYYY'));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N53" s="90" t="str">
        <f t="shared" si="2"/>
        <v>INSERT INTO OperacaoCultura (idOperacao, nomeParcela, dataInicial, nomeComum, variedade) VALUES (52, 'Campo Grande', TO_DATE('10/10/Monday', 'DD/MM/YYYY'), 'Oliveira', UPPER('Picual') );</v>
      </c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</row>
    <row r="54" spans="1:59" ht="15" hidden="1" thickTop="1" thickBot="1">
      <c r="A54" s="64">
        <v>104</v>
      </c>
      <c r="B54" s="64" t="s">
        <v>220</v>
      </c>
      <c r="C54" s="63" t="s">
        <v>289</v>
      </c>
      <c r="D54" s="64"/>
      <c r="E54" s="64" t="s">
        <v>253</v>
      </c>
      <c r="F54" s="65">
        <v>43444</v>
      </c>
      <c r="G54" s="64">
        <v>30</v>
      </c>
      <c r="H54" s="64" t="s">
        <v>267</v>
      </c>
      <c r="I54" s="64"/>
      <c r="J54" s="64">
        <f>MATCH(E54,Culturas!$B$38:$B$54,0)</f>
        <v>5</v>
      </c>
      <c r="K54" s="105">
        <v>43444</v>
      </c>
      <c r="L54" s="23">
        <f t="shared" si="3"/>
        <v>53</v>
      </c>
      <c r="M54" s="68" t="s">
        <v>266</v>
      </c>
      <c r="O54" s="23" t="str">
        <f t="shared" si="0"/>
        <v>Macieira</v>
      </c>
      <c r="R54" s="10" t="str">
        <f t="shared" si="1"/>
        <v>INSERT INTO Operacao (idOperacao, designacaoOperacaoAgricola, designacaoUnidade, quantidade, dataOperacao) VALUES (53, 'Plantação', 'un',   300.0,  TO_DATE('10/12/Monday', 'DD/MM/YYYY'));</v>
      </c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10"/>
      <c r="AJ54" s="10"/>
      <c r="AK54" s="10"/>
      <c r="AL54" s="10"/>
      <c r="AN54" s="90" t="str">
        <f t="shared" si="2"/>
        <v>INSERT INTO OperacaoCultura (idOperacao, nomeParcela, dataInicial, nomeComum, variedade) VALUES (53, 'Lameiro da ponte', TO_DATE('10/12/Monday', 'DD/MM/YYYY'), 'Macieira', UPPER('Royal Gala') );</v>
      </c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</row>
    <row r="55" spans="1:59" ht="15" hidden="1" thickTop="1" thickBot="1">
      <c r="A55">
        <v>107</v>
      </c>
      <c r="B55" t="s">
        <v>225</v>
      </c>
      <c r="C55" t="s">
        <v>5</v>
      </c>
      <c r="E55" t="s">
        <v>254</v>
      </c>
      <c r="F55" s="1">
        <v>43450</v>
      </c>
      <c r="G55">
        <v>500</v>
      </c>
      <c r="H55" t="s">
        <v>267</v>
      </c>
      <c r="J55" s="23">
        <f>MATCH(E55,Culturas!$B$38:$B$54,0)</f>
        <v>16</v>
      </c>
      <c r="K55" s="139">
        <f>INDEX(Culturas!$E$2:$E$28,MATCH(Operações!E55,Culturas!$C$2:$C$29,0))</f>
        <v>43110</v>
      </c>
      <c r="L55" s="23">
        <f t="shared" si="3"/>
        <v>54</v>
      </c>
      <c r="M55" s="68" t="s">
        <v>266</v>
      </c>
      <c r="O55" s="23" t="str">
        <f t="shared" si="0"/>
        <v>Videira</v>
      </c>
      <c r="R55" s="10" t="str">
        <f t="shared" si="1"/>
        <v>INSERT INTO Operacao (idOperacao, designacaoOperacaoAgricola, designacaoUnidade, quantidade, dataOperacao) VALUES (54, 'Poda', 'un',   5000.0,  TO_DATE('16/12/Sunday', 'DD/MM/YYYY'));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N55" s="90" t="str">
        <f t="shared" si="2"/>
        <v>INSERT INTO OperacaoCultura (idOperacao, nomeParcela, dataInicial, nomeComum, variedade) VALUES (54, 'Vinha', TO_DATE('10/01/Wednesday', 'DD/MM/YYYY'), 'Videira', UPPER('Dona Maria') );</v>
      </c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</row>
    <row r="56" spans="1:59" ht="15" hidden="1" thickTop="1" thickBot="1">
      <c r="A56">
        <v>107</v>
      </c>
      <c r="B56" t="s">
        <v>225</v>
      </c>
      <c r="C56" t="s">
        <v>5</v>
      </c>
      <c r="E56" t="s">
        <v>255</v>
      </c>
      <c r="F56" s="1">
        <v>43452</v>
      </c>
      <c r="G56">
        <v>700</v>
      </c>
      <c r="H56" t="s">
        <v>267</v>
      </c>
      <c r="J56" s="23">
        <f>MATCH(E56,Culturas!$B$38:$B$54,0)</f>
        <v>17</v>
      </c>
      <c r="K56" s="139">
        <f>INDEX(Culturas!$E$2:$E$28,MATCH(Operações!E56,Culturas!$C$2:$C$29,0))</f>
        <v>43111</v>
      </c>
      <c r="L56" s="23">
        <f t="shared" si="3"/>
        <v>55</v>
      </c>
      <c r="M56" s="68" t="s">
        <v>266</v>
      </c>
      <c r="O56" s="23" t="str">
        <f t="shared" si="0"/>
        <v>Videira</v>
      </c>
      <c r="R56" s="10" t="str">
        <f t="shared" si="1"/>
        <v>INSERT INTO Operacao (idOperacao, designacaoOperacaoAgricola, designacaoUnidade, quantidade, dataOperacao) VALUES (55, 'Poda', 'un',   7000.0,  TO_DATE('18/12/Tuesday', 'DD/MM/YYYY'));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N56" s="90" t="str">
        <f t="shared" si="2"/>
        <v>INSERT INTO OperacaoCultura (idOperacao, nomeParcela, dataInicial, nomeComum, variedade) VALUES (55, 'Vinha', TO_DATE('11/01/Thursday', 'DD/MM/YYYY'), 'Videira', UPPER('Cardinal') );</v>
      </c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</row>
    <row r="57" spans="1:59" ht="15" hidden="1" thickTop="1" thickBot="1">
      <c r="A57">
        <v>104</v>
      </c>
      <c r="B57" t="s">
        <v>220</v>
      </c>
      <c r="C57" t="s">
        <v>5</v>
      </c>
      <c r="E57" t="s">
        <v>251</v>
      </c>
      <c r="F57" s="1">
        <v>43472</v>
      </c>
      <c r="G57">
        <v>90</v>
      </c>
      <c r="H57" t="s">
        <v>267</v>
      </c>
      <c r="J57" s="23">
        <f>MATCH(E57,Culturas!$B$38:$B$54,0)</f>
        <v>3</v>
      </c>
      <c r="K57" s="139">
        <f>INDEX(Culturas!$E$2:$E$28,MATCH(Operações!E57,Culturas!$C$2:$C$29,0))</f>
        <v>42742</v>
      </c>
      <c r="L57" s="23">
        <f t="shared" si="3"/>
        <v>56</v>
      </c>
      <c r="M57" s="68" t="s">
        <v>266</v>
      </c>
      <c r="O57" s="23" t="str">
        <f t="shared" si="0"/>
        <v>Macieira</v>
      </c>
      <c r="R57" s="10" t="str">
        <f t="shared" si="1"/>
        <v>INSERT INTO Operacao (idOperacao, designacaoOperacaoAgricola, designacaoUnidade, quantidade, dataOperacao) VALUES (56, 'Poda', 'un',   900.0,  TO_DATE('07/01/Monday', 'DD/MM/YYYY'));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N57" s="90" t="str">
        <f t="shared" si="2"/>
        <v>INSERT INTO OperacaoCultura (idOperacao, nomeParcela, dataInicial, nomeComum, variedade) VALUES (56, 'Lameiro da ponte', TO_DATE('07/01/Saturday', 'DD/MM/YYYY'), 'Macieira', UPPER('Jonagored') );</v>
      </c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</row>
    <row r="58" spans="1:59" ht="15" hidden="1" thickTop="1" thickBot="1">
      <c r="A58">
        <v>104</v>
      </c>
      <c r="B58" t="s">
        <v>220</v>
      </c>
      <c r="C58" t="s">
        <v>5</v>
      </c>
      <c r="E58" t="s">
        <v>252</v>
      </c>
      <c r="F58" s="1">
        <v>43473</v>
      </c>
      <c r="G58">
        <v>60</v>
      </c>
      <c r="H58" t="s">
        <v>267</v>
      </c>
      <c r="J58" s="23">
        <f>MATCH(E58,Culturas!$B$38:$B$54,0)</f>
        <v>4</v>
      </c>
      <c r="K58" s="139">
        <f>INDEX(Culturas!$E$2:$E$28,MATCH(Operações!E58,Culturas!$C$2:$C$29,0))</f>
        <v>42743</v>
      </c>
      <c r="L58" s="23">
        <f t="shared" si="3"/>
        <v>57</v>
      </c>
      <c r="M58" s="68" t="s">
        <v>266</v>
      </c>
      <c r="O58" s="23" t="str">
        <f t="shared" si="0"/>
        <v>Macieira</v>
      </c>
      <c r="R58" s="10" t="str">
        <f t="shared" si="1"/>
        <v>INSERT INTO Operacao (idOperacao, designacaoOperacaoAgricola, designacaoUnidade, quantidade, dataOperacao) VALUES (57, 'Poda', 'un',   600.0,  TO_DATE('08/01/Tuesday', 'DD/MM/YYYY'));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N58" s="90" t="str">
        <f t="shared" si="2"/>
        <v>INSERT INTO OperacaoCultura (idOperacao, nomeParcela, dataInicial, nomeComum, variedade) VALUES (57, 'Lameiro da ponte', TO_DATE('08/01/Sunday', 'DD/MM/YYYY'), 'Macieira', UPPER('Fuji') );</v>
      </c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</row>
    <row r="59" spans="1:59" ht="15" hidden="1" thickTop="1" thickBot="1">
      <c r="A59" s="51">
        <v>104</v>
      </c>
      <c r="B59" s="51" t="s">
        <v>220</v>
      </c>
      <c r="C59" s="51" t="s">
        <v>5</v>
      </c>
      <c r="D59" s="51"/>
      <c r="E59" s="51" t="s">
        <v>253</v>
      </c>
      <c r="F59" s="52">
        <v>43473</v>
      </c>
      <c r="G59" s="51">
        <v>40</v>
      </c>
      <c r="H59" s="51" t="s">
        <v>267</v>
      </c>
      <c r="I59" s="51"/>
      <c r="J59" s="51">
        <f>MATCH(E59,Culturas!$B$38:$B$54,0)</f>
        <v>5</v>
      </c>
      <c r="K59" s="144">
        <f>INDEX(Culturas!$E$2:$E$28,MATCH(Operações!E59,Culturas!$C$2:$C$29,0))</f>
        <v>42743</v>
      </c>
      <c r="L59" s="23">
        <f t="shared" si="3"/>
        <v>58</v>
      </c>
      <c r="M59" s="68" t="s">
        <v>266</v>
      </c>
      <c r="O59" s="23" t="str">
        <f t="shared" si="0"/>
        <v>Macieira</v>
      </c>
      <c r="R59" s="10" t="str">
        <f t="shared" si="1"/>
        <v>INSERT INTO Operacao (idOperacao, designacaoOperacaoAgricola, designacaoUnidade, quantidade, dataOperacao) VALUES (58, 'Poda', 'un',   400.0,  TO_DATE('08/01/Tuesday', 'DD/MM/YYYY'));</v>
      </c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10"/>
      <c r="AJ59" s="10"/>
      <c r="AK59" s="10"/>
      <c r="AL59" s="10"/>
      <c r="AN59" s="90" t="str">
        <f t="shared" si="2"/>
        <v>INSERT INTO OperacaoCultura (idOperacao, nomeParcela, dataInicial, nomeComum, variedade) VALUES (58, 'Lameiro da ponte', TO_DATE('08/01/Sunday', 'DD/MM/YYYY'), 'Macieira', UPPER('Royal Gala') );</v>
      </c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</row>
    <row r="60" spans="1:59" ht="15" hidden="1" thickTop="1" thickBot="1">
      <c r="A60" s="51">
        <v>104</v>
      </c>
      <c r="B60" s="51" t="s">
        <v>220</v>
      </c>
      <c r="C60" s="51" t="s">
        <v>5</v>
      </c>
      <c r="D60" s="51"/>
      <c r="E60" s="51" t="s">
        <v>253</v>
      </c>
      <c r="F60" s="52">
        <v>43473</v>
      </c>
      <c r="G60" s="51">
        <v>40</v>
      </c>
      <c r="H60" s="51" t="s">
        <v>267</v>
      </c>
      <c r="I60" s="51"/>
      <c r="J60" s="51">
        <f>MATCH(E60,Culturas!$B$38:$B$54,0)</f>
        <v>5</v>
      </c>
      <c r="K60" s="53">
        <v>43444</v>
      </c>
      <c r="L60" s="23">
        <f t="shared" si="3"/>
        <v>59</v>
      </c>
      <c r="M60" s="68" t="s">
        <v>266</v>
      </c>
      <c r="O60" s="23" t="str">
        <f t="shared" si="0"/>
        <v>Macieira</v>
      </c>
      <c r="R60" s="10" t="str">
        <f t="shared" si="1"/>
        <v>INSERT INTO Operacao (idOperacao, designacaoOperacaoAgricola, designacaoUnidade, quantidade, dataOperacao) VALUES (59, 'Poda', 'un',   400.0,  TO_DATE('08/01/Tuesday', 'DD/MM/YYYY'));</v>
      </c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10"/>
      <c r="AJ60" s="10"/>
      <c r="AK60" s="10"/>
      <c r="AL60" s="10"/>
      <c r="AN60" s="90" t="str">
        <f t="shared" si="2"/>
        <v>INSERT INTO OperacaoCultura (idOperacao, nomeParcela, dataInicial, nomeComum, variedade) VALUES (59, 'Lameiro da ponte', TO_DATE('10/12/Monday', 'DD/MM/YYYY'), 'Macieira', UPPER('Royal Gala') );</v>
      </c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</row>
    <row r="61" spans="1:59" ht="15" thickTop="1" thickBot="1">
      <c r="A61">
        <v>107</v>
      </c>
      <c r="B61" t="s">
        <v>225</v>
      </c>
      <c r="C61" t="s">
        <v>293</v>
      </c>
      <c r="E61" t="s">
        <v>254</v>
      </c>
      <c r="F61" s="1">
        <v>43485</v>
      </c>
      <c r="G61">
        <v>2</v>
      </c>
      <c r="H61" t="s">
        <v>292</v>
      </c>
      <c r="I61" t="s">
        <v>163</v>
      </c>
      <c r="J61" s="23">
        <f>MATCH(E61,Culturas!$B$38:$B$54,0)</f>
        <v>16</v>
      </c>
      <c r="K61" s="139">
        <f>INDEX(Culturas!$E$2:$E$28,MATCH(Operações!E61,Culturas!$C$2:$C$29,0))</f>
        <v>43110</v>
      </c>
      <c r="L61" s="84">
        <f t="shared" si="3"/>
        <v>60</v>
      </c>
      <c r="M61" s="68" t="s">
        <v>266</v>
      </c>
      <c r="O61" s="23" t="str">
        <f t="shared" si="0"/>
        <v>Videira</v>
      </c>
      <c r="R61" s="10" t="str">
        <f t="shared" si="1"/>
        <v>INSERT INTO Operacao (idOperacao, designacaoOperacaoAgricola, designacaoUnidade, quantidade, dataOperacao) VALUES (60, 'Aplicação fitofármaco', 'kg',   20.0,  TO_DATE('20/01/Sunday', 'DD/MM/YYYY'));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N61" s="90" t="str">
        <f t="shared" si="2"/>
        <v>INSERT INTO OperacaoCultura (idOperacao, nomeParcela, dataInicial, nomeComum, variedade) VALUES (60, 'Vinha', TO_DATE('10/01/Wednesday', 'DD/MM/YYYY'), 'Videira', UPPER('Dona Maria') );</v>
      </c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</row>
    <row r="62" spans="1:59" ht="15" thickTop="1" thickBot="1">
      <c r="A62">
        <v>107</v>
      </c>
      <c r="B62" t="s">
        <v>225</v>
      </c>
      <c r="C62" t="s">
        <v>293</v>
      </c>
      <c r="E62" t="s">
        <v>255</v>
      </c>
      <c r="F62" s="1">
        <v>43485</v>
      </c>
      <c r="G62">
        <v>2.5</v>
      </c>
      <c r="H62" t="s">
        <v>292</v>
      </c>
      <c r="I62" t="s">
        <v>163</v>
      </c>
      <c r="J62" s="23">
        <f>MATCH(E62,Culturas!$B$38:$B$54,0)</f>
        <v>17</v>
      </c>
      <c r="K62" s="139">
        <f>INDEX(Culturas!$E$2:$E$28,MATCH(Operações!E62,Culturas!$C$2:$C$29,0))</f>
        <v>43111</v>
      </c>
      <c r="L62" s="84">
        <f t="shared" si="3"/>
        <v>61</v>
      </c>
      <c r="M62" s="68" t="s">
        <v>266</v>
      </c>
      <c r="O62" s="23" t="str">
        <f t="shared" si="0"/>
        <v>Videira</v>
      </c>
      <c r="R62" s="10" t="str">
        <f t="shared" si="1"/>
        <v>INSERT INTO Operacao (idOperacao, designacaoOperacaoAgricola, designacaoUnidade, quantidade, dataOperacao) VALUES (61, 'Aplicação fitofármaco', 'kg',   25.0,  TO_DATE('20/01/Sunday', 'DD/MM/YYYY'));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N62" s="90" t="str">
        <f t="shared" si="2"/>
        <v>INSERT INTO OperacaoCultura (idOperacao, nomeParcela, dataInicial, nomeComum, variedade) VALUES (61, 'Vinha', TO_DATE('11/01/Thursday', 'DD/MM/YYYY'), 'Videira', UPPER('Cardinal') );</v>
      </c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</row>
    <row r="63" spans="1:59" ht="15" hidden="1" thickTop="1" thickBot="1">
      <c r="A63">
        <v>104</v>
      </c>
      <c r="B63" t="s">
        <v>220</v>
      </c>
      <c r="C63" t="s">
        <v>290</v>
      </c>
      <c r="D63" t="s">
        <v>291</v>
      </c>
      <c r="E63" t="s">
        <v>251</v>
      </c>
      <c r="F63" s="1">
        <v>43502</v>
      </c>
      <c r="G63">
        <v>10</v>
      </c>
      <c r="H63" t="s">
        <v>292</v>
      </c>
      <c r="I63" t="s">
        <v>179</v>
      </c>
      <c r="J63" s="23">
        <f>MATCH(E63,Culturas!$B$38:$B$54,0)</f>
        <v>3</v>
      </c>
      <c r="K63" s="139">
        <f>INDEX(Culturas!$E$2:$E$28,MATCH(Operações!E63,Culturas!$C$2:$C$29,0))</f>
        <v>42742</v>
      </c>
      <c r="L63" s="84">
        <f t="shared" si="3"/>
        <v>62</v>
      </c>
      <c r="M63" s="68" t="s">
        <v>266</v>
      </c>
      <c r="O63" s="23" t="str">
        <f t="shared" si="0"/>
        <v>Macieira</v>
      </c>
      <c r="R63" s="10" t="str">
        <f t="shared" si="1"/>
        <v>INSERT INTO Operacao (idOperacao, designacaoOperacaoAgricola, designacaoUnidade, quantidade, dataOperacao) VALUES (62, 'Fertilização', 'kg',   100.0,  TO_DATE('06/02/Wednesday', 'DD/MM/YYYY'));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N63" s="90" t="str">
        <f t="shared" si="2"/>
        <v>INSERT INTO OperacaoCultura (idOperacao, nomeParcela, dataInicial, nomeComum, variedade) VALUES (62, 'Lameiro da ponte', TO_DATE('07/01/Saturday', 'DD/MM/YYYY'), 'Macieira', UPPER('Jonagored') );</v>
      </c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</row>
    <row r="64" spans="1:59" ht="15" hidden="1" thickTop="1" thickBot="1">
      <c r="A64">
        <v>104</v>
      </c>
      <c r="B64" t="s">
        <v>220</v>
      </c>
      <c r="C64" t="s">
        <v>290</v>
      </c>
      <c r="D64" t="s">
        <v>291</v>
      </c>
      <c r="E64" t="s">
        <v>252</v>
      </c>
      <c r="F64" s="1">
        <v>43502</v>
      </c>
      <c r="G64">
        <v>5</v>
      </c>
      <c r="H64" t="s">
        <v>292</v>
      </c>
      <c r="I64" t="s">
        <v>179</v>
      </c>
      <c r="J64" s="23">
        <f>MATCH(E64,Culturas!$B$38:$B$54,0)</f>
        <v>4</v>
      </c>
      <c r="K64" s="139">
        <f>INDEX(Culturas!$E$2:$E$28,MATCH(Operações!E64,Culturas!$C$2:$C$29,0))</f>
        <v>42743</v>
      </c>
      <c r="L64" s="84">
        <f t="shared" si="3"/>
        <v>63</v>
      </c>
      <c r="M64" s="68" t="s">
        <v>266</v>
      </c>
      <c r="O64" s="23" t="str">
        <f t="shared" si="0"/>
        <v>Macieira</v>
      </c>
      <c r="R64" s="10" t="str">
        <f t="shared" si="1"/>
        <v>INSERT INTO Operacao (idOperacao, designacaoOperacaoAgricola, designacaoUnidade, quantidade, dataOperacao) VALUES (63, 'Fertilização', 'kg',   50.0,  TO_DATE('06/02/Wednesday', 'DD/MM/YYYY'));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N64" s="90" t="str">
        <f t="shared" si="2"/>
        <v>INSERT INTO OperacaoCultura (idOperacao, nomeParcela, dataInicial, nomeComum, variedade) VALUES (63, 'Lameiro da ponte', TO_DATE('08/01/Sunday', 'DD/MM/YYYY'), 'Macieira', UPPER('Fuji') );</v>
      </c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</row>
    <row r="65" spans="1:59" ht="15" hidden="1" thickTop="1" thickBot="1">
      <c r="A65" s="51">
        <v>104</v>
      </c>
      <c r="B65" s="51" t="s">
        <v>220</v>
      </c>
      <c r="C65" s="51" t="s">
        <v>290</v>
      </c>
      <c r="D65" s="51" t="s">
        <v>291</v>
      </c>
      <c r="E65" s="51" t="s">
        <v>253</v>
      </c>
      <c r="F65" s="52">
        <v>43502</v>
      </c>
      <c r="G65" s="51">
        <v>7</v>
      </c>
      <c r="H65" s="51" t="s">
        <v>292</v>
      </c>
      <c r="I65" s="51" t="s">
        <v>179</v>
      </c>
      <c r="J65" s="51">
        <f>MATCH(E65,Culturas!$B$38:$B$54,0)</f>
        <v>5</v>
      </c>
      <c r="K65" s="144">
        <f>INDEX(Culturas!$E$2:$E$28,MATCH(Operações!E65,Culturas!$C$2:$C$29,0))</f>
        <v>42743</v>
      </c>
      <c r="L65" s="84">
        <f t="shared" si="3"/>
        <v>64</v>
      </c>
      <c r="M65" s="68" t="s">
        <v>266</v>
      </c>
      <c r="O65" s="23" t="str">
        <f t="shared" si="0"/>
        <v>Macieira</v>
      </c>
      <c r="R65" s="10" t="str">
        <f t="shared" si="1"/>
        <v>INSERT INTO Operacao (idOperacao, designacaoOperacaoAgricola, designacaoUnidade, quantidade, dataOperacao) VALUES (64, 'Fertilização', 'kg',   70.0,  TO_DATE('06/02/Wednesday', 'DD/MM/YYYY'));</v>
      </c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10"/>
      <c r="AJ65" s="10"/>
      <c r="AK65" s="10"/>
      <c r="AL65" s="10"/>
      <c r="AN65" s="90" t="str">
        <f t="shared" si="2"/>
        <v>INSERT INTO OperacaoCultura (idOperacao, nomeParcela, dataInicial, nomeComum, variedade) VALUES (64, 'Lameiro da ponte', TO_DATE('08/01/Sunday', 'DD/MM/YYYY'), 'Macieira', UPPER('Royal Gala') );</v>
      </c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</row>
    <row r="66" spans="1:59" ht="15" hidden="1" thickTop="1" thickBot="1">
      <c r="A66" s="51">
        <v>104</v>
      </c>
      <c r="B66" s="51" t="s">
        <v>220</v>
      </c>
      <c r="C66" s="51" t="s">
        <v>290</v>
      </c>
      <c r="D66" s="51" t="s">
        <v>291</v>
      </c>
      <c r="E66" s="51" t="s">
        <v>253</v>
      </c>
      <c r="F66" s="52">
        <v>43502</v>
      </c>
      <c r="G66" s="51">
        <v>7</v>
      </c>
      <c r="H66" s="51" t="s">
        <v>292</v>
      </c>
      <c r="I66" s="51" t="s">
        <v>179</v>
      </c>
      <c r="J66" s="51">
        <f>MATCH(E66,Culturas!$B$38:$B$54,0)</f>
        <v>5</v>
      </c>
      <c r="K66" s="53">
        <v>43444</v>
      </c>
      <c r="L66" s="84">
        <f t="shared" si="3"/>
        <v>65</v>
      </c>
      <c r="M66" s="68" t="s">
        <v>266</v>
      </c>
      <c r="O66" s="23" t="str">
        <f t="shared" si="0"/>
        <v>Macieira</v>
      </c>
      <c r="R66" s="10" t="str">
        <f t="shared" si="1"/>
        <v>INSERT INTO Operacao (idOperacao, designacaoOperacaoAgricola, designacaoUnidade, quantidade, dataOperacao) VALUES (65, 'Fertilização', 'kg',   70.0,  TO_DATE('06/02/Wednesday', 'DD/MM/YYYY'));</v>
      </c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10"/>
      <c r="AJ66" s="10"/>
      <c r="AK66" s="10"/>
      <c r="AL66" s="10"/>
      <c r="AN66" s="90" t="str">
        <f t="shared" si="2"/>
        <v>INSERT INTO OperacaoCultura (idOperacao, nomeParcela, dataInicial, nomeComum, variedade) VALUES (65, 'Lameiro da ponte', TO_DATE('10/12/Monday', 'DD/MM/YYYY'), 'Macieira', UPPER('Royal Gala') );</v>
      </c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</row>
    <row r="67" spans="1:59" ht="15" hidden="1" thickTop="1" thickBot="1">
      <c r="A67">
        <v>102</v>
      </c>
      <c r="B67" t="s">
        <v>218</v>
      </c>
      <c r="C67" t="s">
        <v>234</v>
      </c>
      <c r="E67" t="s">
        <v>244</v>
      </c>
      <c r="F67" s="1">
        <v>43649</v>
      </c>
      <c r="G67">
        <v>1</v>
      </c>
      <c r="H67" t="s">
        <v>236</v>
      </c>
      <c r="J67" s="23">
        <f>MATCH(E67,Culturas!$B$38:$B$54,0)</f>
        <v>2</v>
      </c>
      <c r="K67" s="35">
        <f>INDEX(Culturas!$E$12:$E$13,MATCH(Operações!E67,Culturas!$C$12:$C$13,0))</f>
        <v>42653</v>
      </c>
      <c r="L67" s="23">
        <f t="shared" si="3"/>
        <v>66</v>
      </c>
      <c r="M67" s="68" t="s">
        <v>266</v>
      </c>
      <c r="O67" s="23" t="str">
        <f t="shared" ref="O67:O130" si="8">_xlfn.TEXTBEFORE(E67, " ")</f>
        <v>Oliveira</v>
      </c>
      <c r="R67" s="10" t="str">
        <f t="shared" ref="R67:R82" si="9" xml:space="preserve"> "INSERT INTO " &amp;$T$1&amp; " (idOperacao, designacaoOperacaoAgricola, designacaoUnidade, quantidade, dataOperacao) VALUES (" &amp;L67&amp; ", '" &amp;C67&amp; "', " &amp;IF(ISBLANK(H67), "null", "'" &amp;H67&amp; "'" )&amp; ",   "&amp;IF(ISBLANK(G67), "null",TEXT(SUBSTITUTE(G67, "%", "") * 10, "0.0"))&amp;",  TO_DATE('"&amp;TEXT(F67,"DD/MM/AAAA")&amp; " - " &amp;TEXT(N67,"hh:mm") &amp;"', 'DD/MM/YYYY - HH:MI'));"</f>
        <v>INSERT INTO Operacao (idOperacao, designacaoOperacaoAgricola, designacaoUnidade, quantidade, dataOperacao) VALUES (66, 'Rega', 'm3',   10.0,  TO_DATE('03/07/Wednesday - 00:00', 'DD/MM/YYYY - HH:MI'));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N67" s="90" t="str">
        <f t="shared" ref="AN67:AN130" si="10" xml:space="preserve"> "INSERT INTO " &amp;$AO$1&amp; " (idOperacao, nomeParcela, dataInicial, nomeComum, variedade) VALUES (" &amp;L67&amp; ", '" &amp;B67&amp; "', TO_DATE('"&amp;TEXT(K67,"DD/MM/AAAA")&amp;"', 'DD/MM/YYYY'), '"  &amp;INDEX($D$270:$D$286,MATCH(J67,$B$270:$B$286,0))&amp; "', UPPER('" &amp;INDEX($E$270:$E$286,MATCH(J67,$B$270:$B$286,0))&amp;  "') );"</f>
        <v>INSERT INTO OperacaoCultura (idOperacao, nomeParcela, dataInicial, nomeComum, variedade) VALUES (66, 'Campo Grande', TO_DATE('10/10/Monday', 'DD/MM/YYYY'), 'Oliveira', UPPER('Picual') );</v>
      </c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</row>
    <row r="68" spans="1:59" ht="15" hidden="1" thickTop="1" thickBot="1">
      <c r="A68">
        <v>102</v>
      </c>
      <c r="B68" t="s">
        <v>218</v>
      </c>
      <c r="C68" t="s">
        <v>234</v>
      </c>
      <c r="E68" t="s">
        <v>243</v>
      </c>
      <c r="F68" s="1">
        <v>43649</v>
      </c>
      <c r="G68">
        <v>1.5</v>
      </c>
      <c r="H68" t="s">
        <v>236</v>
      </c>
      <c r="J68" s="23">
        <f>MATCH(E68,Culturas!$B$38:$B$54,0)</f>
        <v>1</v>
      </c>
      <c r="K68" s="35">
        <f>INDEX(Culturas!$E$12:$E$13,MATCH(Operações!E68,Culturas!$C$12:$C$13,0))</f>
        <v>42649</v>
      </c>
      <c r="L68" s="23">
        <f t="shared" ref="L68:L131" si="11">L67+1</f>
        <v>67</v>
      </c>
      <c r="M68" s="68" t="s">
        <v>266</v>
      </c>
      <c r="O68" s="23" t="str">
        <f t="shared" si="8"/>
        <v>Oliveira</v>
      </c>
      <c r="R68" s="10" t="str">
        <f t="shared" si="9"/>
        <v>INSERT INTO Operacao (idOperacao, designacaoOperacaoAgricola, designacaoUnidade, quantidade, dataOperacao) VALUES (67, 'Rega', 'm3',   15.0,  TO_DATE('03/07/Wednesday - 00:00', 'DD/MM/YYYY - HH:MI'));</v>
      </c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N68" s="90" t="str">
        <f t="shared" si="10"/>
        <v>INSERT INTO OperacaoCultura (idOperacao, nomeParcela, dataInicial, nomeComum, variedade) VALUES (67, 'Campo Grande', TO_DATE('06/10/Thursday', 'DD/MM/YYYY'), 'Oliveira', UPPER('Galega') );</v>
      </c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</row>
    <row r="69" spans="1:59" ht="15" hidden="1" thickTop="1" thickBot="1">
      <c r="A69" s="37">
        <v>104</v>
      </c>
      <c r="B69" s="37" t="s">
        <v>220</v>
      </c>
      <c r="C69" s="37" t="s">
        <v>234</v>
      </c>
      <c r="D69" s="37"/>
      <c r="E69" s="37" t="s">
        <v>251</v>
      </c>
      <c r="F69" s="38">
        <v>43649</v>
      </c>
      <c r="G69" s="37">
        <v>4</v>
      </c>
      <c r="H69" s="37" t="str">
        <f>"m3"</f>
        <v>m3</v>
      </c>
      <c r="I69" s="37"/>
      <c r="J69" s="37">
        <f>MATCH(E69,Culturas!$B$38:$B$54,0)</f>
        <v>3</v>
      </c>
      <c r="K69" s="143">
        <f>INDEX(Culturas!$E$2:$E$28,MATCH(Operações!E69,Culturas!$C$2:$C$29,0))</f>
        <v>42742</v>
      </c>
      <c r="L69" s="23">
        <f t="shared" si="11"/>
        <v>68</v>
      </c>
      <c r="M69" s="68" t="s">
        <v>266</v>
      </c>
      <c r="O69" s="23" t="str">
        <f t="shared" si="8"/>
        <v>Macieira</v>
      </c>
      <c r="R69" s="10" t="str">
        <f t="shared" si="9"/>
        <v>INSERT INTO Operacao (idOperacao, designacaoOperacaoAgricola, designacaoUnidade, quantidade, dataOperacao) VALUES (68, 'Rega', 'm3',   40.0,  TO_DATE('03/07/Wednesday - 00:00', 'DD/MM/YYYY - HH:MI'));</v>
      </c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10"/>
      <c r="AJ69" s="10"/>
      <c r="AK69" s="10"/>
      <c r="AL69" s="10"/>
      <c r="AN69" s="90" t="str">
        <f t="shared" si="10"/>
        <v>INSERT INTO OperacaoCultura (idOperacao, nomeParcela, dataInicial, nomeComum, variedade) VALUES (68, 'Lameiro da ponte', TO_DATE('07/01/Saturday', 'DD/MM/YYYY'), 'Macieira', UPPER('Jonagored') );</v>
      </c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</row>
    <row r="70" spans="1:59" ht="15" hidden="1" thickTop="1" thickBot="1">
      <c r="A70" s="37">
        <v>104</v>
      </c>
      <c r="B70" s="37" t="s">
        <v>220</v>
      </c>
      <c r="C70" s="37" t="s">
        <v>234</v>
      </c>
      <c r="D70" s="37"/>
      <c r="E70" s="37" t="s">
        <v>252</v>
      </c>
      <c r="F70" s="38">
        <v>43649</v>
      </c>
      <c r="G70" s="37">
        <v>4</v>
      </c>
      <c r="H70" s="37" t="str">
        <f>"m3"</f>
        <v>m3</v>
      </c>
      <c r="I70" s="37"/>
      <c r="J70" s="37">
        <f>MATCH(E70,Culturas!$B$38:$B$54,0)</f>
        <v>4</v>
      </c>
      <c r="K70" s="143">
        <f>INDEX(Culturas!$E$2:$E$28,MATCH(Operações!E70,Culturas!$C$2:$C$29,0))</f>
        <v>42743</v>
      </c>
      <c r="L70" s="23">
        <f t="shared" si="11"/>
        <v>69</v>
      </c>
      <c r="M70" s="68" t="s">
        <v>266</v>
      </c>
      <c r="O70" s="23" t="str">
        <f t="shared" si="8"/>
        <v>Macieira</v>
      </c>
      <c r="R70" s="10" t="str">
        <f t="shared" si="9"/>
        <v>INSERT INTO Operacao (idOperacao, designacaoOperacaoAgricola, designacaoUnidade, quantidade, dataOperacao) VALUES (69, 'Rega', 'm3',   40.0,  TO_DATE('03/07/Wednesday - 00:00', 'DD/MM/YYYY - HH:MI'));</v>
      </c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10"/>
      <c r="AJ70" s="10"/>
      <c r="AK70" s="10"/>
      <c r="AL70" s="10"/>
      <c r="AN70" s="90" t="str">
        <f t="shared" si="10"/>
        <v>INSERT INTO OperacaoCultura (idOperacao, nomeParcela, dataInicial, nomeComum, variedade) VALUES (69, 'Lameiro da ponte', TO_DATE('08/01/Sunday', 'DD/MM/YYYY'), 'Macieira', UPPER('Fuji') );</v>
      </c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</row>
    <row r="71" spans="1:59" ht="15" hidden="1" thickTop="1" thickBot="1">
      <c r="A71" s="37">
        <v>104</v>
      </c>
      <c r="B71" s="37" t="s">
        <v>220</v>
      </c>
      <c r="C71" s="37" t="s">
        <v>234</v>
      </c>
      <c r="D71" s="37"/>
      <c r="E71" s="37" t="s">
        <v>253</v>
      </c>
      <c r="F71" s="38">
        <v>43649</v>
      </c>
      <c r="G71" s="37">
        <v>4</v>
      </c>
      <c r="H71" s="37" t="str">
        <f>"m3"</f>
        <v>m3</v>
      </c>
      <c r="I71" s="37"/>
      <c r="J71" s="37">
        <f>MATCH(E71,Culturas!$B$38:$B$54,0)</f>
        <v>5</v>
      </c>
      <c r="K71" s="143">
        <f>INDEX(Culturas!$E$2:$E$28,MATCH(Operações!E71,Culturas!$C$2:$C$29,0))</f>
        <v>42743</v>
      </c>
      <c r="L71" s="23">
        <f t="shared" si="11"/>
        <v>70</v>
      </c>
      <c r="M71" s="68" t="s">
        <v>266</v>
      </c>
      <c r="O71" s="23" t="str">
        <f t="shared" si="8"/>
        <v>Macieira</v>
      </c>
      <c r="R71" s="10" t="str">
        <f t="shared" si="9"/>
        <v>INSERT INTO Operacao (idOperacao, designacaoOperacaoAgricola, designacaoUnidade, quantidade, dataOperacao) VALUES (70, 'Rega', 'm3',   40.0,  TO_DATE('03/07/Wednesday - 00:00', 'DD/MM/YYYY - HH:MI'));</v>
      </c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10"/>
      <c r="AJ71" s="10"/>
      <c r="AK71" s="10"/>
      <c r="AL71" s="10"/>
      <c r="AN71" s="90" t="str">
        <f t="shared" si="10"/>
        <v>INSERT INTO OperacaoCultura (idOperacao, nomeParcela, dataInicial, nomeComum, variedade) VALUES (70, 'Lameiro da ponte', TO_DATE('08/01/Sunday', 'DD/MM/YYYY'), 'Macieira', UPPER('Royal Gala') );</v>
      </c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</row>
    <row r="72" spans="1:59" ht="15" hidden="1" thickTop="1" thickBot="1">
      <c r="A72" s="37">
        <v>104</v>
      </c>
      <c r="B72" s="37" t="s">
        <v>220</v>
      </c>
      <c r="C72" s="37" t="s">
        <v>234</v>
      </c>
      <c r="D72" s="37"/>
      <c r="E72" s="37" t="s">
        <v>253</v>
      </c>
      <c r="F72" s="38">
        <v>43649</v>
      </c>
      <c r="G72" s="37">
        <v>4</v>
      </c>
      <c r="H72" s="37" t="s">
        <v>236</v>
      </c>
      <c r="I72" s="37"/>
      <c r="J72" s="37">
        <f>MATCH(E72,Culturas!$B$38:$B$54,0)</f>
        <v>5</v>
      </c>
      <c r="K72" s="54">
        <v>43444</v>
      </c>
      <c r="L72" s="23">
        <f t="shared" si="11"/>
        <v>71</v>
      </c>
      <c r="M72" s="68" t="s">
        <v>266</v>
      </c>
      <c r="O72" s="23" t="str">
        <f t="shared" si="8"/>
        <v>Macieira</v>
      </c>
      <c r="R72" s="10" t="str">
        <f t="shared" si="9"/>
        <v>INSERT INTO Operacao (idOperacao, designacaoOperacaoAgricola, designacaoUnidade, quantidade, dataOperacao) VALUES (71, 'Rega', 'm3',   40.0,  TO_DATE('03/07/Wednesday - 00:00', 'DD/MM/YYYY - HH:MI'));</v>
      </c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10"/>
      <c r="AJ72" s="10"/>
      <c r="AK72" s="10"/>
      <c r="AL72" s="10"/>
      <c r="AN72" s="90" t="str">
        <f t="shared" si="10"/>
        <v>INSERT INTO OperacaoCultura (idOperacao, nomeParcela, dataInicial, nomeComum, variedade) VALUES (71, 'Lameiro da ponte', TO_DATE('10/12/Monday', 'DD/MM/YYYY'), 'Macieira', UPPER('Royal Gala') );</v>
      </c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</row>
    <row r="73" spans="1:59" ht="15" hidden="1" thickTop="1" thickBot="1">
      <c r="A73" s="80">
        <v>107</v>
      </c>
      <c r="B73" s="80" t="s">
        <v>225</v>
      </c>
      <c r="C73" s="80" t="s">
        <v>234</v>
      </c>
      <c r="D73" s="80"/>
      <c r="E73" s="81" t="s">
        <v>254</v>
      </c>
      <c r="F73" s="83">
        <v>43656</v>
      </c>
      <c r="G73" s="81">
        <v>6</v>
      </c>
      <c r="H73" s="81" t="s">
        <v>236</v>
      </c>
      <c r="I73" s="80"/>
      <c r="J73" s="80">
        <f>MATCH(E73,Culturas!$B$38:$B$54,0)</f>
        <v>16</v>
      </c>
      <c r="K73" s="140">
        <f>INDEX(Culturas!$E$2:$E$28,MATCH(Operações!E73,Culturas!$C$2:$C$29,0))</f>
        <v>43110</v>
      </c>
      <c r="L73" s="23">
        <f t="shared" si="11"/>
        <v>72</v>
      </c>
      <c r="M73" s="68" t="s">
        <v>266</v>
      </c>
      <c r="O73" s="23" t="str">
        <f t="shared" si="8"/>
        <v>Videira</v>
      </c>
      <c r="R73" s="10" t="str">
        <f t="shared" si="9"/>
        <v>INSERT INTO Operacao (idOperacao, designacaoOperacaoAgricola, designacaoUnidade, quantidade, dataOperacao) VALUES (72, 'Rega', 'm3',   60.0,  TO_DATE('10/07/Wednesday - 00:00', 'DD/MM/YYYY - HH:MI'));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N73" s="90" t="str">
        <f t="shared" si="10"/>
        <v>INSERT INTO OperacaoCultura (idOperacao, nomeParcela, dataInicial, nomeComum, variedade) VALUES (72, 'Vinha', TO_DATE('10/01/Wednesday', 'DD/MM/YYYY'), 'Videira', UPPER('Dona Maria') );</v>
      </c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</row>
    <row r="74" spans="1:59" ht="15" hidden="1" thickTop="1" thickBot="1">
      <c r="A74" s="80">
        <v>107</v>
      </c>
      <c r="B74" s="80" t="s">
        <v>225</v>
      </c>
      <c r="C74" s="80" t="s">
        <v>234</v>
      </c>
      <c r="D74" s="80"/>
      <c r="E74" s="81" t="s">
        <v>255</v>
      </c>
      <c r="F74" s="83">
        <v>43656</v>
      </c>
      <c r="G74" s="81">
        <v>6</v>
      </c>
      <c r="H74" s="81" t="s">
        <v>236</v>
      </c>
      <c r="I74" s="81"/>
      <c r="J74" s="80">
        <f>MATCH(E74,Culturas!$B$38:$B$54,0)</f>
        <v>17</v>
      </c>
      <c r="K74" s="140">
        <f>INDEX(Culturas!$E$2:$E$28,MATCH(Operações!E74,Culturas!$C$2:$C$29,0))</f>
        <v>43111</v>
      </c>
      <c r="L74" s="23">
        <f t="shared" si="11"/>
        <v>73</v>
      </c>
      <c r="M74" s="68" t="s">
        <v>266</v>
      </c>
      <c r="O74" s="23" t="str">
        <f t="shared" si="8"/>
        <v>Videira</v>
      </c>
      <c r="R74" s="10" t="str">
        <f t="shared" si="9"/>
        <v>INSERT INTO Operacao (idOperacao, designacaoOperacaoAgricola, designacaoUnidade, quantidade, dataOperacao) VALUES (73, 'Rega', 'm3',   60.0,  TO_DATE('10/07/Wednesday - 00:00', 'DD/MM/YYYY - HH:MI'));</v>
      </c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N74" s="90" t="str">
        <f t="shared" si="10"/>
        <v>INSERT INTO OperacaoCultura (idOperacao, nomeParcela, dataInicial, nomeComum, variedade) VALUES (73, 'Vinha', TO_DATE('11/01/Thursday', 'DD/MM/YYYY'), 'Videira', UPPER('Cardinal') );</v>
      </c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</row>
    <row r="75" spans="1:59" ht="15" hidden="1" thickTop="1" thickBot="1">
      <c r="A75">
        <v>102</v>
      </c>
      <c r="B75" t="s">
        <v>218</v>
      </c>
      <c r="C75" t="s">
        <v>234</v>
      </c>
      <c r="E75" t="s">
        <v>244</v>
      </c>
      <c r="F75" s="1">
        <v>43687</v>
      </c>
      <c r="G75">
        <v>1</v>
      </c>
      <c r="H75" t="s">
        <v>236</v>
      </c>
      <c r="J75" s="39">
        <f>MATCH(E75,Culturas!$B$38:$B$54,0)</f>
        <v>2</v>
      </c>
      <c r="K75" s="35">
        <f>INDEX(Culturas!$E$12:$E$13,MATCH(Operações!E75,Culturas!$C$12:$C$13,0))</f>
        <v>42653</v>
      </c>
      <c r="L75" s="23">
        <f t="shared" si="11"/>
        <v>74</v>
      </c>
      <c r="M75" s="68" t="s">
        <v>266</v>
      </c>
      <c r="O75" s="23" t="str">
        <f t="shared" si="8"/>
        <v>Oliveira</v>
      </c>
      <c r="R75" s="10" t="str">
        <f t="shared" si="9"/>
        <v>INSERT INTO Operacao (idOperacao, designacaoOperacaoAgricola, designacaoUnidade, quantidade, dataOperacao) VALUES (74, 'Rega', 'm3',   10.0,  TO_DATE('10/08/Saturday - 00:00', 'DD/MM/YYYY - HH:MI'));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N75" s="90" t="str">
        <f t="shared" si="10"/>
        <v>INSERT INTO OperacaoCultura (idOperacao, nomeParcela, dataInicial, nomeComum, variedade) VALUES (74, 'Campo Grande', TO_DATE('10/10/Monday', 'DD/MM/YYYY'), 'Oliveira', UPPER('Picual') );</v>
      </c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</row>
    <row r="76" spans="1:59" ht="15" hidden="1" thickTop="1" thickBot="1">
      <c r="A76">
        <v>102</v>
      </c>
      <c r="B76" t="s">
        <v>218</v>
      </c>
      <c r="C76" t="s">
        <v>234</v>
      </c>
      <c r="E76" t="s">
        <v>243</v>
      </c>
      <c r="F76" s="1">
        <v>43687</v>
      </c>
      <c r="G76">
        <v>1.5</v>
      </c>
      <c r="H76" t="s">
        <v>236</v>
      </c>
      <c r="J76" s="23">
        <f>MATCH(E76,Culturas!$B$38:$B$54,0)</f>
        <v>1</v>
      </c>
      <c r="K76" s="35">
        <f>INDEX(Culturas!$E$12:$E$13,MATCH(Operações!E76,Culturas!$C$12:$C$13,0))</f>
        <v>42649</v>
      </c>
      <c r="L76" s="23">
        <f t="shared" si="11"/>
        <v>75</v>
      </c>
      <c r="M76" s="68" t="s">
        <v>266</v>
      </c>
      <c r="O76" s="23" t="str">
        <f t="shared" si="8"/>
        <v>Oliveira</v>
      </c>
      <c r="R76" s="10" t="str">
        <f t="shared" si="9"/>
        <v>INSERT INTO Operacao (idOperacao, designacaoOperacaoAgricola, designacaoUnidade, quantidade, dataOperacao) VALUES (75, 'Rega', 'm3',   15.0,  TO_DATE('10/08/Saturday - 00:00', 'DD/MM/YYYY - HH:MI'));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N76" s="90" t="str">
        <f t="shared" si="10"/>
        <v>INSERT INTO OperacaoCultura (idOperacao, nomeParcela, dataInicial, nomeComum, variedade) VALUES (75, 'Campo Grande', TO_DATE('06/10/Thursday', 'DD/MM/YYYY'), 'Oliveira', UPPER('Galega') );</v>
      </c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</row>
    <row r="77" spans="1:59" ht="15" hidden="1" thickTop="1" thickBot="1">
      <c r="A77" s="37">
        <v>104</v>
      </c>
      <c r="B77" s="37" t="s">
        <v>220</v>
      </c>
      <c r="C77" s="37" t="s">
        <v>234</v>
      </c>
      <c r="D77" s="37"/>
      <c r="E77" s="37" t="s">
        <v>251</v>
      </c>
      <c r="F77" s="43">
        <v>43687</v>
      </c>
      <c r="G77" s="37">
        <v>4</v>
      </c>
      <c r="H77" s="37" t="str">
        <f>"m3"</f>
        <v>m3</v>
      </c>
      <c r="I77" s="37"/>
      <c r="J77" s="37">
        <f>MATCH(E77,Culturas!$B$38:$B$54,0)</f>
        <v>3</v>
      </c>
      <c r="K77" s="143">
        <f>INDEX(Culturas!$E$2:$E$28,MATCH(Operações!E77,Culturas!$C$2:$C$29,0))</f>
        <v>42742</v>
      </c>
      <c r="L77" s="23">
        <f t="shared" si="11"/>
        <v>76</v>
      </c>
      <c r="M77" s="68" t="s">
        <v>266</v>
      </c>
      <c r="O77" s="23" t="str">
        <f t="shared" si="8"/>
        <v>Macieira</v>
      </c>
      <c r="R77" s="10" t="str">
        <f t="shared" si="9"/>
        <v>INSERT INTO Operacao (idOperacao, designacaoOperacaoAgricola, designacaoUnidade, quantidade, dataOperacao) VALUES (76, 'Rega', 'm3',   40.0,  TO_DATE('10/08/Saturday - 00:00', 'DD/MM/YYYY - HH:MI'));</v>
      </c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10"/>
      <c r="AJ77" s="10"/>
      <c r="AK77" s="10"/>
      <c r="AL77" s="10"/>
      <c r="AN77" s="90" t="str">
        <f t="shared" si="10"/>
        <v>INSERT INTO OperacaoCultura (idOperacao, nomeParcela, dataInicial, nomeComum, variedade) VALUES (76, 'Lameiro da ponte', TO_DATE('07/01/Saturday', 'DD/MM/YYYY'), 'Macieira', UPPER('Jonagored') );</v>
      </c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</row>
    <row r="78" spans="1:59" ht="15" hidden="1" thickTop="1" thickBot="1">
      <c r="A78" s="37">
        <v>104</v>
      </c>
      <c r="B78" s="37" t="s">
        <v>220</v>
      </c>
      <c r="C78" s="37" t="s">
        <v>234</v>
      </c>
      <c r="D78" s="37"/>
      <c r="E78" s="37" t="s">
        <v>252</v>
      </c>
      <c r="F78" s="43">
        <v>43687</v>
      </c>
      <c r="G78" s="37">
        <v>4</v>
      </c>
      <c r="H78" s="37" t="str">
        <f>"m3"</f>
        <v>m3</v>
      </c>
      <c r="I78" s="37"/>
      <c r="J78" s="37">
        <f>MATCH(E78,Culturas!$B$38:$B$54,0)</f>
        <v>4</v>
      </c>
      <c r="K78" s="143">
        <f>INDEX(Culturas!$E$2:$E$28,MATCH(Operações!E78,Culturas!$C$2:$C$29,0))</f>
        <v>42743</v>
      </c>
      <c r="L78" s="23">
        <f t="shared" si="11"/>
        <v>77</v>
      </c>
      <c r="M78" s="68" t="s">
        <v>266</v>
      </c>
      <c r="O78" s="23" t="str">
        <f t="shared" si="8"/>
        <v>Macieira</v>
      </c>
      <c r="R78" s="10" t="str">
        <f t="shared" si="9"/>
        <v>INSERT INTO Operacao (idOperacao, designacaoOperacaoAgricola, designacaoUnidade, quantidade, dataOperacao) VALUES (77, 'Rega', 'm3',   40.0,  TO_DATE('10/08/Saturday - 00:00', 'DD/MM/YYYY - HH:MI'));</v>
      </c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10"/>
      <c r="AJ78" s="10"/>
      <c r="AK78" s="10"/>
      <c r="AL78" s="10"/>
      <c r="AN78" s="90" t="str">
        <f t="shared" si="10"/>
        <v>INSERT INTO OperacaoCultura (idOperacao, nomeParcela, dataInicial, nomeComum, variedade) VALUES (77, 'Lameiro da ponte', TO_DATE('08/01/Sunday', 'DD/MM/YYYY'), 'Macieira', UPPER('Fuji') );</v>
      </c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</row>
    <row r="79" spans="1:59" ht="15" hidden="1" thickTop="1" thickBot="1">
      <c r="A79" s="37">
        <v>104</v>
      </c>
      <c r="B79" s="37" t="s">
        <v>220</v>
      </c>
      <c r="C79" s="37" t="s">
        <v>234</v>
      </c>
      <c r="D79" s="37"/>
      <c r="E79" s="37" t="s">
        <v>253</v>
      </c>
      <c r="F79" s="43">
        <v>43687</v>
      </c>
      <c r="G79" s="37">
        <v>4</v>
      </c>
      <c r="H79" s="37" t="str">
        <f>"m3"</f>
        <v>m3</v>
      </c>
      <c r="I79" s="37"/>
      <c r="J79" s="37">
        <f>MATCH(E79,Culturas!$B$38:$B$54,0)</f>
        <v>5</v>
      </c>
      <c r="K79" s="143">
        <f>INDEX(Culturas!$E$2:$E$28,MATCH(Operações!E79,Culturas!$C$2:$C$29,0))</f>
        <v>42743</v>
      </c>
      <c r="L79" s="23">
        <f t="shared" si="11"/>
        <v>78</v>
      </c>
      <c r="M79" s="68" t="s">
        <v>266</v>
      </c>
      <c r="O79" s="23" t="str">
        <f t="shared" si="8"/>
        <v>Macieira</v>
      </c>
      <c r="R79" s="10" t="str">
        <f t="shared" si="9"/>
        <v>INSERT INTO Operacao (idOperacao, designacaoOperacaoAgricola, designacaoUnidade, quantidade, dataOperacao) VALUES (78, 'Rega', 'm3',   40.0,  TO_DATE('10/08/Saturday - 00:00', 'DD/MM/YYYY - HH:MI'));</v>
      </c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10"/>
      <c r="AJ79" s="10"/>
      <c r="AK79" s="10"/>
      <c r="AL79" s="10"/>
      <c r="AN79" s="90" t="str">
        <f t="shared" si="10"/>
        <v>INSERT INTO OperacaoCultura (idOperacao, nomeParcela, dataInicial, nomeComum, variedade) VALUES (78, 'Lameiro da ponte', TO_DATE('08/01/Sunday', 'DD/MM/YYYY'), 'Macieira', UPPER('Royal Gala') );</v>
      </c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</row>
    <row r="80" spans="1:59" ht="15" hidden="1" thickTop="1" thickBot="1">
      <c r="A80" s="37">
        <v>104</v>
      </c>
      <c r="B80" s="37" t="s">
        <v>220</v>
      </c>
      <c r="C80" s="37" t="s">
        <v>234</v>
      </c>
      <c r="D80" s="37"/>
      <c r="E80" s="37" t="s">
        <v>253</v>
      </c>
      <c r="F80" s="43">
        <v>43687</v>
      </c>
      <c r="G80" s="37">
        <v>4</v>
      </c>
      <c r="H80" s="37" t="s">
        <v>236</v>
      </c>
      <c r="I80" s="37"/>
      <c r="J80" s="37">
        <f>MATCH(E80,Culturas!$B$38:$B$54,0)</f>
        <v>5</v>
      </c>
      <c r="K80" s="54">
        <v>43444</v>
      </c>
      <c r="L80" s="23">
        <f t="shared" si="11"/>
        <v>79</v>
      </c>
      <c r="M80" s="68" t="s">
        <v>266</v>
      </c>
      <c r="O80" s="23" t="str">
        <f t="shared" si="8"/>
        <v>Macieira</v>
      </c>
      <c r="R80" s="10" t="str">
        <f t="shared" si="9"/>
        <v>INSERT INTO Operacao (idOperacao, designacaoOperacaoAgricola, designacaoUnidade, quantidade, dataOperacao) VALUES (79, 'Rega', 'm3',   40.0,  TO_DATE('10/08/Saturday - 00:00', 'DD/MM/YYYY - HH:MI'));</v>
      </c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10"/>
      <c r="AJ80" s="10"/>
      <c r="AK80" s="10"/>
      <c r="AL80" s="10"/>
      <c r="AN80" s="90" t="str">
        <f t="shared" si="10"/>
        <v>INSERT INTO OperacaoCultura (idOperacao, nomeParcela, dataInicial, nomeComum, variedade) VALUES (79, 'Lameiro da ponte', TO_DATE('10/12/Monday', 'DD/MM/YYYY'), 'Macieira', UPPER('Royal Gala') );</v>
      </c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</row>
    <row r="81" spans="1:74" ht="15" hidden="1" thickTop="1" thickBot="1">
      <c r="A81" s="80">
        <v>107</v>
      </c>
      <c r="B81" s="80" t="s">
        <v>225</v>
      </c>
      <c r="C81" s="80" t="s">
        <v>234</v>
      </c>
      <c r="D81" s="80"/>
      <c r="E81" s="81" t="s">
        <v>254</v>
      </c>
      <c r="F81" s="83">
        <v>43688</v>
      </c>
      <c r="G81" s="81">
        <v>7</v>
      </c>
      <c r="H81" s="81" t="s">
        <v>236</v>
      </c>
      <c r="I81" s="80"/>
      <c r="J81" s="80">
        <f>MATCH(E81,Culturas!$B$38:$B$54,0)</f>
        <v>16</v>
      </c>
      <c r="K81" s="140">
        <f>INDEX(Culturas!$E$2:$E$28,MATCH(Operações!E81,Culturas!$C$2:$C$29,0))</f>
        <v>43110</v>
      </c>
      <c r="L81" s="23">
        <f t="shared" si="11"/>
        <v>80</v>
      </c>
      <c r="M81" s="68" t="s">
        <v>266</v>
      </c>
      <c r="O81" s="23" t="str">
        <f t="shared" si="8"/>
        <v>Videira</v>
      </c>
      <c r="R81" s="10" t="str">
        <f t="shared" si="9"/>
        <v>INSERT INTO Operacao (idOperacao, designacaoOperacaoAgricola, designacaoUnidade, quantidade, dataOperacao) VALUES (80, 'Rega', 'm3',   70.0,  TO_DATE('11/08/Sunday - 00:00', 'DD/MM/YYYY - HH:MI'));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N81" s="90" t="str">
        <f t="shared" si="10"/>
        <v>INSERT INTO OperacaoCultura (idOperacao, nomeParcela, dataInicial, nomeComum, variedade) VALUES (80, 'Vinha', TO_DATE('10/01/Wednesday', 'DD/MM/YYYY'), 'Videira', UPPER('Dona Maria') );</v>
      </c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</row>
    <row r="82" spans="1:74" ht="15" hidden="1" thickTop="1" thickBot="1">
      <c r="A82" s="80">
        <v>107</v>
      </c>
      <c r="B82" s="80" t="s">
        <v>225</v>
      </c>
      <c r="C82" s="80" t="s">
        <v>234</v>
      </c>
      <c r="D82" s="80"/>
      <c r="E82" s="81" t="s">
        <v>255</v>
      </c>
      <c r="F82" s="83">
        <v>43688</v>
      </c>
      <c r="G82" s="81">
        <v>7</v>
      </c>
      <c r="H82" s="81" t="s">
        <v>236</v>
      </c>
      <c r="I82" s="81"/>
      <c r="J82" s="80">
        <f>MATCH(E82,Culturas!$B$38:$B$54,0)</f>
        <v>17</v>
      </c>
      <c r="K82" s="140">
        <f>INDEX(Culturas!$E$2:$E$28,MATCH(Operações!E82,Culturas!$C$2:$C$29,0))</f>
        <v>43111</v>
      </c>
      <c r="L82" s="23">
        <f t="shared" si="11"/>
        <v>81</v>
      </c>
      <c r="M82" s="68" t="s">
        <v>266</v>
      </c>
      <c r="O82" s="23" t="str">
        <f t="shared" si="8"/>
        <v>Videira</v>
      </c>
      <c r="R82" s="10" t="str">
        <f t="shared" si="9"/>
        <v>INSERT INTO Operacao (idOperacao, designacaoOperacaoAgricola, designacaoUnidade, quantidade, dataOperacao) VALUES (81, 'Rega', 'm3',   70.0,  TO_DATE('11/08/Sunday - 00:00', 'DD/MM/YYYY - HH:MI'));</v>
      </c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N82" s="90" t="str">
        <f t="shared" si="10"/>
        <v>INSERT INTO OperacaoCultura (idOperacao, nomeParcela, dataInicial, nomeComum, variedade) VALUES (81, 'Vinha', TO_DATE('11/01/Thursday', 'DD/MM/YYYY'), 'Videira', UPPER('Cardinal') );</v>
      </c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</row>
    <row r="83" spans="1:74" ht="15" hidden="1" thickTop="1" thickBot="1">
      <c r="A83">
        <v>102</v>
      </c>
      <c r="B83" t="s">
        <v>218</v>
      </c>
      <c r="C83" t="s">
        <v>5</v>
      </c>
      <c r="E83" t="s">
        <v>243</v>
      </c>
      <c r="F83" s="1">
        <v>43784</v>
      </c>
      <c r="G83">
        <v>30</v>
      </c>
      <c r="H83" t="s">
        <v>267</v>
      </c>
      <c r="J83" s="23">
        <f>MATCH(E83,Culturas!$B$38:$B$54,0)</f>
        <v>1</v>
      </c>
      <c r="K83" s="35">
        <f>INDEX(Culturas!$E$12:$E$13,MATCH(Operações!E83,Culturas!$C$12:$C$13,0))</f>
        <v>42649</v>
      </c>
      <c r="L83" s="23">
        <f t="shared" si="11"/>
        <v>82</v>
      </c>
      <c r="M83" s="68" t="s">
        <v>266</v>
      </c>
      <c r="O83" s="23" t="str">
        <f t="shared" si="8"/>
        <v>Oliveira</v>
      </c>
      <c r="R83" s="10" t="str">
        <f t="shared" ref="R83:R130" si="12" xml:space="preserve"> "INSERT INTO " &amp;$T$1&amp; " (idOperacao, designacaoOperacaoAgricola, designacaoUnidade, quantidade, dataOperacao) VALUES (" &amp;L83&amp; ", '" &amp;C83&amp; "', " &amp;IF(ISBLANK(H83), "null", "'" &amp;H83&amp; "'" )&amp; ",   "&amp;IF(ISBLANK(G83), "null",TEXT(SUBSTITUTE(G83, "%", "") * 10, "0.0"))&amp;",  TO_DATE('"&amp;TEXT(F83,"DD/MM/AAAA")&amp;"', 'DD/MM/YYYY'));"</f>
        <v>INSERT INTO Operacao (idOperacao, designacaoOperacaoAgricola, designacaoUnidade, quantidade, dataOperacao) VALUES (82, 'Poda', 'un',   300.0,  TO_DATE('15/11/Friday', 'DD/MM/YYYY'));</v>
      </c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N83" s="90" t="str">
        <f t="shared" si="10"/>
        <v>INSERT INTO OperacaoCultura (idOperacao, nomeParcela, dataInicial, nomeComum, variedade) VALUES (82, 'Campo Grande', TO_DATE('06/10/Thursday', 'DD/MM/YYYY'), 'Oliveira', UPPER('Galega') );</v>
      </c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</row>
    <row r="84" spans="1:74" ht="15" hidden="1" thickTop="1" thickBot="1">
      <c r="A84">
        <v>102</v>
      </c>
      <c r="B84" t="s">
        <v>218</v>
      </c>
      <c r="C84" t="s">
        <v>5</v>
      </c>
      <c r="E84" t="s">
        <v>244</v>
      </c>
      <c r="F84" s="1">
        <v>43784</v>
      </c>
      <c r="G84">
        <v>20</v>
      </c>
      <c r="H84" t="s">
        <v>267</v>
      </c>
      <c r="J84" s="23">
        <f>MATCH(E84,Culturas!$B$38:$B$54,0)</f>
        <v>2</v>
      </c>
      <c r="K84" s="35">
        <f>INDEX(Culturas!$E$12:$E$13,MATCH(Operações!E84,Culturas!$C$12:$C$13,0))</f>
        <v>42653</v>
      </c>
      <c r="L84" s="23">
        <f t="shared" si="11"/>
        <v>83</v>
      </c>
      <c r="M84" s="68" t="s">
        <v>266</v>
      </c>
      <c r="O84" s="23" t="str">
        <f t="shared" si="8"/>
        <v>Oliveira</v>
      </c>
      <c r="R84" s="10" t="str">
        <f t="shared" si="12"/>
        <v>INSERT INTO Operacao (idOperacao, designacaoOperacaoAgricola, designacaoUnidade, quantidade, dataOperacao) VALUES (83, 'Poda', 'un',   200.0,  TO_DATE('15/11/Friday', 'DD/MM/YYYY'));</v>
      </c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N84" s="90" t="str">
        <f t="shared" si="10"/>
        <v>INSERT INTO OperacaoCultura (idOperacao, nomeParcela, dataInicial, nomeComum, variedade) VALUES (83, 'Campo Grande', TO_DATE('10/10/Monday', 'DD/MM/YYYY'), 'Oliveira', UPPER('Picual') );</v>
      </c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</row>
    <row r="85" spans="1:74" ht="15" hidden="1" thickTop="1" thickBot="1">
      <c r="A85">
        <v>107</v>
      </c>
      <c r="B85" t="s">
        <v>225</v>
      </c>
      <c r="C85" t="s">
        <v>5</v>
      </c>
      <c r="E85" t="s">
        <v>254</v>
      </c>
      <c r="F85" s="1">
        <v>43815</v>
      </c>
      <c r="G85">
        <v>500</v>
      </c>
      <c r="H85" t="s">
        <v>267</v>
      </c>
      <c r="J85" s="23">
        <f>MATCH(E85,Culturas!$B$38:$B$54,0)</f>
        <v>16</v>
      </c>
      <c r="K85" s="139">
        <f>INDEX(Culturas!$E$2:$E$28,MATCH(Operações!E85,Culturas!$C$2:$C$29,0))</f>
        <v>43110</v>
      </c>
      <c r="L85" s="23">
        <f t="shared" si="11"/>
        <v>84</v>
      </c>
      <c r="M85" s="68" t="s">
        <v>266</v>
      </c>
      <c r="O85" s="23" t="str">
        <f t="shared" si="8"/>
        <v>Videira</v>
      </c>
      <c r="R85" s="10" t="str">
        <f t="shared" si="12"/>
        <v>INSERT INTO Operacao (idOperacao, designacaoOperacaoAgricola, designacaoUnidade, quantidade, dataOperacao) VALUES (84, 'Poda', 'un',   5000.0,  TO_DATE('16/12/Monday', 'DD/MM/YYYY'));</v>
      </c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N85" s="90" t="str">
        <f t="shared" si="10"/>
        <v>INSERT INTO OperacaoCultura (idOperacao, nomeParcela, dataInicial, nomeComum, variedade) VALUES (84, 'Vinha', TO_DATE('10/01/Wednesday', 'DD/MM/YYYY'), 'Videira', UPPER('Dona Maria') );</v>
      </c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</row>
    <row r="86" spans="1:74" ht="15" hidden="1" thickTop="1" thickBot="1">
      <c r="A86">
        <v>107</v>
      </c>
      <c r="B86" t="s">
        <v>225</v>
      </c>
      <c r="C86" t="s">
        <v>5</v>
      </c>
      <c r="E86" t="s">
        <v>255</v>
      </c>
      <c r="F86" s="1">
        <v>43817</v>
      </c>
      <c r="G86">
        <v>700</v>
      </c>
      <c r="H86" t="s">
        <v>267</v>
      </c>
      <c r="J86" s="23">
        <f>MATCH(E86,Culturas!$B$38:$B$54,0)</f>
        <v>17</v>
      </c>
      <c r="K86" s="139">
        <f>INDEX(Culturas!$E$2:$E$28,MATCH(Operações!E86,Culturas!$C$2:$C$29,0))</f>
        <v>43111</v>
      </c>
      <c r="L86" s="23">
        <f t="shared" si="11"/>
        <v>85</v>
      </c>
      <c r="M86" s="68" t="s">
        <v>266</v>
      </c>
      <c r="O86" s="23" t="str">
        <f t="shared" si="8"/>
        <v>Videira</v>
      </c>
      <c r="R86" s="10" t="str">
        <f t="shared" si="12"/>
        <v>INSERT INTO Operacao (idOperacao, designacaoOperacaoAgricola, designacaoUnidade, quantidade, dataOperacao) VALUES (85, 'Poda', 'un',   7000.0,  TO_DATE('18/12/Wednesday', 'DD/MM/YYYY'));</v>
      </c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N86" s="90" t="str">
        <f t="shared" si="10"/>
        <v>INSERT INTO OperacaoCultura (idOperacao, nomeParcela, dataInicial, nomeComum, variedade) VALUES (85, 'Vinha', TO_DATE('11/01/Thursday', 'DD/MM/YYYY'), 'Videira', UPPER('Cardinal') );</v>
      </c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</row>
    <row r="87" spans="1:74" ht="15" thickTop="1" thickBot="1">
      <c r="A87">
        <v>107</v>
      </c>
      <c r="B87" t="s">
        <v>225</v>
      </c>
      <c r="C87" t="s">
        <v>293</v>
      </c>
      <c r="E87" t="s">
        <v>254</v>
      </c>
      <c r="F87" s="1">
        <v>43850</v>
      </c>
      <c r="G87">
        <v>2</v>
      </c>
      <c r="H87" t="s">
        <v>292</v>
      </c>
      <c r="I87" t="s">
        <v>163</v>
      </c>
      <c r="J87" s="23">
        <f>MATCH(E87,Culturas!$B$38:$B$54,0)</f>
        <v>16</v>
      </c>
      <c r="K87" s="139">
        <f>INDEX(Culturas!$E$2:$E$28,MATCH(Operações!E87,Culturas!$C$2:$C$29,0))</f>
        <v>43110</v>
      </c>
      <c r="L87" s="84">
        <f t="shared" si="11"/>
        <v>86</v>
      </c>
      <c r="M87" s="68" t="s">
        <v>266</v>
      </c>
      <c r="O87" s="23" t="str">
        <f t="shared" si="8"/>
        <v>Videira</v>
      </c>
      <c r="R87" s="10" t="str">
        <f t="shared" si="12"/>
        <v>INSERT INTO Operacao (idOperacao, designacaoOperacaoAgricola, designacaoUnidade, quantidade, dataOperacao) VALUES (86, 'Aplicação fitofármaco', 'kg',   20.0,  TO_DATE('20/01/Monday', 'DD/MM/YYYY'));</v>
      </c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N87" s="90" t="str">
        <f t="shared" si="10"/>
        <v>INSERT INTO OperacaoCultura (idOperacao, nomeParcela, dataInicial, nomeComum, variedade) VALUES (86, 'Vinha', TO_DATE('10/01/Wednesday', 'DD/MM/YYYY'), 'Videira', UPPER('Dona Maria') );</v>
      </c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</row>
    <row r="88" spans="1:74" ht="15" thickTop="1" thickBot="1">
      <c r="A88">
        <v>107</v>
      </c>
      <c r="B88" t="s">
        <v>225</v>
      </c>
      <c r="C88" t="s">
        <v>293</v>
      </c>
      <c r="E88" t="s">
        <v>255</v>
      </c>
      <c r="F88" s="1">
        <v>43850</v>
      </c>
      <c r="G88">
        <v>2.5</v>
      </c>
      <c r="H88" t="s">
        <v>292</v>
      </c>
      <c r="I88" t="s">
        <v>163</v>
      </c>
      <c r="J88" s="23">
        <f>MATCH(E88,Culturas!$B$38:$B$54,0)</f>
        <v>17</v>
      </c>
      <c r="K88" s="139">
        <f>INDEX(Culturas!$E$2:$E$28,MATCH(Operações!E88,Culturas!$C$2:$C$29,0))</f>
        <v>43111</v>
      </c>
      <c r="L88" s="84">
        <f t="shared" si="11"/>
        <v>87</v>
      </c>
      <c r="M88" s="68" t="s">
        <v>266</v>
      </c>
      <c r="O88" s="23" t="str">
        <f t="shared" si="8"/>
        <v>Videira</v>
      </c>
      <c r="R88" s="10" t="str">
        <f t="shared" si="12"/>
        <v>INSERT INTO Operacao (idOperacao, designacaoOperacaoAgricola, designacaoUnidade, quantidade, dataOperacao) VALUES (87, 'Aplicação fitofármaco', 'kg',   25.0,  TO_DATE('20/01/Monday', 'DD/MM/YYYY'));</v>
      </c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N88" s="90" t="str">
        <f t="shared" si="10"/>
        <v>INSERT INTO OperacaoCultura (idOperacao, nomeParcela, dataInicial, nomeComum, variedade) VALUES (87, 'Vinha', TO_DATE('11/01/Thursday', 'DD/MM/YYYY'), 'Videira', UPPER('Cardinal') );</v>
      </c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</row>
    <row r="89" spans="1:74" ht="15" hidden="1" thickTop="1" thickBot="1">
      <c r="A89" s="28">
        <v>106</v>
      </c>
      <c r="B89" s="28" t="s">
        <v>223</v>
      </c>
      <c r="C89" s="73" t="s">
        <v>294</v>
      </c>
      <c r="D89" s="28"/>
      <c r="E89" s="28" t="s">
        <v>245</v>
      </c>
      <c r="F89" s="72">
        <v>43902</v>
      </c>
      <c r="G89" s="28">
        <v>0.9</v>
      </c>
      <c r="H89" s="28" t="s">
        <v>292</v>
      </c>
      <c r="I89" s="28"/>
      <c r="J89" s="28">
        <f>MATCH(E89,Culturas!$B$38:$B$54,0)</f>
        <v>9</v>
      </c>
      <c r="K89" s="72">
        <f>INDEX(Culturas!$E$14:$E$22,MATCH(Operações!E89,Culturas!$C$14:$C$22,0))</f>
        <v>43900</v>
      </c>
      <c r="L89" s="23">
        <f t="shared" si="11"/>
        <v>88</v>
      </c>
      <c r="M89" s="68" t="s">
        <v>266</v>
      </c>
      <c r="O89" s="23" t="str">
        <f t="shared" si="8"/>
        <v>Cenoura</v>
      </c>
      <c r="R89" s="10" t="str">
        <f t="shared" si="12"/>
        <v>INSERT INTO Operacao (idOperacao, designacaoOperacaoAgricola, designacaoUnidade, quantidade, dataOperacao) VALUES (88, 'Sementeira', 'kg',   9.0,  TO_DATE('12/03/Thursday', 'DD/MM/YYYY'));</v>
      </c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N89" s="90" t="str">
        <f t="shared" si="10"/>
        <v>INSERT INTO OperacaoCultura (idOperacao, nomeParcela, dataInicial, nomeComum, variedade) VALUES (88, 'Horta nova', TO_DATE('10/03/Tuesday', 'DD/MM/YYYY'), 'Cenoura', UPPER('Scarlet Nantes') );</v>
      </c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3" t="s">
        <v>8</v>
      </c>
      <c r="BI89" s="93" t="s">
        <v>9</v>
      </c>
      <c r="BJ89" s="93" t="s">
        <v>295</v>
      </c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06"/>
    </row>
    <row r="90" spans="1:74" ht="15" hidden="1" thickTop="1" thickBot="1">
      <c r="A90" s="102">
        <v>103</v>
      </c>
      <c r="B90" s="102" t="s">
        <v>219</v>
      </c>
      <c r="C90" s="102" t="s">
        <v>290</v>
      </c>
      <c r="D90" s="102" t="s">
        <v>291</v>
      </c>
      <c r="E90" s="102"/>
      <c r="F90" s="104">
        <v>43920</v>
      </c>
      <c r="G90" s="102">
        <v>600</v>
      </c>
      <c r="H90" s="102" t="s">
        <v>292</v>
      </c>
      <c r="I90" s="102" t="s">
        <v>192</v>
      </c>
      <c r="J90" s="57" t="e">
        <f>MATCH(E90,Culturas!$B$38:$B$54,0)</f>
        <v>#N/A</v>
      </c>
      <c r="K90" s="58" t="e">
        <f>INDEX(Culturas!$E$6:$E$11,MATCH(Operações!E90,Culturas!$C$6:$C$11,0))</f>
        <v>#N/A</v>
      </c>
      <c r="L90" s="86">
        <f>L89+1</f>
        <v>89</v>
      </c>
      <c r="M90" s="87" t="s">
        <v>266</v>
      </c>
      <c r="N90" s="88"/>
      <c r="O90" s="23" t="e">
        <f t="shared" si="8"/>
        <v>#N/A</v>
      </c>
      <c r="P90" s="88"/>
      <c r="Q90" s="88"/>
      <c r="R90" s="10" t="str">
        <f t="shared" si="12"/>
        <v>INSERT INTO Operacao (idOperacao, designacaoOperacaoAgricola, designacaoUnidade, quantidade, dataOperacao) VALUES (89, 'Fertilização', 'kg',   6000.0,  TO_DATE('30/03/Monday', 'DD/MM/YYYY'));</v>
      </c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90" t="str">
        <f xml:space="preserve"> "INSERT INTO " &amp;$BJ$89&amp; " (idOperacao, nomeParcela) VALUES (" &amp;L90&amp; ", '" &amp;B90&amp; "');"</f>
        <v>INSERT INTO OperacaoParcela (idOperacao, nomeParcela) VALUES (89, 'Campo do poço');</v>
      </c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</row>
    <row r="91" spans="1:74" ht="15" hidden="1" thickTop="1" thickBot="1">
      <c r="A91" s="59">
        <v>103</v>
      </c>
      <c r="B91" s="59" t="s">
        <v>219</v>
      </c>
      <c r="C91" s="59" t="s">
        <v>294</v>
      </c>
      <c r="D91" s="59"/>
      <c r="E91" s="59" t="s">
        <v>242</v>
      </c>
      <c r="F91" s="60">
        <v>43926</v>
      </c>
      <c r="G91" s="59">
        <v>1.2</v>
      </c>
      <c r="H91" s="59" t="s">
        <v>216</v>
      </c>
      <c r="I91" s="59"/>
      <c r="J91" s="59">
        <f>MATCH(E91,Culturas!$B$38:$B$54,0)</f>
        <v>14</v>
      </c>
      <c r="K91" s="60">
        <f>INDEX(Culturas!$E$6:$E$11,MATCH(Operações!E91,Culturas!$C$6:$C$11,0))</f>
        <v>43926</v>
      </c>
      <c r="L91" s="23">
        <f t="shared" si="11"/>
        <v>90</v>
      </c>
      <c r="M91" s="68" t="s">
        <v>266</v>
      </c>
      <c r="O91" s="23" t="str">
        <f t="shared" si="8"/>
        <v>Milho</v>
      </c>
      <c r="R91" s="10" t="str">
        <f t="shared" si="12"/>
        <v>INSERT INTO Operacao (idOperacao, designacaoOperacaoAgricola, designacaoUnidade, quantidade, dataOperacao) VALUES (90, 'Sementeira', 'ha',   12.0,  TO_DATE('05/04/Sunday', 'DD/MM/YYYY'));</v>
      </c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N91" s="90" t="str">
        <f t="shared" si="10"/>
        <v>INSERT INTO OperacaoCultura (idOperacao, nomeParcela, dataInicial, nomeComum, variedade) VALUES (90, 'Campo do poço', TO_DATE('05/04/Sunday', 'DD/MM/YYYY'), 'Milho', UPPER('MAS 24.C') );</v>
      </c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</row>
    <row r="92" spans="1:74" ht="15" hidden="1" thickTop="1" thickBot="1">
      <c r="A92">
        <v>106</v>
      </c>
      <c r="B92" s="28" t="s">
        <v>223</v>
      </c>
      <c r="C92" t="s">
        <v>7</v>
      </c>
      <c r="E92" t="s">
        <v>245</v>
      </c>
      <c r="F92" s="1">
        <v>43956</v>
      </c>
      <c r="G92">
        <v>2200</v>
      </c>
      <c r="H92" t="s">
        <v>292</v>
      </c>
      <c r="J92" s="23">
        <f>MATCH(E92,Culturas!$B$38:$B$54,0)</f>
        <v>9</v>
      </c>
      <c r="K92" s="35">
        <f>INDEX(Culturas!$E$14:$E$22,MATCH(Operações!E92,Culturas!$C$14:$C$22,0))</f>
        <v>43900</v>
      </c>
      <c r="L92" s="23">
        <f t="shared" si="11"/>
        <v>91</v>
      </c>
      <c r="M92" s="68" t="s">
        <v>266</v>
      </c>
      <c r="O92" s="23" t="str">
        <f t="shared" si="8"/>
        <v>Cenoura</v>
      </c>
      <c r="R92" s="10" t="str">
        <f t="shared" si="12"/>
        <v>INSERT INTO Operacao (idOperacao, designacaoOperacaoAgricola, designacaoUnidade, quantidade, dataOperacao) VALUES (91, 'Colheita', 'kg',   22000.0,  TO_DATE('05/05/Tuesday', 'DD/MM/YYYY'));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N92" s="90" t="str">
        <f t="shared" si="10"/>
        <v>INSERT INTO OperacaoCultura (idOperacao, nomeParcela, dataInicial, nomeComum, variedade) VALUES (91, 'Horta nova', TO_DATE('10/03/Tuesday', 'DD/MM/YYYY'), 'Cenoura', UPPER('Scarlet Nantes') );</v>
      </c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</row>
    <row r="93" spans="1:74" ht="15" hidden="1" thickTop="1" thickBot="1">
      <c r="A93">
        <v>106</v>
      </c>
      <c r="B93" s="28" t="s">
        <v>223</v>
      </c>
      <c r="C93" t="s">
        <v>7</v>
      </c>
      <c r="E93" t="s">
        <v>245</v>
      </c>
      <c r="F93" s="1">
        <v>43966</v>
      </c>
      <c r="G93">
        <v>1400</v>
      </c>
      <c r="H93" t="s">
        <v>292</v>
      </c>
      <c r="J93" s="23">
        <f>MATCH(E93,Culturas!$B$38:$B$54,0)</f>
        <v>9</v>
      </c>
      <c r="K93" s="35">
        <f>INDEX(Culturas!$E$14:$E$22,MATCH(Operações!E93,Culturas!$C$14:$C$22,0))</f>
        <v>43900</v>
      </c>
      <c r="L93" s="23">
        <f>L92+1</f>
        <v>92</v>
      </c>
      <c r="M93" s="68" t="s">
        <v>266</v>
      </c>
      <c r="O93" s="23" t="str">
        <f t="shared" si="8"/>
        <v>Cenoura</v>
      </c>
      <c r="R93" s="10" t="str">
        <f t="shared" si="12"/>
        <v>INSERT INTO Operacao (idOperacao, designacaoOperacaoAgricola, designacaoUnidade, quantidade, dataOperacao) VALUES (92, 'Colheita', 'kg',   14000.0,  TO_DATE('15/05/Friday', 'DD/MM/YYYY'));</v>
      </c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N93" s="90" t="str">
        <f t="shared" si="10"/>
        <v>INSERT INTO OperacaoCultura (idOperacao, nomeParcela, dataInicial, nomeComum, variedade) VALUES (92, 'Horta nova', TO_DATE('10/03/Tuesday', 'DD/MM/YYYY'), 'Cenoura', UPPER('Scarlet Nantes') );</v>
      </c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</row>
    <row r="94" spans="1:74" ht="15" hidden="1" thickTop="1" thickBot="1">
      <c r="A94" s="28">
        <v>106</v>
      </c>
      <c r="B94" s="28" t="s">
        <v>223</v>
      </c>
      <c r="C94" s="73" t="s">
        <v>294</v>
      </c>
      <c r="D94" s="28"/>
      <c r="E94" s="28" t="s">
        <v>246</v>
      </c>
      <c r="F94" s="72">
        <v>43984</v>
      </c>
      <c r="G94" s="28">
        <v>0.6</v>
      </c>
      <c r="H94" s="28" t="s">
        <v>292</v>
      </c>
      <c r="I94" s="28"/>
      <c r="J94" s="28">
        <f>MATCH(E94,Culturas!$B$38:$B$54,0)</f>
        <v>10</v>
      </c>
      <c r="K94" s="72">
        <f>INDEX(Culturas!$E$14:$E$22,MATCH(Operações!E94,Culturas!$C$14:$C$22,0))</f>
        <v>43984</v>
      </c>
      <c r="L94" s="23">
        <f t="shared" si="11"/>
        <v>93</v>
      </c>
      <c r="M94" s="68" t="s">
        <v>266</v>
      </c>
      <c r="O94" s="23" t="str">
        <f t="shared" si="8"/>
        <v>Cenoura</v>
      </c>
      <c r="R94" s="10" t="str">
        <f t="shared" si="12"/>
        <v>INSERT INTO Operacao (idOperacao, designacaoOperacaoAgricola, designacaoUnidade, quantidade, dataOperacao) VALUES (93, 'Sementeira', 'kg',   6.0,  TO_DATE('02/06/Tuesday', 'DD/MM/YYYY'));</v>
      </c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N94" s="90" t="str">
        <f t="shared" si="10"/>
        <v>INSERT INTO OperacaoCultura (idOperacao, nomeParcela, dataInicial, nomeComum, variedade) VALUES (93, 'Horta nova', TO_DATE('02/06/Tuesday', 'DD/MM/YYYY'), 'Cenoura', UPPER('Nelson Hybrid') );</v>
      </c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</row>
    <row r="95" spans="1:74" ht="15" hidden="1" thickTop="1" thickBot="1">
      <c r="A95">
        <v>102</v>
      </c>
      <c r="B95" t="s">
        <v>218</v>
      </c>
      <c r="C95" t="s">
        <v>234</v>
      </c>
      <c r="E95" t="s">
        <v>244</v>
      </c>
      <c r="F95" s="1">
        <v>44015</v>
      </c>
      <c r="G95">
        <v>1</v>
      </c>
      <c r="H95" t="s">
        <v>236</v>
      </c>
      <c r="J95" s="23">
        <f>MATCH(E95,Culturas!$B$38:$B$54,0)</f>
        <v>2</v>
      </c>
      <c r="K95" s="35">
        <f>INDEX(Culturas!$E$12:$E$13,MATCH(Operações!E95,Culturas!$C$12:$C$13,0))</f>
        <v>42653</v>
      </c>
      <c r="L95" s="23">
        <f t="shared" si="11"/>
        <v>94</v>
      </c>
      <c r="M95" s="68" t="s">
        <v>266</v>
      </c>
      <c r="O95" s="23" t="str">
        <f t="shared" si="8"/>
        <v>Oliveira</v>
      </c>
      <c r="R95" s="10" t="str">
        <f t="shared" ref="R95:R107" si="13" xml:space="preserve"> "INSERT INTO " &amp;$T$1&amp; " (idOperacao, designacaoOperacaoAgricola, designacaoUnidade, quantidade, dataOperacao) VALUES (" &amp;L95&amp; ", '" &amp;C95&amp; "', " &amp;IF(ISBLANK(H95), "null", "'" &amp;H95&amp; "'" )&amp; ",   "&amp;IF(ISBLANK(G95), "null",TEXT(SUBSTITUTE(G95, "%", "") * 10, "0.0"))&amp;",  TO_DATE('"&amp;TEXT(F95,"DD/MM/AAAA")&amp; " - " &amp;TEXT(N95,"hh:mm") &amp;"', 'DD/MM/YYYY - HH:MI'));"</f>
        <v>INSERT INTO Operacao (idOperacao, designacaoOperacaoAgricola, designacaoUnidade, quantidade, dataOperacao) VALUES (94, 'Rega', 'm3',   10.0,  TO_DATE('03/07/Friday - 00:00', 'DD/MM/YYYY - HH:MI'));</v>
      </c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N95" s="90" t="str">
        <f t="shared" si="10"/>
        <v>INSERT INTO OperacaoCultura (idOperacao, nomeParcela, dataInicial, nomeComum, variedade) VALUES (94, 'Campo Grande', TO_DATE('10/10/Monday', 'DD/MM/YYYY'), 'Oliveira', UPPER('Picual') );</v>
      </c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</row>
    <row r="96" spans="1:74" ht="15" hidden="1" thickTop="1" thickBot="1">
      <c r="A96">
        <v>102</v>
      </c>
      <c r="B96" t="s">
        <v>218</v>
      </c>
      <c r="C96" t="s">
        <v>234</v>
      </c>
      <c r="E96" t="s">
        <v>243</v>
      </c>
      <c r="F96" s="1">
        <v>44015</v>
      </c>
      <c r="G96">
        <v>1.5</v>
      </c>
      <c r="H96" t="s">
        <v>236</v>
      </c>
      <c r="J96" s="23">
        <f>MATCH(E96,Culturas!$B$38:$B$54,0)</f>
        <v>1</v>
      </c>
      <c r="K96" s="35">
        <f>INDEX(Culturas!$E$12:$E$13,MATCH(Operações!E96,Culturas!$C$12:$C$13,0))</f>
        <v>42649</v>
      </c>
      <c r="L96" s="23">
        <f t="shared" si="11"/>
        <v>95</v>
      </c>
      <c r="M96" s="68" t="s">
        <v>266</v>
      </c>
      <c r="O96" s="23" t="str">
        <f t="shared" si="8"/>
        <v>Oliveira</v>
      </c>
      <c r="R96" s="10" t="str">
        <f t="shared" si="13"/>
        <v>INSERT INTO Operacao (idOperacao, designacaoOperacaoAgricola, designacaoUnidade, quantidade, dataOperacao) VALUES (95, 'Rega', 'm3',   15.0,  TO_DATE('03/07/Friday - 00:00', 'DD/MM/YYYY - HH:MI'));</v>
      </c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N96" s="90" t="str">
        <f t="shared" si="10"/>
        <v>INSERT INTO OperacaoCultura (idOperacao, nomeParcela, dataInicial, nomeComum, variedade) VALUES (95, 'Campo Grande', TO_DATE('06/10/Thursday', 'DD/MM/YYYY'), 'Oliveira', UPPER('Galega') );</v>
      </c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</row>
    <row r="97" spans="1:59" ht="15" hidden="1" thickTop="1" thickBot="1">
      <c r="A97" s="80">
        <v>107</v>
      </c>
      <c r="B97" s="80" t="s">
        <v>225</v>
      </c>
      <c r="C97" s="80" t="s">
        <v>234</v>
      </c>
      <c r="D97" s="80"/>
      <c r="E97" s="81" t="s">
        <v>254</v>
      </c>
      <c r="F97" s="83">
        <v>44022</v>
      </c>
      <c r="G97" s="81">
        <v>6</v>
      </c>
      <c r="H97" s="81" t="s">
        <v>236</v>
      </c>
      <c r="I97" s="81"/>
      <c r="J97" s="81">
        <f>MATCH(E97,Culturas!$B$38:$B$54,0)</f>
        <v>16</v>
      </c>
      <c r="K97" s="140">
        <f>INDEX(Culturas!$E$2:$E$28,MATCH(Operações!E97,Culturas!$C$2:$C$29,0))</f>
        <v>43110</v>
      </c>
      <c r="L97" s="23">
        <f t="shared" si="11"/>
        <v>96</v>
      </c>
      <c r="M97" s="68" t="s">
        <v>266</v>
      </c>
      <c r="O97" s="23" t="str">
        <f t="shared" si="8"/>
        <v>Videira</v>
      </c>
      <c r="R97" s="10" t="str">
        <f t="shared" si="13"/>
        <v>INSERT INTO Operacao (idOperacao, designacaoOperacaoAgricola, designacaoUnidade, quantidade, dataOperacao) VALUES (96, 'Rega', 'm3',   60.0,  TO_DATE('10/07/Friday - 00:00', 'DD/MM/YYYY - HH:MI'));</v>
      </c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N97" s="90" t="str">
        <f t="shared" si="10"/>
        <v>INSERT INTO OperacaoCultura (idOperacao, nomeParcela, dataInicial, nomeComum, variedade) VALUES (96, 'Vinha', TO_DATE('10/01/Wednesday', 'DD/MM/YYYY'), 'Videira', UPPER('Dona Maria') );</v>
      </c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</row>
    <row r="98" spans="1:59" ht="15" hidden="1" thickTop="1" thickBot="1">
      <c r="A98" s="80">
        <v>107</v>
      </c>
      <c r="B98" s="80" t="s">
        <v>225</v>
      </c>
      <c r="C98" s="80" t="s">
        <v>234</v>
      </c>
      <c r="D98" s="80"/>
      <c r="E98" s="81" t="s">
        <v>255</v>
      </c>
      <c r="F98" s="83">
        <v>44022</v>
      </c>
      <c r="G98" s="81">
        <v>6</v>
      </c>
      <c r="H98" s="81" t="s">
        <v>236</v>
      </c>
      <c r="I98" s="81"/>
      <c r="J98" s="81">
        <f>MATCH(E98,Culturas!$B$38:$B$54,0)</f>
        <v>17</v>
      </c>
      <c r="K98" s="140">
        <f>INDEX(Culturas!$E$2:$E$28,MATCH(Operações!E98,Culturas!$C$2:$C$29,0))</f>
        <v>43111</v>
      </c>
      <c r="L98" s="23">
        <f t="shared" si="11"/>
        <v>97</v>
      </c>
      <c r="M98" s="68" t="s">
        <v>266</v>
      </c>
      <c r="O98" s="23" t="str">
        <f t="shared" si="8"/>
        <v>Videira</v>
      </c>
      <c r="R98" s="10" t="str">
        <f t="shared" si="13"/>
        <v>INSERT INTO Operacao (idOperacao, designacaoOperacaoAgricola, designacaoUnidade, quantidade, dataOperacao) VALUES (97, 'Rega', 'm3',   60.0,  TO_DATE('10/07/Friday - 00:00', 'DD/MM/YYYY - HH:MI'));</v>
      </c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N98" s="90" t="str">
        <f t="shared" si="10"/>
        <v>INSERT INTO OperacaoCultura (idOperacao, nomeParcela, dataInicial, nomeComum, variedade) VALUES (97, 'Vinha', TO_DATE('11/01/Thursday', 'DD/MM/YYYY'), 'Videira', UPPER('Cardinal') );</v>
      </c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</row>
    <row r="99" spans="1:59" ht="15" hidden="1" thickTop="1" thickBot="1">
      <c r="A99" s="61">
        <v>103</v>
      </c>
      <c r="B99" s="61" t="s">
        <v>219</v>
      </c>
      <c r="C99" s="61" t="s">
        <v>234</v>
      </c>
      <c r="D99" s="61"/>
      <c r="E99" s="61" t="s">
        <v>242</v>
      </c>
      <c r="F99" s="62">
        <v>44024</v>
      </c>
      <c r="G99" s="61">
        <v>15</v>
      </c>
      <c r="H99" s="61" t="s">
        <v>236</v>
      </c>
      <c r="I99" s="61"/>
      <c r="J99" s="61">
        <f>MATCH(E99,Culturas!$B$38:$B$54,0)</f>
        <v>14</v>
      </c>
      <c r="K99" s="62">
        <f>INDEX(Culturas!$E$6:$E$11,MATCH(Operações!E99,Culturas!$C$6:$C$11,0))</f>
        <v>43926</v>
      </c>
      <c r="L99" s="23">
        <f t="shared" si="11"/>
        <v>98</v>
      </c>
      <c r="M99" s="68" t="s">
        <v>266</v>
      </c>
      <c r="O99" s="23" t="str">
        <f t="shared" si="8"/>
        <v>Milho</v>
      </c>
      <c r="R99" s="10" t="str">
        <f t="shared" si="13"/>
        <v>INSERT INTO Operacao (idOperacao, designacaoOperacaoAgricola, designacaoUnidade, quantidade, dataOperacao) VALUES (98, 'Rega', 'm3',   150.0,  TO_DATE('12/07/Sunday - 00:00', 'DD/MM/YYYY - HH:MI'));</v>
      </c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N99" s="90" t="str">
        <f t="shared" si="10"/>
        <v>INSERT INTO OperacaoCultura (idOperacao, nomeParcela, dataInicial, nomeComum, variedade) VALUES (98, 'Campo do poço', TO_DATE('05/04/Sunday', 'DD/MM/YYYY'), 'Milho', UPPER('MAS 24.C') );</v>
      </c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</row>
    <row r="100" spans="1:59" ht="15" hidden="1" thickTop="1" thickBot="1">
      <c r="A100">
        <v>106</v>
      </c>
      <c r="B100" s="28" t="s">
        <v>223</v>
      </c>
      <c r="C100" t="s">
        <v>234</v>
      </c>
      <c r="E100" t="s">
        <v>246</v>
      </c>
      <c r="F100" s="1">
        <v>44027</v>
      </c>
      <c r="G100">
        <v>2.5</v>
      </c>
      <c r="H100" t="s">
        <v>236</v>
      </c>
      <c r="J100" s="23">
        <f>MATCH(E100,Culturas!$B$38:$B$54,0)</f>
        <v>10</v>
      </c>
      <c r="K100" s="35">
        <f>INDEX(Culturas!$E$14:$E$22,MATCH(Operações!E100,Culturas!$C$14:$C$22,0))</f>
        <v>43984</v>
      </c>
      <c r="L100" s="23">
        <f t="shared" si="11"/>
        <v>99</v>
      </c>
      <c r="M100" s="68" t="s">
        <v>266</v>
      </c>
      <c r="O100" s="23" t="str">
        <f t="shared" si="8"/>
        <v>Cenoura</v>
      </c>
      <c r="R100" s="10" t="str">
        <f t="shared" si="13"/>
        <v>INSERT INTO Operacao (idOperacao, designacaoOperacaoAgricola, designacaoUnidade, quantidade, dataOperacao) VALUES (99, 'Rega', 'm3',   25.0,  TO_DATE('15/07/Wednesday - 00:00', 'DD/MM/YYYY - HH:MI'));</v>
      </c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N100" s="90" t="str">
        <f t="shared" si="10"/>
        <v>INSERT INTO OperacaoCultura (idOperacao, nomeParcela, dataInicial, nomeComum, variedade) VALUES (99, 'Horta nova', TO_DATE('02/06/Tuesday', 'DD/MM/YYYY'), 'Cenoura', UPPER('Nelson Hybrid') );</v>
      </c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</row>
    <row r="101" spans="1:59" ht="15" hidden="1" thickTop="1" thickBot="1">
      <c r="A101" s="61">
        <v>103</v>
      </c>
      <c r="B101" s="61" t="s">
        <v>219</v>
      </c>
      <c r="C101" s="61" t="s">
        <v>234</v>
      </c>
      <c r="D101" s="61"/>
      <c r="E101" s="61" t="s">
        <v>242</v>
      </c>
      <c r="F101" s="62">
        <v>44040</v>
      </c>
      <c r="G101" s="61">
        <v>15</v>
      </c>
      <c r="H101" s="61" t="s">
        <v>236</v>
      </c>
      <c r="I101" s="61"/>
      <c r="J101" s="61">
        <f>MATCH(E101,Culturas!$B$38:$B$54,0)</f>
        <v>14</v>
      </c>
      <c r="K101" s="62">
        <f>INDEX(Culturas!$E$6:$E$11,MATCH(Operações!E101,Culturas!$C$6:$C$11,0))</f>
        <v>43926</v>
      </c>
      <c r="L101" s="23">
        <f t="shared" si="11"/>
        <v>100</v>
      </c>
      <c r="M101" s="68" t="s">
        <v>266</v>
      </c>
      <c r="O101" s="23" t="str">
        <f t="shared" si="8"/>
        <v>Milho</v>
      </c>
      <c r="R101" s="10" t="str">
        <f t="shared" si="13"/>
        <v>INSERT INTO Operacao (idOperacao, designacaoOperacaoAgricola, designacaoUnidade, quantidade, dataOperacao) VALUES (100, 'Rega', 'm3',   150.0,  TO_DATE('28/07/Tuesday - 00:00', 'DD/MM/YYYY - HH:MI'));</v>
      </c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N101" s="90" t="str">
        <f t="shared" si="10"/>
        <v>INSERT INTO OperacaoCultura (idOperacao, nomeParcela, dataInicial, nomeComum, variedade) VALUES (100, 'Campo do poço', TO_DATE('05/04/Sunday', 'DD/MM/YYYY'), 'Milho', UPPER('MAS 24.C') );</v>
      </c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</row>
    <row r="102" spans="1:59" ht="15" hidden="1" thickTop="1" thickBot="1">
      <c r="A102">
        <v>102</v>
      </c>
      <c r="B102" t="s">
        <v>218</v>
      </c>
      <c r="C102" t="s">
        <v>234</v>
      </c>
      <c r="E102" t="s">
        <v>244</v>
      </c>
      <c r="F102" s="1">
        <v>44053</v>
      </c>
      <c r="G102">
        <v>1</v>
      </c>
      <c r="H102" t="s">
        <v>236</v>
      </c>
      <c r="J102" s="23">
        <f>MATCH(E102,Culturas!$B$38:$B$54,0)</f>
        <v>2</v>
      </c>
      <c r="K102" s="35">
        <f>INDEX(Culturas!$E$12:$E$13,MATCH(Operações!E102,Culturas!$C$12:$C$13,0))</f>
        <v>42653</v>
      </c>
      <c r="L102" s="23">
        <f t="shared" si="11"/>
        <v>101</v>
      </c>
      <c r="M102" s="68" t="s">
        <v>266</v>
      </c>
      <c r="O102" s="23" t="str">
        <f t="shared" si="8"/>
        <v>Oliveira</v>
      </c>
      <c r="R102" s="10" t="str">
        <f t="shared" si="13"/>
        <v>INSERT INTO Operacao (idOperacao, designacaoOperacaoAgricola, designacaoUnidade, quantidade, dataOperacao) VALUES (101, 'Rega', 'm3',   10.0,  TO_DATE('10/08/Monday - 00:00', 'DD/MM/YYYY - HH:MI'));</v>
      </c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N102" s="90" t="str">
        <f t="shared" si="10"/>
        <v>INSERT INTO OperacaoCultura (idOperacao, nomeParcela, dataInicial, nomeComum, variedade) VALUES (101, 'Campo Grande', TO_DATE('10/10/Monday', 'DD/MM/YYYY'), 'Oliveira', UPPER('Picual') );</v>
      </c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</row>
    <row r="103" spans="1:59" ht="15" hidden="1" thickTop="1" thickBot="1">
      <c r="A103">
        <v>102</v>
      </c>
      <c r="B103" t="s">
        <v>218</v>
      </c>
      <c r="C103" t="s">
        <v>234</v>
      </c>
      <c r="E103" t="s">
        <v>243</v>
      </c>
      <c r="F103" s="1">
        <v>44053</v>
      </c>
      <c r="G103">
        <v>1.5</v>
      </c>
      <c r="H103" t="s">
        <v>236</v>
      </c>
      <c r="J103" s="23">
        <f>MATCH(E103,Culturas!$B$38:$B$54,0)</f>
        <v>1</v>
      </c>
      <c r="K103" s="35">
        <f>INDEX(Culturas!$E$12:$E$13,MATCH(Operações!E103,Culturas!$C$12:$C$13,0))</f>
        <v>42649</v>
      </c>
      <c r="L103" s="23">
        <f t="shared" si="11"/>
        <v>102</v>
      </c>
      <c r="M103" s="68" t="s">
        <v>266</v>
      </c>
      <c r="O103" s="23" t="str">
        <f t="shared" si="8"/>
        <v>Oliveira</v>
      </c>
      <c r="R103" s="10" t="str">
        <f t="shared" si="13"/>
        <v>INSERT INTO Operacao (idOperacao, designacaoOperacaoAgricola, designacaoUnidade, quantidade, dataOperacao) VALUES (102, 'Rega', 'm3',   15.0,  TO_DATE('10/08/Monday - 00:00', 'DD/MM/YYYY - HH:MI'));</v>
      </c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N103" s="90" t="str">
        <f t="shared" si="10"/>
        <v>INSERT INTO OperacaoCultura (idOperacao, nomeParcela, dataInicial, nomeComum, variedade) VALUES (102, 'Campo Grande', TO_DATE('06/10/Thursday', 'DD/MM/YYYY'), 'Oliveira', UPPER('Galega') );</v>
      </c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</row>
    <row r="104" spans="1:59" ht="15" hidden="1" thickTop="1" thickBot="1">
      <c r="A104" s="61">
        <v>103</v>
      </c>
      <c r="B104" s="61" t="s">
        <v>219</v>
      </c>
      <c r="C104" s="61" t="s">
        <v>234</v>
      </c>
      <c r="D104" s="61"/>
      <c r="E104" s="61" t="s">
        <v>242</v>
      </c>
      <c r="F104" s="62">
        <v>44053</v>
      </c>
      <c r="G104" s="61">
        <v>15</v>
      </c>
      <c r="H104" s="61" t="s">
        <v>236</v>
      </c>
      <c r="I104" s="61"/>
      <c r="J104" s="61">
        <f>MATCH(E104,Culturas!$B$38:$B$54,0)</f>
        <v>14</v>
      </c>
      <c r="K104" s="62">
        <f>INDEX(Culturas!$E$6:$E$11,MATCH(Operações!E104,Culturas!$C$6:$C$11,0))</f>
        <v>43926</v>
      </c>
      <c r="L104" s="23">
        <f t="shared" si="11"/>
        <v>103</v>
      </c>
      <c r="M104" s="68" t="s">
        <v>266</v>
      </c>
      <c r="O104" s="23" t="str">
        <f t="shared" si="8"/>
        <v>Milho</v>
      </c>
      <c r="R104" s="10" t="str">
        <f t="shared" si="13"/>
        <v>INSERT INTO Operacao (idOperacao, designacaoOperacaoAgricola, designacaoUnidade, quantidade, dataOperacao) VALUES (103, 'Rega', 'm3',   150.0,  TO_DATE('10/08/Monday - 00:00', 'DD/MM/YYYY - HH:MI'));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N104" s="90" t="str">
        <f t="shared" si="10"/>
        <v>INSERT INTO OperacaoCultura (idOperacao, nomeParcela, dataInicial, nomeComum, variedade) VALUES (103, 'Campo do poço', TO_DATE('05/04/Sunday', 'DD/MM/YYYY'), 'Milho', UPPER('MAS 24.C') );</v>
      </c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</row>
    <row r="105" spans="1:59" ht="15" hidden="1" thickTop="1" thickBot="1">
      <c r="A105" s="80">
        <v>107</v>
      </c>
      <c r="B105" s="80" t="s">
        <v>225</v>
      </c>
      <c r="C105" s="80" t="s">
        <v>234</v>
      </c>
      <c r="D105" s="80"/>
      <c r="E105" s="81" t="s">
        <v>254</v>
      </c>
      <c r="F105" s="83">
        <v>44054</v>
      </c>
      <c r="G105" s="81">
        <v>7</v>
      </c>
      <c r="H105" s="81" t="s">
        <v>236</v>
      </c>
      <c r="I105" s="81"/>
      <c r="J105" s="81">
        <f>MATCH(E105,Culturas!$B$38:$B$54,0)</f>
        <v>16</v>
      </c>
      <c r="K105" s="140">
        <f>INDEX(Culturas!$E$2:$E$28,MATCH(Operações!E105,Culturas!$C$2:$C$29,0))</f>
        <v>43110</v>
      </c>
      <c r="L105" s="23">
        <f t="shared" si="11"/>
        <v>104</v>
      </c>
      <c r="M105" s="68" t="s">
        <v>266</v>
      </c>
      <c r="O105" s="23" t="str">
        <f t="shared" si="8"/>
        <v>Videira</v>
      </c>
      <c r="R105" s="10" t="str">
        <f t="shared" si="13"/>
        <v>INSERT INTO Operacao (idOperacao, designacaoOperacaoAgricola, designacaoUnidade, quantidade, dataOperacao) VALUES (104, 'Rega', 'm3',   70.0,  TO_DATE('11/08/Tuesday - 00:00', 'DD/MM/YYYY - HH:MI'));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N105" s="90" t="str">
        <f t="shared" si="10"/>
        <v>INSERT INTO OperacaoCultura (idOperacao, nomeParcela, dataInicial, nomeComum, variedade) VALUES (104, 'Vinha', TO_DATE('10/01/Wednesday', 'DD/MM/YYYY'), 'Videira', UPPER('Dona Maria') );</v>
      </c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</row>
    <row r="106" spans="1:59" ht="15" hidden="1" thickTop="1" thickBot="1">
      <c r="A106" s="80">
        <v>107</v>
      </c>
      <c r="B106" s="80" t="s">
        <v>225</v>
      </c>
      <c r="C106" s="80" t="s">
        <v>234</v>
      </c>
      <c r="D106" s="80"/>
      <c r="E106" s="81" t="s">
        <v>255</v>
      </c>
      <c r="F106" s="83">
        <v>44054</v>
      </c>
      <c r="G106" s="81">
        <v>7</v>
      </c>
      <c r="H106" s="81" t="s">
        <v>236</v>
      </c>
      <c r="I106" s="81"/>
      <c r="J106" s="81">
        <f>MATCH(E106,Culturas!$B$38:$B$54,0)</f>
        <v>17</v>
      </c>
      <c r="K106" s="140">
        <f>INDEX(Culturas!$E$2:$E$28,MATCH(Operações!E106,Culturas!$C$2:$C$29,0))</f>
        <v>43111</v>
      </c>
      <c r="L106" s="23">
        <f t="shared" si="11"/>
        <v>105</v>
      </c>
      <c r="M106" s="68" t="s">
        <v>266</v>
      </c>
      <c r="O106" s="23" t="str">
        <f t="shared" si="8"/>
        <v>Videira</v>
      </c>
      <c r="R106" s="10" t="str">
        <f t="shared" si="13"/>
        <v>INSERT INTO Operacao (idOperacao, designacaoOperacaoAgricola, designacaoUnidade, quantidade, dataOperacao) VALUES (105, 'Rega', 'm3',   70.0,  TO_DATE('11/08/Tuesday - 00:00', 'DD/MM/YYYY - HH:MI'));</v>
      </c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N106" s="90" t="str">
        <f t="shared" si="10"/>
        <v>INSERT INTO OperacaoCultura (idOperacao, nomeParcela, dataInicial, nomeComum, variedade) VALUES (105, 'Vinha', TO_DATE('11/01/Thursday', 'DD/MM/YYYY'), 'Videira', UPPER('Cardinal') );</v>
      </c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</row>
    <row r="107" spans="1:59" ht="15" hidden="1" thickTop="1" thickBot="1">
      <c r="A107">
        <v>106</v>
      </c>
      <c r="B107" s="28" t="s">
        <v>223</v>
      </c>
      <c r="C107" t="s">
        <v>234</v>
      </c>
      <c r="E107" t="s">
        <v>246</v>
      </c>
      <c r="F107" s="1">
        <v>44055</v>
      </c>
      <c r="G107">
        <v>3.5</v>
      </c>
      <c r="H107" t="s">
        <v>236</v>
      </c>
      <c r="J107" s="23">
        <f>MATCH(E107,Culturas!$B$38:$B$54,0)</f>
        <v>10</v>
      </c>
      <c r="K107" s="35">
        <f>INDEX(Culturas!$E$14:$E$22,MATCH(Operações!E107,Culturas!$C$14:$C$22,0))</f>
        <v>43984</v>
      </c>
      <c r="L107" s="23">
        <f t="shared" si="11"/>
        <v>106</v>
      </c>
      <c r="M107" s="68" t="s">
        <v>266</v>
      </c>
      <c r="O107" s="23" t="str">
        <f t="shared" si="8"/>
        <v>Cenoura</v>
      </c>
      <c r="R107" s="10" t="str">
        <f t="shared" si="13"/>
        <v>INSERT INTO Operacao (idOperacao, designacaoOperacaoAgricola, designacaoUnidade, quantidade, dataOperacao) VALUES (106, 'Rega', 'm3',   35.0,  TO_DATE('12/08/Wednesday - 00:00', 'DD/MM/YYYY - HH:MI'));</v>
      </c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N107" s="90" t="str">
        <f t="shared" si="10"/>
        <v>INSERT INTO OperacaoCultura (idOperacao, nomeParcela, dataInicial, nomeComum, variedade) VALUES (106, 'Horta nova', TO_DATE('02/06/Tuesday', 'DD/MM/YYYY'), 'Cenoura', UPPER('Nelson Hybrid') );</v>
      </c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</row>
    <row r="108" spans="1:59" ht="15" hidden="1" thickTop="1" thickBot="1">
      <c r="A108" s="61">
        <v>103</v>
      </c>
      <c r="B108" s="61" t="s">
        <v>219</v>
      </c>
      <c r="C108" s="61" t="s">
        <v>7</v>
      </c>
      <c r="D108" s="61"/>
      <c r="E108" s="61" t="s">
        <v>242</v>
      </c>
      <c r="F108" s="62">
        <v>44063</v>
      </c>
      <c r="G108" s="61">
        <v>3300</v>
      </c>
      <c r="H108" s="61" t="s">
        <v>292</v>
      </c>
      <c r="I108" s="61"/>
      <c r="J108" s="61">
        <f>MATCH(E108,Culturas!$B$38:$B$54,0)</f>
        <v>14</v>
      </c>
      <c r="K108" s="62">
        <f>INDEX(Culturas!$E$6:$E$11,MATCH(Operações!E108,Culturas!$C$6:$C$11,0))</f>
        <v>43926</v>
      </c>
      <c r="L108" s="23">
        <f t="shared" si="11"/>
        <v>107</v>
      </c>
      <c r="M108" s="68" t="s">
        <v>266</v>
      </c>
      <c r="O108" s="23" t="str">
        <f t="shared" si="8"/>
        <v>Milho</v>
      </c>
      <c r="R108" s="10" t="str">
        <f t="shared" si="12"/>
        <v>INSERT INTO Operacao (idOperacao, designacaoOperacaoAgricola, designacaoUnidade, quantidade, dataOperacao) VALUES (107, 'Colheita', 'kg',   33000.0,  TO_DATE('20/08/Thursday', 'DD/MM/YYYY'));</v>
      </c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N108" s="90" t="str">
        <f t="shared" si="10"/>
        <v>INSERT INTO OperacaoCultura (idOperacao, nomeParcela, dataInicial, nomeComum, variedade) VALUES (107, 'Campo do poço', TO_DATE('05/04/Sunday', 'DD/MM/YYYY'), 'Milho', UPPER('MAS 24.C') );</v>
      </c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</row>
    <row r="109" spans="1:59" ht="15" hidden="1" thickTop="1" thickBot="1">
      <c r="A109">
        <v>106</v>
      </c>
      <c r="B109" s="28" t="s">
        <v>223</v>
      </c>
      <c r="C109" t="s">
        <v>7</v>
      </c>
      <c r="E109" t="s">
        <v>246</v>
      </c>
      <c r="F109" s="1">
        <v>44071</v>
      </c>
      <c r="G109">
        <v>600</v>
      </c>
      <c r="H109" t="s">
        <v>292</v>
      </c>
      <c r="J109" s="23">
        <f>MATCH(E109,Culturas!$B$38:$B$54,0)</f>
        <v>10</v>
      </c>
      <c r="K109" s="35">
        <f>INDEX(Culturas!$E$14:$E$22,MATCH(Operações!E109,Culturas!$C$14:$C$22,0))</f>
        <v>43984</v>
      </c>
      <c r="L109" s="23">
        <f t="shared" si="11"/>
        <v>108</v>
      </c>
      <c r="M109" s="68" t="s">
        <v>266</v>
      </c>
      <c r="O109" s="23" t="str">
        <f t="shared" si="8"/>
        <v>Cenoura</v>
      </c>
      <c r="R109" s="10" t="str">
        <f t="shared" si="12"/>
        <v>INSERT INTO Operacao (idOperacao, designacaoOperacaoAgricola, designacaoUnidade, quantidade, dataOperacao) VALUES (108, 'Colheita', 'kg',   6000.0,  TO_DATE('28/08/Friday', 'DD/MM/YYYY'));</v>
      </c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N109" s="90" t="str">
        <f t="shared" si="10"/>
        <v>INSERT INTO OperacaoCultura (idOperacao, nomeParcela, dataInicial, nomeComum, variedade) VALUES (108, 'Horta nova', TO_DATE('02/06/Tuesday', 'DD/MM/YYYY'), 'Cenoura', UPPER('Nelson Hybrid') );</v>
      </c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</row>
    <row r="110" spans="1:59" ht="15" hidden="1" thickTop="1" thickBot="1">
      <c r="A110">
        <v>106</v>
      </c>
      <c r="B110" s="28" t="s">
        <v>223</v>
      </c>
      <c r="C110" t="s">
        <v>7</v>
      </c>
      <c r="E110" t="s">
        <v>246</v>
      </c>
      <c r="F110" s="1">
        <v>44081</v>
      </c>
      <c r="G110">
        <v>1800</v>
      </c>
      <c r="H110" t="s">
        <v>292</v>
      </c>
      <c r="J110" s="23">
        <f>MATCH(E110,Culturas!$B$38:$B$54,0)</f>
        <v>10</v>
      </c>
      <c r="K110" s="35">
        <f>INDEX(Culturas!$E$14:$E$22,MATCH(Operações!E110,Culturas!$C$14:$C$22,0))</f>
        <v>43984</v>
      </c>
      <c r="L110" s="23">
        <f t="shared" si="11"/>
        <v>109</v>
      </c>
      <c r="M110" s="68" t="s">
        <v>266</v>
      </c>
      <c r="O110" s="23" t="str">
        <f t="shared" si="8"/>
        <v>Cenoura</v>
      </c>
      <c r="R110" s="10" t="str">
        <f t="shared" si="12"/>
        <v>INSERT INTO Operacao (idOperacao, designacaoOperacaoAgricola, designacaoUnidade, quantidade, dataOperacao) VALUES (109, 'Colheita', 'kg',   18000.0,  TO_DATE('07/09/Monday', 'DD/MM/YYYY'));</v>
      </c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N110" s="90" t="str">
        <f t="shared" si="10"/>
        <v>INSERT INTO OperacaoCultura (idOperacao, nomeParcela, dataInicial, nomeComum, variedade) VALUES (109, 'Horta nova', TO_DATE('02/06/Tuesday', 'DD/MM/YYYY'), 'Cenoura', UPPER('Nelson Hybrid') );</v>
      </c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</row>
    <row r="111" spans="1:59" ht="15" hidden="1" thickTop="1" thickBot="1">
      <c r="A111" s="28">
        <v>106</v>
      </c>
      <c r="B111" s="28" t="s">
        <v>223</v>
      </c>
      <c r="C111" s="73" t="s">
        <v>294</v>
      </c>
      <c r="D111" s="28"/>
      <c r="E111" s="28" t="s">
        <v>247</v>
      </c>
      <c r="F111" s="72">
        <v>44094</v>
      </c>
      <c r="G111" s="28">
        <v>0.6</v>
      </c>
      <c r="H111" s="28" t="s">
        <v>292</v>
      </c>
      <c r="I111" s="28"/>
      <c r="J111" s="28">
        <f>MATCH(E111,Culturas!$B$38:$B$54,0)</f>
        <v>11</v>
      </c>
      <c r="K111" s="72">
        <f>INDEX(Culturas!$E$14:$E$22,MATCH(Operações!E111,Culturas!$C$14:$C$22,0))</f>
        <v>44094</v>
      </c>
      <c r="L111" s="23">
        <f t="shared" si="11"/>
        <v>110</v>
      </c>
      <c r="M111" s="68" t="s">
        <v>266</v>
      </c>
      <c r="O111" s="23" t="str">
        <f t="shared" si="8"/>
        <v>Nabo</v>
      </c>
      <c r="R111" s="10" t="str">
        <f t="shared" si="12"/>
        <v>INSERT INTO Operacao (idOperacao, designacaoOperacaoAgricola, designacaoUnidade, quantidade, dataOperacao) VALUES (110, 'Sementeira', 'kg',   6.0,  TO_DATE('20/09/Sunday', 'DD/MM/YYYY'));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N111" s="90" t="str">
        <f t="shared" si="10"/>
        <v>INSERT INTO OperacaoCultura (idOperacao, nomeParcela, dataInicial, nomeComum, variedade) VALUES (110, 'Horta nova', TO_DATE('20/09/Sunday', 'DD/MM/YYYY'), 'Nabo', UPPER('S. Cosme') );</v>
      </c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</row>
    <row r="112" spans="1:59" ht="15" hidden="1" thickTop="1" thickBot="1">
      <c r="A112" s="55">
        <v>101</v>
      </c>
      <c r="B112" s="55" t="s">
        <v>215</v>
      </c>
      <c r="C112" s="55" t="s">
        <v>294</v>
      </c>
      <c r="D112" s="55"/>
      <c r="E112" s="55" t="s">
        <v>240</v>
      </c>
      <c r="F112" s="56">
        <v>44114</v>
      </c>
      <c r="G112" s="55">
        <v>36</v>
      </c>
      <c r="H112" s="55" t="s">
        <v>292</v>
      </c>
      <c r="I112" s="55"/>
      <c r="J112" s="55">
        <f>MATCH(E112,Culturas!$B$38:$B$54,0)</f>
        <v>6</v>
      </c>
      <c r="K112" s="56">
        <f>INDEX(Culturas!$E$2:$E$5,MATCH(Operações!E112,Culturas!$C$2:$C$5,0))</f>
        <v>44114</v>
      </c>
      <c r="L112" s="23">
        <f t="shared" si="11"/>
        <v>111</v>
      </c>
      <c r="M112" s="68" t="s">
        <v>266</v>
      </c>
      <c r="O112" s="23" t="str">
        <f t="shared" si="8"/>
        <v>Tremoço</v>
      </c>
      <c r="R112" s="10" t="str">
        <f t="shared" si="12"/>
        <v>INSERT INTO Operacao (idOperacao, designacaoOperacaoAgricola, designacaoUnidade, quantidade, dataOperacao) VALUES (111, 'Sementeira', 'kg',   360.0,  TO_DATE('10/10/Saturday', 'DD/MM/YYYY'));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N112" s="90" t="str">
        <f t="shared" si="10"/>
        <v>INSERT INTO OperacaoCultura (idOperacao, nomeParcela, dataInicial, nomeComum, variedade) VALUES (111, 'Campo da bouça', TO_DATE('10/10/Saturday', 'DD/MM/YYYY'), 'Tremoço', UPPER('Amarelo') );</v>
      </c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</row>
    <row r="113" spans="1:59" ht="15" hidden="1" thickTop="1" thickBot="1">
      <c r="A113" s="59">
        <v>103</v>
      </c>
      <c r="B113" s="59" t="s">
        <v>219</v>
      </c>
      <c r="C113" s="59" t="s">
        <v>294</v>
      </c>
      <c r="D113" s="59"/>
      <c r="E113" s="59" t="s">
        <v>240</v>
      </c>
      <c r="F113" s="60">
        <v>44116</v>
      </c>
      <c r="G113" s="59">
        <v>1.3</v>
      </c>
      <c r="H113" s="59" t="s">
        <v>216</v>
      </c>
      <c r="I113" s="59"/>
      <c r="J113" s="59">
        <f>MATCH(E113,Culturas!$B$38:$B$54,0)</f>
        <v>6</v>
      </c>
      <c r="K113" s="60">
        <f>INDEX(Culturas!$E$6:$E$11,MATCH(Operações!E113,Culturas!$C$6:$C$11,0))</f>
        <v>44116</v>
      </c>
      <c r="L113" s="23">
        <f t="shared" si="11"/>
        <v>112</v>
      </c>
      <c r="M113" s="68" t="s">
        <v>266</v>
      </c>
      <c r="O113" s="23" t="str">
        <f t="shared" si="8"/>
        <v>Tremoço</v>
      </c>
      <c r="R113" s="10" t="str">
        <f t="shared" si="12"/>
        <v>INSERT INTO Operacao (idOperacao, designacaoOperacaoAgricola, designacaoUnidade, quantidade, dataOperacao) VALUES (112, 'Sementeira', 'ha',   13.0,  TO_DATE('12/10/Monday', 'DD/MM/YYYY'));</v>
      </c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N113" s="90" t="str">
        <f t="shared" si="10"/>
        <v>INSERT INTO OperacaoCultura (idOperacao, nomeParcela, dataInicial, nomeComum, variedade) VALUES (112, 'Campo do poço', TO_DATE('12/10/Monday', 'DD/MM/YYYY'), 'Tremoço', UPPER('Amarelo') );</v>
      </c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</row>
    <row r="114" spans="1:59" ht="15" hidden="1" thickTop="1" thickBot="1">
      <c r="A114">
        <v>102</v>
      </c>
      <c r="B114" t="s">
        <v>218</v>
      </c>
      <c r="C114" t="s">
        <v>5</v>
      </c>
      <c r="E114" t="s">
        <v>243</v>
      </c>
      <c r="F114" s="1">
        <v>44145</v>
      </c>
      <c r="G114">
        <v>30</v>
      </c>
      <c r="H114" t="s">
        <v>267</v>
      </c>
      <c r="J114" s="23">
        <f>MATCH(E114,Culturas!$B$38:$B$54,0)</f>
        <v>1</v>
      </c>
      <c r="K114" s="35">
        <f>INDEX(Culturas!$E$12:$E$13,MATCH(Operações!E114,Culturas!$C$12:$C$13,0))</f>
        <v>42649</v>
      </c>
      <c r="L114" s="23">
        <f t="shared" si="11"/>
        <v>113</v>
      </c>
      <c r="M114" s="68" t="s">
        <v>266</v>
      </c>
      <c r="O114" s="23" t="str">
        <f t="shared" si="8"/>
        <v>Oliveira</v>
      </c>
      <c r="R114" s="10" t="str">
        <f t="shared" si="12"/>
        <v>INSERT INTO Operacao (idOperacao, designacaoOperacaoAgricola, designacaoUnidade, quantidade, dataOperacao) VALUES (113, 'Poda', 'un',   300.0,  TO_DATE('10/11/Tuesday', 'DD/MM/YYYY'));</v>
      </c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N114" s="90" t="str">
        <f t="shared" si="10"/>
        <v>INSERT INTO OperacaoCultura (idOperacao, nomeParcela, dataInicial, nomeComum, variedade) VALUES (113, 'Campo Grande', TO_DATE('06/10/Thursday', 'DD/MM/YYYY'), 'Oliveira', UPPER('Galega') );</v>
      </c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</row>
    <row r="115" spans="1:59" ht="15" hidden="1" thickTop="1" thickBot="1">
      <c r="A115">
        <v>102</v>
      </c>
      <c r="B115" t="s">
        <v>218</v>
      </c>
      <c r="C115" t="s">
        <v>5</v>
      </c>
      <c r="E115" t="s">
        <v>244</v>
      </c>
      <c r="F115" s="1">
        <v>44145</v>
      </c>
      <c r="G115">
        <v>20</v>
      </c>
      <c r="H115" t="s">
        <v>267</v>
      </c>
      <c r="J115" s="23">
        <f>MATCH(E115,Culturas!$B$38:$B$54,0)</f>
        <v>2</v>
      </c>
      <c r="K115" s="35">
        <f>INDEX(Culturas!$E$12:$E$13,MATCH(Operações!E115,Culturas!$C$12:$C$13,0))</f>
        <v>42653</v>
      </c>
      <c r="L115" s="23">
        <f t="shared" si="11"/>
        <v>114</v>
      </c>
      <c r="M115" s="68" t="s">
        <v>266</v>
      </c>
      <c r="O115" s="23" t="str">
        <f t="shared" si="8"/>
        <v>Oliveira</v>
      </c>
      <c r="R115" s="10" t="str">
        <f t="shared" si="12"/>
        <v>INSERT INTO Operacao (idOperacao, designacaoOperacaoAgricola, designacaoUnidade, quantidade, dataOperacao) VALUES (114, 'Poda', 'un',   200.0,  TO_DATE('10/11/Tuesday', 'DD/MM/YYYY'));</v>
      </c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N115" s="90" t="str">
        <f t="shared" si="10"/>
        <v>INSERT INTO OperacaoCultura (idOperacao, nomeParcela, dataInicial, nomeComum, variedade) VALUES (114, 'Campo Grande', TO_DATE('10/10/Monday', 'DD/MM/YYYY'), 'Oliveira', UPPER('Picual') );</v>
      </c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</row>
    <row r="116" spans="1:59" ht="15" hidden="1" thickTop="1" thickBot="1">
      <c r="A116">
        <v>106</v>
      </c>
      <c r="B116" s="28" t="s">
        <v>223</v>
      </c>
      <c r="C116" t="s">
        <v>7</v>
      </c>
      <c r="E116" t="s">
        <v>247</v>
      </c>
      <c r="F116" s="1">
        <v>44150</v>
      </c>
      <c r="G116">
        <v>600</v>
      </c>
      <c r="H116" t="s">
        <v>292</v>
      </c>
      <c r="J116" s="23">
        <f>MATCH(E116,Culturas!$B$38:$B$54,0)</f>
        <v>11</v>
      </c>
      <c r="K116" s="35">
        <f>INDEX(Culturas!$E$14:$E$22,MATCH(Operações!E116,Culturas!$C$14:$C$22,0))</f>
        <v>44094</v>
      </c>
      <c r="L116" s="23">
        <f t="shared" si="11"/>
        <v>115</v>
      </c>
      <c r="M116" s="68" t="s">
        <v>266</v>
      </c>
      <c r="O116" s="23" t="str">
        <f t="shared" si="8"/>
        <v>Nabo</v>
      </c>
      <c r="R116" s="10" t="str">
        <f t="shared" si="12"/>
        <v>INSERT INTO Operacao (idOperacao, designacaoOperacaoAgricola, designacaoUnidade, quantidade, dataOperacao) VALUES (115, 'Colheita', 'kg',   6000.0,  TO_DATE('15/11/Sunday', 'DD/MM/YYYY'));</v>
      </c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N116" s="90" t="str">
        <f t="shared" si="10"/>
        <v>INSERT INTO OperacaoCultura (idOperacao, nomeParcela, dataInicial, nomeComum, variedade) VALUES (115, 'Horta nova', TO_DATE('20/09/Sunday', 'DD/MM/YYYY'), 'Nabo', UPPER('S. Cosme') );</v>
      </c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</row>
    <row r="117" spans="1:59" ht="15" hidden="1" thickTop="1" thickBot="1">
      <c r="A117" s="51">
        <v>104</v>
      </c>
      <c r="B117" s="51" t="s">
        <v>220</v>
      </c>
      <c r="C117" s="51" t="s">
        <v>5</v>
      </c>
      <c r="D117" s="51"/>
      <c r="E117" s="51" t="s">
        <v>253</v>
      </c>
      <c r="F117" s="52">
        <v>44170</v>
      </c>
      <c r="G117" s="51">
        <v>70</v>
      </c>
      <c r="H117" s="51" t="s">
        <v>267</v>
      </c>
      <c r="I117" s="51"/>
      <c r="J117" s="51">
        <f>MATCH(E117,Culturas!$B$38:$B$54,0)</f>
        <v>5</v>
      </c>
      <c r="K117" s="144">
        <f>INDEX(Culturas!$E$2:$E$28,MATCH(Operações!E117,Culturas!$C$2:$C$29,0))</f>
        <v>42743</v>
      </c>
      <c r="L117" s="23">
        <f t="shared" si="11"/>
        <v>116</v>
      </c>
      <c r="M117" s="68" t="s">
        <v>266</v>
      </c>
      <c r="O117" s="23" t="str">
        <f t="shared" si="8"/>
        <v>Macieira</v>
      </c>
      <c r="R117" s="10" t="str">
        <f t="shared" si="12"/>
        <v>INSERT INTO Operacao (idOperacao, designacaoOperacaoAgricola, designacaoUnidade, quantidade, dataOperacao) VALUES (116, 'Poda', 'un',   700.0,  TO_DATE('05/12/Saturday', 'DD/MM/YYYY'));</v>
      </c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10"/>
      <c r="AJ117" s="10"/>
      <c r="AK117" s="10"/>
      <c r="AL117" s="10"/>
      <c r="AN117" s="90" t="str">
        <f t="shared" si="10"/>
        <v>INSERT INTO OperacaoCultura (idOperacao, nomeParcela, dataInicial, nomeComum, variedade) VALUES (116, 'Lameiro da ponte', TO_DATE('08/01/Sunday', 'DD/MM/YYYY'), 'Macieira', UPPER('Royal Gala') );</v>
      </c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</row>
    <row r="118" spans="1:59" ht="15" hidden="1" thickTop="1" thickBot="1">
      <c r="A118" s="51">
        <v>104</v>
      </c>
      <c r="B118" s="51" t="s">
        <v>220</v>
      </c>
      <c r="C118" s="51" t="s">
        <v>5</v>
      </c>
      <c r="D118" s="51"/>
      <c r="E118" s="51" t="s">
        <v>253</v>
      </c>
      <c r="F118" s="52">
        <v>44170</v>
      </c>
      <c r="G118" s="51">
        <v>70</v>
      </c>
      <c r="H118" s="51" t="s">
        <v>267</v>
      </c>
      <c r="I118" s="51"/>
      <c r="J118" s="51">
        <f>MATCH(E118,Culturas!$B$38:$B$54,0)</f>
        <v>5</v>
      </c>
      <c r="K118" s="53">
        <v>43444</v>
      </c>
      <c r="L118" s="23">
        <f t="shared" si="11"/>
        <v>117</v>
      </c>
      <c r="M118" s="68" t="s">
        <v>266</v>
      </c>
      <c r="O118" s="23" t="str">
        <f t="shared" si="8"/>
        <v>Macieira</v>
      </c>
      <c r="R118" s="10" t="str">
        <f t="shared" si="12"/>
        <v>INSERT INTO Operacao (idOperacao, designacaoOperacaoAgricola, designacaoUnidade, quantidade, dataOperacao) VALUES (117, 'Poda', 'un',   700.0,  TO_DATE('05/12/Saturday', 'DD/MM/YYYY'));</v>
      </c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10"/>
      <c r="AJ118" s="10"/>
      <c r="AK118" s="10"/>
      <c r="AL118" s="10"/>
      <c r="AN118" s="90" t="str">
        <f t="shared" si="10"/>
        <v>INSERT INTO OperacaoCultura (idOperacao, nomeParcela, dataInicial, nomeComum, variedade) VALUES (117, 'Lameiro da ponte', TO_DATE('10/12/Monday', 'DD/MM/YYYY'), 'Macieira', UPPER('Royal Gala') );</v>
      </c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</row>
    <row r="119" spans="1:59" ht="15" hidden="1" thickTop="1" thickBot="1">
      <c r="A119">
        <v>104</v>
      </c>
      <c r="B119" t="s">
        <v>220</v>
      </c>
      <c r="C119" t="s">
        <v>5</v>
      </c>
      <c r="E119" t="s">
        <v>251</v>
      </c>
      <c r="F119" s="1">
        <v>44170</v>
      </c>
      <c r="G119">
        <v>50</v>
      </c>
      <c r="H119" t="s">
        <v>267</v>
      </c>
      <c r="J119" s="23">
        <f>MATCH(E119,Culturas!$B$38:$B$54,0)</f>
        <v>3</v>
      </c>
      <c r="K119" s="139">
        <f>INDEX(Culturas!$E$2:$E$28,MATCH(Operações!E119,Culturas!$C$2:$C$29,0))</f>
        <v>42742</v>
      </c>
      <c r="L119" s="23">
        <f t="shared" si="11"/>
        <v>118</v>
      </c>
      <c r="M119" s="68" t="s">
        <v>266</v>
      </c>
      <c r="O119" s="23" t="str">
        <f t="shared" si="8"/>
        <v>Macieira</v>
      </c>
      <c r="R119" s="10" t="str">
        <f t="shared" si="12"/>
        <v>INSERT INTO Operacao (idOperacao, designacaoOperacaoAgricola, designacaoUnidade, quantidade, dataOperacao) VALUES (118, 'Poda', 'un',   500.0,  TO_DATE('05/12/Saturday', 'DD/MM/YYYY'));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N119" s="90" t="str">
        <f t="shared" si="10"/>
        <v>INSERT INTO OperacaoCultura (idOperacao, nomeParcela, dataInicial, nomeComum, variedade) VALUES (118, 'Lameiro da ponte', TO_DATE('07/01/Saturday', 'DD/MM/YYYY'), 'Macieira', UPPER('Jonagored') );</v>
      </c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</row>
    <row r="120" spans="1:59" ht="15" hidden="1" thickTop="1" thickBot="1">
      <c r="A120">
        <v>102</v>
      </c>
      <c r="B120" t="s">
        <v>218</v>
      </c>
      <c r="C120" t="s">
        <v>290</v>
      </c>
      <c r="D120" t="s">
        <v>291</v>
      </c>
      <c r="E120" t="s">
        <v>243</v>
      </c>
      <c r="F120" s="1">
        <v>44175</v>
      </c>
      <c r="G120">
        <v>10</v>
      </c>
      <c r="H120" t="s">
        <v>292</v>
      </c>
      <c r="I120" t="s">
        <v>172</v>
      </c>
      <c r="J120" s="23">
        <f>MATCH(E120,Culturas!$B$38:$B$54,0)</f>
        <v>1</v>
      </c>
      <c r="K120" s="35">
        <f>INDEX(Culturas!$E$12:$E$13,MATCH(Operações!E120,Culturas!$C$12:$C$13,0))</f>
        <v>42649</v>
      </c>
      <c r="L120" s="84">
        <f t="shared" si="11"/>
        <v>119</v>
      </c>
      <c r="M120" s="68" t="s">
        <v>266</v>
      </c>
      <c r="O120" s="23" t="str">
        <f t="shared" si="8"/>
        <v>Oliveira</v>
      </c>
      <c r="R120" s="10" t="str">
        <f t="shared" si="12"/>
        <v>INSERT INTO Operacao (idOperacao, designacaoOperacaoAgricola, designacaoUnidade, quantidade, dataOperacao) VALUES (119, 'Fertilização', 'kg',   100.0,  TO_DATE('10/12/Thursday', 'DD/MM/YYYY'));</v>
      </c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N120" s="90" t="str">
        <f t="shared" si="10"/>
        <v>INSERT INTO OperacaoCultura (idOperacao, nomeParcela, dataInicial, nomeComum, variedade) VALUES (119, 'Campo Grande', TO_DATE('06/10/Thursday', 'DD/MM/YYYY'), 'Oliveira', UPPER('Galega') );</v>
      </c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</row>
    <row r="121" spans="1:59" ht="15" hidden="1" thickTop="1" thickBot="1">
      <c r="A121">
        <v>102</v>
      </c>
      <c r="B121" t="s">
        <v>218</v>
      </c>
      <c r="C121" t="s">
        <v>290</v>
      </c>
      <c r="D121" t="s">
        <v>291</v>
      </c>
      <c r="E121" t="s">
        <v>244</v>
      </c>
      <c r="F121" s="1">
        <v>44175</v>
      </c>
      <c r="G121">
        <v>7</v>
      </c>
      <c r="H121" t="s">
        <v>292</v>
      </c>
      <c r="I121" t="s">
        <v>172</v>
      </c>
      <c r="J121" s="23">
        <f>MATCH(E121,Culturas!$B$38:$B$54,0)</f>
        <v>2</v>
      </c>
      <c r="K121" s="35">
        <f>INDEX(Culturas!$E$12:$E$13,MATCH(Operações!E121,Culturas!$C$12:$C$13,0))</f>
        <v>42653</v>
      </c>
      <c r="L121" s="84">
        <f t="shared" si="11"/>
        <v>120</v>
      </c>
      <c r="M121" s="68" t="s">
        <v>266</v>
      </c>
      <c r="O121" s="23" t="str">
        <f t="shared" si="8"/>
        <v>Oliveira</v>
      </c>
      <c r="R121" s="10" t="str">
        <f t="shared" si="12"/>
        <v>INSERT INTO Operacao (idOperacao, designacaoOperacaoAgricola, designacaoUnidade, quantidade, dataOperacao) VALUES (120, 'Fertilização', 'kg',   70.0,  TO_DATE('10/12/Thursday', 'DD/MM/YYYY'));</v>
      </c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N121" s="90" t="str">
        <f t="shared" si="10"/>
        <v>INSERT INTO OperacaoCultura (idOperacao, nomeParcela, dataInicial, nomeComum, variedade) VALUES (120, 'Campo Grande', TO_DATE('10/10/Monday', 'DD/MM/YYYY'), 'Oliveira', UPPER('Picual') );</v>
      </c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</row>
    <row r="122" spans="1:59" ht="15" hidden="1" thickTop="1" thickBot="1">
      <c r="A122">
        <v>104</v>
      </c>
      <c r="B122" t="s">
        <v>220</v>
      </c>
      <c r="C122" t="s">
        <v>5</v>
      </c>
      <c r="E122" t="s">
        <v>251</v>
      </c>
      <c r="F122" s="1">
        <v>44180</v>
      </c>
      <c r="G122">
        <v>40</v>
      </c>
      <c r="H122" t="s">
        <v>267</v>
      </c>
      <c r="J122" s="23">
        <f>MATCH(E122,Culturas!$B$38:$B$54,0)</f>
        <v>3</v>
      </c>
      <c r="K122" s="139">
        <f>INDEX(Culturas!$E$2:$E$28,MATCH(Operações!E122,Culturas!$C$2:$C$29,0))</f>
        <v>42742</v>
      </c>
      <c r="L122" s="23">
        <f t="shared" si="11"/>
        <v>121</v>
      </c>
      <c r="M122" s="68" t="s">
        <v>266</v>
      </c>
      <c r="O122" s="23" t="str">
        <f t="shared" si="8"/>
        <v>Macieira</v>
      </c>
      <c r="R122" s="10" t="str">
        <f t="shared" si="12"/>
        <v>INSERT INTO Operacao (idOperacao, designacaoOperacaoAgricola, designacaoUnidade, quantidade, dataOperacao) VALUES (121, 'Poda', 'un',   400.0,  TO_DATE('15/12/Tuesday', 'DD/MM/YYYY'));</v>
      </c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N122" s="90" t="str">
        <f t="shared" si="10"/>
        <v>INSERT INTO OperacaoCultura (idOperacao, nomeParcela, dataInicial, nomeComum, variedade) VALUES (121, 'Lameiro da ponte', TO_DATE('07/01/Saturday', 'DD/MM/YYYY'), 'Macieira', UPPER('Jonagored') );</v>
      </c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</row>
    <row r="123" spans="1:59" ht="15" hidden="1" thickTop="1" thickBot="1">
      <c r="A123">
        <v>104</v>
      </c>
      <c r="B123" t="s">
        <v>220</v>
      </c>
      <c r="C123" t="s">
        <v>5</v>
      </c>
      <c r="E123" t="s">
        <v>252</v>
      </c>
      <c r="F123" s="1">
        <v>44180</v>
      </c>
      <c r="G123">
        <v>60</v>
      </c>
      <c r="H123" t="s">
        <v>267</v>
      </c>
      <c r="J123" s="23">
        <f>MATCH(E123,Culturas!$B$38:$B$54,0)</f>
        <v>4</v>
      </c>
      <c r="K123" s="139">
        <f>INDEX(Culturas!$E$2:$E$28,MATCH(Operações!E123,Culturas!$C$2:$C$29,0))</f>
        <v>42743</v>
      </c>
      <c r="L123" s="23">
        <f t="shared" si="11"/>
        <v>122</v>
      </c>
      <c r="M123" s="68" t="s">
        <v>266</v>
      </c>
      <c r="O123" s="23" t="str">
        <f t="shared" si="8"/>
        <v>Macieira</v>
      </c>
      <c r="R123" s="10" t="str">
        <f t="shared" si="12"/>
        <v>INSERT INTO Operacao (idOperacao, designacaoOperacaoAgricola, designacaoUnidade, quantidade, dataOperacao) VALUES (122, 'Poda', 'un',   600.0,  TO_DATE('15/12/Tuesday', 'DD/MM/YYYY'));</v>
      </c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N123" s="90" t="str">
        <f t="shared" si="10"/>
        <v>INSERT INTO OperacaoCultura (idOperacao, nomeParcela, dataInicial, nomeComum, variedade) VALUES (122, 'Lameiro da ponte', TO_DATE('08/01/Sunday', 'DD/MM/YYYY'), 'Macieira', UPPER('Fuji') );</v>
      </c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</row>
    <row r="124" spans="1:59" ht="15" hidden="1" thickTop="1" thickBot="1">
      <c r="A124">
        <v>107</v>
      </c>
      <c r="B124" t="s">
        <v>225</v>
      </c>
      <c r="C124" t="s">
        <v>5</v>
      </c>
      <c r="E124" t="s">
        <v>254</v>
      </c>
      <c r="F124" s="1">
        <v>44181</v>
      </c>
      <c r="G124">
        <v>500</v>
      </c>
      <c r="H124" t="s">
        <v>267</v>
      </c>
      <c r="J124" s="23">
        <f>MATCH(E124,Culturas!$B$38:$B$54,0)</f>
        <v>16</v>
      </c>
      <c r="K124" s="139">
        <f>INDEX(Culturas!$E$2:$E$28,MATCH(Operações!E124,Culturas!$C$2:$C$29,0))</f>
        <v>43110</v>
      </c>
      <c r="L124" s="23">
        <f t="shared" si="11"/>
        <v>123</v>
      </c>
      <c r="M124" s="68" t="s">
        <v>266</v>
      </c>
      <c r="O124" s="23" t="str">
        <f t="shared" si="8"/>
        <v>Videira</v>
      </c>
      <c r="R124" s="10" t="str">
        <f t="shared" si="12"/>
        <v>INSERT INTO Operacao (idOperacao, designacaoOperacaoAgricola, designacaoUnidade, quantidade, dataOperacao) VALUES (123, 'Poda', 'un',   5000.0,  TO_DATE('16/12/Wednesday', 'DD/MM/YYYY'));</v>
      </c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N124" s="90" t="str">
        <f t="shared" si="10"/>
        <v>INSERT INTO OperacaoCultura (idOperacao, nomeParcela, dataInicial, nomeComum, variedade) VALUES (123, 'Vinha', TO_DATE('10/01/Wednesday', 'DD/MM/YYYY'), 'Videira', UPPER('Dona Maria') );</v>
      </c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</row>
    <row r="125" spans="1:59" ht="15" hidden="1" thickTop="1" thickBot="1">
      <c r="A125">
        <v>106</v>
      </c>
      <c r="B125" s="28" t="s">
        <v>223</v>
      </c>
      <c r="C125" t="s">
        <v>7</v>
      </c>
      <c r="E125" t="s">
        <v>247</v>
      </c>
      <c r="F125" s="1">
        <v>44183</v>
      </c>
      <c r="G125">
        <v>2500</v>
      </c>
      <c r="H125" t="s">
        <v>292</v>
      </c>
      <c r="J125" s="23">
        <f>MATCH(E125,Culturas!$B$38:$B$54,0)</f>
        <v>11</v>
      </c>
      <c r="K125" s="35">
        <f>INDEX(Culturas!$E$14:$E$22,MATCH(Operações!E125,Culturas!$C$14:$C$22,0))</f>
        <v>44094</v>
      </c>
      <c r="L125" s="23">
        <f t="shared" si="11"/>
        <v>124</v>
      </c>
      <c r="M125" s="68" t="s">
        <v>266</v>
      </c>
      <c r="O125" s="23" t="str">
        <f t="shared" si="8"/>
        <v>Nabo</v>
      </c>
      <c r="R125" s="10" t="str">
        <f t="shared" si="12"/>
        <v>INSERT INTO Operacao (idOperacao, designacaoOperacaoAgricola, designacaoUnidade, quantidade, dataOperacao) VALUES (124, 'Colheita', 'kg',   25000.0,  TO_DATE('18/12/Friday', 'DD/MM/YYYY'));</v>
      </c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N125" s="90" t="str">
        <f t="shared" si="10"/>
        <v>INSERT INTO OperacaoCultura (idOperacao, nomeParcela, dataInicial, nomeComum, variedade) VALUES (124, 'Horta nova', TO_DATE('20/09/Sunday', 'DD/MM/YYYY'), 'Nabo', UPPER('S. Cosme') );</v>
      </c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</row>
    <row r="126" spans="1:59" ht="15" hidden="1" thickTop="1" thickBot="1">
      <c r="A126">
        <v>107</v>
      </c>
      <c r="B126" t="s">
        <v>225</v>
      </c>
      <c r="C126" t="s">
        <v>5</v>
      </c>
      <c r="E126" t="s">
        <v>255</v>
      </c>
      <c r="F126" s="1">
        <v>44183</v>
      </c>
      <c r="G126">
        <v>700</v>
      </c>
      <c r="H126" t="s">
        <v>267</v>
      </c>
      <c r="J126" s="23">
        <f>MATCH(E126,Culturas!$B$38:$B$54,0)</f>
        <v>17</v>
      </c>
      <c r="K126" s="139">
        <f>INDEX(Culturas!$E$2:$E$28,MATCH(Operações!E126,Culturas!$C$2:$C$29,0))</f>
        <v>43111</v>
      </c>
      <c r="L126" s="23">
        <f t="shared" si="11"/>
        <v>125</v>
      </c>
      <c r="M126" s="68" t="s">
        <v>266</v>
      </c>
      <c r="O126" s="23" t="str">
        <f t="shared" si="8"/>
        <v>Videira</v>
      </c>
      <c r="R126" s="10" t="str">
        <f t="shared" si="12"/>
        <v>INSERT INTO Operacao (idOperacao, designacaoOperacaoAgricola, designacaoUnidade, quantidade, dataOperacao) VALUES (125, 'Poda', 'un',   7000.0,  TO_DATE('18/12/Friday', 'DD/MM/YYYY'));</v>
      </c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N126" s="90" t="str">
        <f t="shared" si="10"/>
        <v>INSERT INTO OperacaoCultura (idOperacao, nomeParcela, dataInicial, nomeComum, variedade) VALUES (125, 'Vinha', TO_DATE('11/01/Thursday', 'DD/MM/YYYY'), 'Videira', UPPER('Cardinal') );</v>
      </c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</row>
    <row r="127" spans="1:59" ht="15" hidden="1" thickTop="1" thickBot="1">
      <c r="A127">
        <v>106</v>
      </c>
      <c r="B127" s="28" t="s">
        <v>223</v>
      </c>
      <c r="C127" t="s">
        <v>7</v>
      </c>
      <c r="E127" t="s">
        <v>247</v>
      </c>
      <c r="F127" s="1">
        <v>44200</v>
      </c>
      <c r="G127">
        <v>2900</v>
      </c>
      <c r="H127" t="s">
        <v>292</v>
      </c>
      <c r="J127" s="23">
        <f>MATCH(E127,Culturas!$B$38:$B$54,0)</f>
        <v>11</v>
      </c>
      <c r="K127" s="35">
        <f>INDEX(Culturas!$E$14:$E$22,MATCH(Operações!E127,Culturas!$C$14:$C$22,0))</f>
        <v>44094</v>
      </c>
      <c r="L127" s="23">
        <f t="shared" si="11"/>
        <v>126</v>
      </c>
      <c r="M127" s="68" t="s">
        <v>266</v>
      </c>
      <c r="O127" s="23" t="str">
        <f t="shared" si="8"/>
        <v>Nabo</v>
      </c>
      <c r="R127" s="10" t="str">
        <f t="shared" si="12"/>
        <v>INSERT INTO Operacao (idOperacao, designacaoOperacaoAgricola, designacaoUnidade, quantidade, dataOperacao) VALUES (126, 'Colheita', 'kg',   29000.0,  TO_DATE('04/01/Monday', 'DD/MM/YYYY'));</v>
      </c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N127" s="90" t="str">
        <f t="shared" si="10"/>
        <v>INSERT INTO OperacaoCultura (idOperacao, nomeParcela, dataInicial, nomeComum, variedade) VALUES (126, 'Horta nova', TO_DATE('20/09/Sunday', 'DD/MM/YYYY'), 'Nabo', UPPER('S. Cosme') );</v>
      </c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</row>
    <row r="128" spans="1:59" ht="15" thickTop="1" thickBot="1">
      <c r="A128">
        <v>107</v>
      </c>
      <c r="B128" t="s">
        <v>225</v>
      </c>
      <c r="C128" t="s">
        <v>293</v>
      </c>
      <c r="E128" t="s">
        <v>254</v>
      </c>
      <c r="F128" s="1">
        <v>44216</v>
      </c>
      <c r="G128">
        <v>2</v>
      </c>
      <c r="H128" t="s">
        <v>292</v>
      </c>
      <c r="I128" t="s">
        <v>163</v>
      </c>
      <c r="J128" s="23">
        <f>MATCH(E128,Culturas!$B$38:$B$54,0)</f>
        <v>16</v>
      </c>
      <c r="K128" s="139">
        <f>INDEX(Culturas!$E$2:$E$28,MATCH(Operações!E128,Culturas!$C$2:$C$29,0))</f>
        <v>43110</v>
      </c>
      <c r="L128" s="84">
        <f t="shared" si="11"/>
        <v>127</v>
      </c>
      <c r="M128" s="68" t="s">
        <v>266</v>
      </c>
      <c r="O128" s="23" t="str">
        <f t="shared" si="8"/>
        <v>Videira</v>
      </c>
      <c r="R128" s="10" t="str">
        <f t="shared" si="12"/>
        <v>INSERT INTO Operacao (idOperacao, designacaoOperacaoAgricola, designacaoUnidade, quantidade, dataOperacao) VALUES (127, 'Aplicação fitofármaco', 'kg',   20.0,  TO_DATE('20/01/Wednesday', 'DD/MM/YYYY'));</v>
      </c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N128" s="90" t="str">
        <f t="shared" si="10"/>
        <v>INSERT INTO OperacaoCultura (idOperacao, nomeParcela, dataInicial, nomeComum, variedade) VALUES (127, 'Vinha', TO_DATE('10/01/Wednesday', 'DD/MM/YYYY'), 'Videira', UPPER('Dona Maria') );</v>
      </c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90"/>
      <c r="BC128" s="90"/>
      <c r="BD128" s="90"/>
      <c r="BE128" s="90"/>
      <c r="BF128" s="90"/>
      <c r="BG128" s="90"/>
    </row>
    <row r="129" spans="1:59" ht="15" thickTop="1" thickBot="1">
      <c r="A129">
        <v>107</v>
      </c>
      <c r="B129" t="s">
        <v>225</v>
      </c>
      <c r="C129" t="s">
        <v>293</v>
      </c>
      <c r="E129" t="s">
        <v>255</v>
      </c>
      <c r="F129" s="1">
        <v>44216</v>
      </c>
      <c r="G129">
        <v>2.5</v>
      </c>
      <c r="H129" t="s">
        <v>292</v>
      </c>
      <c r="I129" t="s">
        <v>163</v>
      </c>
      <c r="J129" s="23">
        <f>MATCH(E129,Culturas!$B$38:$B$54,0)</f>
        <v>17</v>
      </c>
      <c r="K129" s="139">
        <f>INDEX(Culturas!$E$2:$E$28,MATCH(Operações!E129,Culturas!$C$2:$C$29,0))</f>
        <v>43111</v>
      </c>
      <c r="L129" s="84">
        <f t="shared" si="11"/>
        <v>128</v>
      </c>
      <c r="M129" s="68" t="s">
        <v>266</v>
      </c>
      <c r="O129" s="23" t="str">
        <f t="shared" si="8"/>
        <v>Videira</v>
      </c>
      <c r="R129" s="10" t="str">
        <f t="shared" si="12"/>
        <v>INSERT INTO Operacao (idOperacao, designacaoOperacaoAgricola, designacaoUnidade, quantidade, dataOperacao) VALUES (128, 'Aplicação fitofármaco', 'kg',   25.0,  TO_DATE('20/01/Wednesday', 'DD/MM/YYYY'));</v>
      </c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N129" s="90" t="str">
        <f t="shared" si="10"/>
        <v>INSERT INTO OperacaoCultura (idOperacao, nomeParcela, dataInicial, nomeComum, variedade) VALUES (128, 'Vinha', TO_DATE('11/01/Thursday', 'DD/MM/YYYY'), 'Videira', UPPER('Cardinal') );</v>
      </c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90"/>
      <c r="BC129" s="90"/>
      <c r="BD129" s="90"/>
      <c r="BE129" s="90"/>
      <c r="BF129" s="90"/>
      <c r="BG129" s="90"/>
    </row>
    <row r="130" spans="1:59" ht="15" hidden="1" thickTop="1" thickBot="1">
      <c r="A130" s="28">
        <v>106</v>
      </c>
      <c r="B130" s="28" t="s">
        <v>223</v>
      </c>
      <c r="C130" s="73" t="s">
        <v>294</v>
      </c>
      <c r="D130" s="28"/>
      <c r="E130" s="78" t="s">
        <v>248</v>
      </c>
      <c r="F130" s="72">
        <v>44265</v>
      </c>
      <c r="G130" s="28">
        <v>0.9</v>
      </c>
      <c r="H130" s="28" t="s">
        <v>292</v>
      </c>
      <c r="I130" s="28"/>
      <c r="J130" s="28">
        <f>MATCH(E130,Culturas!$B$38:$B$54,0)</f>
        <v>12</v>
      </c>
      <c r="K130" s="72">
        <f>INDEX(Culturas!$E$14:$E$22,MATCH(Operações!E130,Culturas!$C$14:$C$22,0))</f>
        <v>44265</v>
      </c>
      <c r="L130" s="23">
        <f t="shared" si="11"/>
        <v>129</v>
      </c>
      <c r="M130" s="68" t="s">
        <v>266</v>
      </c>
      <c r="O130" s="23" t="str">
        <f t="shared" si="8"/>
        <v>Cenoura</v>
      </c>
      <c r="R130" s="10" t="str">
        <f t="shared" si="12"/>
        <v>INSERT INTO Operacao (idOperacao, designacaoOperacaoAgricola, designacaoUnidade, quantidade, dataOperacao) VALUES (129, 'Sementeira', 'kg',   9.0,  TO_DATE('10/03/Wednesday', 'DD/MM/YYYY'));</v>
      </c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N130" s="90" t="str">
        <f t="shared" si="10"/>
        <v>INSERT INTO OperacaoCultura (idOperacao, nomeParcela, dataInicial, nomeComum, variedade) VALUES (129, 'Horta nova', TO_DATE('10/03/Wednesday', 'DD/MM/YYYY'), 'Cenoura', UPPER('Sugarsnax Hybrid') );</v>
      </c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90"/>
      <c r="BC130" s="90"/>
      <c r="BD130" s="90"/>
      <c r="BE130" s="90"/>
      <c r="BF130" s="90"/>
      <c r="BG130" s="90"/>
    </row>
    <row r="131" spans="1:59" ht="15" hidden="1" thickTop="1" thickBot="1">
      <c r="A131" s="61">
        <v>103</v>
      </c>
      <c r="B131" s="61" t="s">
        <v>219</v>
      </c>
      <c r="C131" s="61" t="s">
        <v>296</v>
      </c>
      <c r="D131" s="61"/>
      <c r="E131" s="61" t="s">
        <v>240</v>
      </c>
      <c r="F131" s="62">
        <v>44269</v>
      </c>
      <c r="G131" s="61">
        <v>1.3</v>
      </c>
      <c r="H131" s="61" t="s">
        <v>216</v>
      </c>
      <c r="I131" s="61"/>
      <c r="J131" s="61">
        <f>MATCH(E131,Culturas!$B$38:$B$54,0)</f>
        <v>6</v>
      </c>
      <c r="K131" s="62">
        <f>INDEX(Culturas!$E$6:$E$11,MATCH(Operações!E131,Culturas!$C$6:$C$11,0))</f>
        <v>44116</v>
      </c>
      <c r="L131" s="23">
        <f t="shared" si="11"/>
        <v>130</v>
      </c>
      <c r="M131" s="68" t="s">
        <v>266</v>
      </c>
      <c r="O131" s="23" t="str">
        <f t="shared" ref="O131:O194" si="14">_xlfn.TEXTBEFORE(E131, " ")</f>
        <v>Tremoço</v>
      </c>
      <c r="R131" s="10" t="str">
        <f t="shared" ref="R131:R194" si="15" xml:space="preserve"> "INSERT INTO " &amp;$T$1&amp; " (idOperacao, designacaoOperacaoAgricola, designacaoUnidade, quantidade, dataOperacao) VALUES (" &amp;L131&amp; ", '" &amp;C131&amp; "', " &amp;IF(ISBLANK(H131), "null", "'" &amp;H131&amp; "'" )&amp; ",   "&amp;IF(ISBLANK(G131), "null",TEXT(SUBSTITUTE(G131, "%", "") * 10, "0.0"))&amp;",  TO_DATE('"&amp;TEXT(F131,"DD/MM/AAAA")&amp;"', 'DD/MM/YYYY'));"</f>
        <v>INSERT INTO Operacao (idOperacao, designacaoOperacaoAgricola, designacaoUnidade, quantidade, dataOperacao) VALUES (130, 'Incorporação no solo', 'ha',   13.0,  TO_DATE('14/03/Sunday', 'DD/MM/YYYY'));</v>
      </c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N131" s="90" t="str">
        <f t="shared" ref="AN131:AN194" si="16" xml:space="preserve"> "INSERT INTO " &amp;$AO$1&amp; " (idOperacao, nomeParcela, dataInicial, nomeComum, variedade) VALUES (" &amp;L131&amp; ", '" &amp;B131&amp; "', TO_DATE('"&amp;TEXT(K131,"DD/MM/AAAA")&amp;"', 'DD/MM/YYYY'), '"  &amp;INDEX($D$270:$D$286,MATCH(J131,$B$270:$B$286,0))&amp; "', UPPER('" &amp;INDEX($E$270:$E$286,MATCH(J131,$B$270:$B$286,0))&amp;  "') );"</f>
        <v>INSERT INTO OperacaoCultura (idOperacao, nomeParcela, dataInicial, nomeComum, variedade) VALUES (130, 'Campo do poço', TO_DATE('12/10/Monday', 'DD/MM/YYYY'), 'Tremoço', UPPER('Amarelo') );</v>
      </c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90"/>
      <c r="BC131" s="90"/>
      <c r="BD131" s="90"/>
      <c r="BE131" s="90"/>
      <c r="BF131" s="90"/>
      <c r="BG131" s="90"/>
    </row>
    <row r="132" spans="1:59" ht="15" hidden="1" thickTop="1" thickBot="1">
      <c r="A132">
        <v>101</v>
      </c>
      <c r="B132" t="s">
        <v>215</v>
      </c>
      <c r="C132" t="s">
        <v>296</v>
      </c>
      <c r="E132" t="s">
        <v>240</v>
      </c>
      <c r="F132" s="1">
        <v>44285</v>
      </c>
      <c r="G132">
        <v>1.3</v>
      </c>
      <c r="H132" t="s">
        <v>216</v>
      </c>
      <c r="J132">
        <f>MATCH(E132,Culturas!$B$38:$B$54,0)</f>
        <v>6</v>
      </c>
      <c r="K132" s="1">
        <f>INDEX(Culturas!$E$2:$E$5,MATCH(Operações!E132,Culturas!$C$2:$C$5,0))</f>
        <v>44114</v>
      </c>
      <c r="L132" s="23">
        <f t="shared" ref="L132:L195" si="17">L131+1</f>
        <v>131</v>
      </c>
      <c r="M132" s="68" t="s">
        <v>266</v>
      </c>
      <c r="O132" s="23" t="str">
        <f t="shared" si="14"/>
        <v>Tremoço</v>
      </c>
      <c r="R132" s="10" t="str">
        <f t="shared" si="15"/>
        <v>INSERT INTO Operacao (idOperacao, designacaoOperacaoAgricola, designacaoUnidade, quantidade, dataOperacao) VALUES (131, 'Incorporação no solo', 'ha',   13.0,  TO_DATE('30/03/Tuesday', 'DD/MM/YYYY'));</v>
      </c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N132" s="90" t="str">
        <f t="shared" si="16"/>
        <v>INSERT INTO OperacaoCultura (idOperacao, nomeParcela, dataInicial, nomeComum, variedade) VALUES (131, 'Campo da bouça', TO_DATE('10/10/Saturday', 'DD/MM/YYYY'), 'Tremoço', UPPER('Amarelo') );</v>
      </c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</row>
    <row r="133" spans="1:59" ht="15" hidden="1" thickTop="1" thickBot="1">
      <c r="A133" s="59">
        <v>103</v>
      </c>
      <c r="B133" s="59" t="s">
        <v>219</v>
      </c>
      <c r="C133" s="59" t="s">
        <v>294</v>
      </c>
      <c r="D133" s="59"/>
      <c r="E133" s="59" t="s">
        <v>242</v>
      </c>
      <c r="F133" s="60">
        <v>44289</v>
      </c>
      <c r="G133" s="59">
        <v>1.2</v>
      </c>
      <c r="H133" s="59" t="s">
        <v>216</v>
      </c>
      <c r="I133" s="59"/>
      <c r="J133" s="59">
        <f>MATCH(E133,Culturas!$B$38:$B$54,0)</f>
        <v>14</v>
      </c>
      <c r="K133" s="60">
        <f>F133</f>
        <v>44289</v>
      </c>
      <c r="L133" s="23">
        <f t="shared" si="17"/>
        <v>132</v>
      </c>
      <c r="M133" s="68" t="s">
        <v>266</v>
      </c>
      <c r="O133" s="23" t="str">
        <f t="shared" si="14"/>
        <v>Milho</v>
      </c>
      <c r="R133" s="10" t="str">
        <f t="shared" si="15"/>
        <v>INSERT INTO Operacao (idOperacao, designacaoOperacaoAgricola, designacaoUnidade, quantidade, dataOperacao) VALUES (132, 'Sementeira', 'ha',   12.0,  TO_DATE('03/04/Saturday', 'DD/MM/YYYY'));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N133" s="90" t="str">
        <f t="shared" si="16"/>
        <v>INSERT INTO OperacaoCultura (idOperacao, nomeParcela, dataInicial, nomeComum, variedade) VALUES (132, 'Campo do poço', TO_DATE('03/04/Saturday', 'DD/MM/YYYY'), 'Milho', UPPER('MAS 24.C') );</v>
      </c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</row>
    <row r="134" spans="1:59" ht="15" hidden="1" thickTop="1" thickBot="1">
      <c r="A134" s="55">
        <v>101</v>
      </c>
      <c r="B134" s="55" t="s">
        <v>215</v>
      </c>
      <c r="C134" s="55" t="s">
        <v>294</v>
      </c>
      <c r="D134" s="55"/>
      <c r="E134" s="55" t="s">
        <v>241</v>
      </c>
      <c r="F134" s="56">
        <v>44296</v>
      </c>
      <c r="G134" s="55">
        <v>30</v>
      </c>
      <c r="H134" s="55" t="s">
        <v>292</v>
      </c>
      <c r="I134" s="55"/>
      <c r="J134" s="55">
        <f>MATCH(E134,Culturas!$B$38:$B$54,0)</f>
        <v>7</v>
      </c>
      <c r="K134" s="56">
        <f>INDEX(Culturas!$E$2:$E$5,MATCH(Operações!E134,Culturas!$C$2:$C$5,0))</f>
        <v>44296</v>
      </c>
      <c r="L134" s="23">
        <f t="shared" si="17"/>
        <v>133</v>
      </c>
      <c r="M134" s="68" t="s">
        <v>266</v>
      </c>
      <c r="O134" s="23" t="str">
        <f t="shared" si="14"/>
        <v>Milho</v>
      </c>
      <c r="R134" s="10" t="str">
        <f t="shared" si="15"/>
        <v>INSERT INTO Operacao (idOperacao, designacaoOperacaoAgricola, designacaoUnidade, quantidade, dataOperacao) VALUES (133, 'Sementeira', 'kg',   300.0,  TO_DATE('10/04/Saturday', 'DD/MM/YYYY'));</v>
      </c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N134" s="90" t="str">
        <f t="shared" si="16"/>
        <v>INSERT INTO OperacaoCultura (idOperacao, nomeParcela, dataInicial, nomeComum, variedade) VALUES (133, 'Campo da bouça', TO_DATE('10/04/Saturday', 'DD/MM/YYYY'), 'Milho', UPPER('Doce Golden Bantam') );</v>
      </c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</row>
    <row r="135" spans="1:59" ht="15" hidden="1" thickTop="1" thickBot="1">
      <c r="A135" s="40">
        <v>104</v>
      </c>
      <c r="B135" s="40" t="s">
        <v>220</v>
      </c>
      <c r="C135" s="40" t="s">
        <v>290</v>
      </c>
      <c r="D135" s="40" t="s">
        <v>297</v>
      </c>
      <c r="E135" s="37" t="s">
        <v>251</v>
      </c>
      <c r="F135" s="43">
        <v>44318</v>
      </c>
      <c r="G135" s="40">
        <v>10</v>
      </c>
      <c r="H135" s="40" t="s">
        <v>292</v>
      </c>
      <c r="I135" s="40" t="s">
        <v>180</v>
      </c>
      <c r="J135" s="40">
        <f>MATCH(E135,Culturas!$B$38:$B$54,0)</f>
        <v>3</v>
      </c>
      <c r="K135" s="142">
        <f>INDEX(Culturas!$E$2:$E$28,MATCH(Operações!E135,Culturas!$C$2:$C$29,0))</f>
        <v>42742</v>
      </c>
      <c r="L135" s="84">
        <f t="shared" si="17"/>
        <v>134</v>
      </c>
      <c r="M135" s="68" t="s">
        <v>266</v>
      </c>
      <c r="O135" s="23" t="str">
        <f t="shared" si="14"/>
        <v>Macieira</v>
      </c>
      <c r="R135" s="10" t="str">
        <f t="shared" si="15"/>
        <v>INSERT INTO Operacao (idOperacao, designacaoOperacaoAgricola, designacaoUnidade, quantidade, dataOperacao) VALUES (134, 'Fertilização', 'kg',   100.0,  TO_DATE('02/05/Sunday', 'DD/MM/YYYY'));</v>
      </c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10"/>
      <c r="AJ135" s="10"/>
      <c r="AK135" s="10"/>
      <c r="AL135" s="10"/>
      <c r="AN135" s="90" t="str">
        <f t="shared" si="16"/>
        <v>INSERT INTO OperacaoCultura (idOperacao, nomeParcela, dataInicial, nomeComum, variedade) VALUES (134, 'Lameiro da ponte', TO_DATE('07/01/Saturday', 'DD/MM/YYYY'), 'Macieira', UPPER('Jonagored') );</v>
      </c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</row>
    <row r="136" spans="1:59" ht="15" hidden="1" thickTop="1" thickBot="1">
      <c r="A136" s="40">
        <v>104</v>
      </c>
      <c r="B136" s="40" t="s">
        <v>220</v>
      </c>
      <c r="C136" s="40" t="s">
        <v>290</v>
      </c>
      <c r="D136" s="40" t="s">
        <v>297</v>
      </c>
      <c r="E136" s="37" t="s">
        <v>252</v>
      </c>
      <c r="F136" s="43">
        <v>44318</v>
      </c>
      <c r="G136" s="40">
        <v>10</v>
      </c>
      <c r="H136" s="40" t="s">
        <v>292</v>
      </c>
      <c r="I136" s="40" t="s">
        <v>180</v>
      </c>
      <c r="J136" s="40">
        <f>MATCH(E136,Culturas!$B$38:$B$54,0)</f>
        <v>4</v>
      </c>
      <c r="K136" s="142">
        <f>INDEX(Culturas!$E$2:$E$28,MATCH(Operações!E136,Culturas!$C$2:$C$29,0))</f>
        <v>42743</v>
      </c>
      <c r="L136" s="84">
        <f t="shared" si="17"/>
        <v>135</v>
      </c>
      <c r="M136" s="68" t="s">
        <v>266</v>
      </c>
      <c r="O136" s="23" t="str">
        <f t="shared" si="14"/>
        <v>Macieira</v>
      </c>
      <c r="R136" s="10" t="str">
        <f t="shared" si="15"/>
        <v>INSERT INTO Operacao (idOperacao, designacaoOperacaoAgricola, designacaoUnidade, quantidade, dataOperacao) VALUES (135, 'Fertilização', 'kg',   100.0,  TO_DATE('02/05/Sunday', 'DD/MM/YYYY'));</v>
      </c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10"/>
      <c r="AJ136" s="10"/>
      <c r="AK136" s="10"/>
      <c r="AL136" s="10"/>
      <c r="AN136" s="90" t="str">
        <f t="shared" si="16"/>
        <v>INSERT INTO OperacaoCultura (idOperacao, nomeParcela, dataInicial, nomeComum, variedade) VALUES (135, 'Lameiro da ponte', TO_DATE('08/01/Sunday', 'DD/MM/YYYY'), 'Macieira', UPPER('Fuji') );</v>
      </c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</row>
    <row r="137" spans="1:59" ht="15" hidden="1" thickTop="1" thickBot="1">
      <c r="A137" s="40">
        <v>104</v>
      </c>
      <c r="B137" s="40" t="s">
        <v>220</v>
      </c>
      <c r="C137" s="40" t="s">
        <v>290</v>
      </c>
      <c r="D137" s="40" t="s">
        <v>297</v>
      </c>
      <c r="E137" s="37" t="s">
        <v>253</v>
      </c>
      <c r="F137" s="43">
        <v>44318</v>
      </c>
      <c r="G137" s="40">
        <v>10</v>
      </c>
      <c r="H137" s="40" t="s">
        <v>292</v>
      </c>
      <c r="I137" s="40" t="s">
        <v>180</v>
      </c>
      <c r="J137" s="40">
        <f>MATCH(E137,Culturas!$B$38:$B$54,0)</f>
        <v>5</v>
      </c>
      <c r="K137" s="142">
        <f>INDEX(Culturas!$E$2:$E$28,MATCH(Operações!E137,Culturas!$C$2:$C$29,0))</f>
        <v>42743</v>
      </c>
      <c r="L137" s="84">
        <f t="shared" si="17"/>
        <v>136</v>
      </c>
      <c r="M137" s="68" t="s">
        <v>266</v>
      </c>
      <c r="O137" s="23" t="str">
        <f t="shared" si="14"/>
        <v>Macieira</v>
      </c>
      <c r="R137" s="10" t="str">
        <f t="shared" si="15"/>
        <v>INSERT INTO Operacao (idOperacao, designacaoOperacaoAgricola, designacaoUnidade, quantidade, dataOperacao) VALUES (136, 'Fertilização', 'kg',   100.0,  TO_DATE('02/05/Sunday', 'DD/MM/YYYY'));</v>
      </c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10"/>
      <c r="AJ137" s="10"/>
      <c r="AK137" s="10"/>
      <c r="AL137" s="10"/>
      <c r="AN137" s="90" t="str">
        <f t="shared" si="16"/>
        <v>INSERT INTO OperacaoCultura (idOperacao, nomeParcela, dataInicial, nomeComum, variedade) VALUES (136, 'Lameiro da ponte', TO_DATE('08/01/Sunday', 'DD/MM/YYYY'), 'Macieira', UPPER('Royal Gala') );</v>
      </c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</row>
    <row r="138" spans="1:59" ht="15" hidden="1" thickTop="1" thickBot="1">
      <c r="A138" s="40">
        <v>104</v>
      </c>
      <c r="B138" s="40" t="s">
        <v>220</v>
      </c>
      <c r="C138" s="40" t="s">
        <v>290</v>
      </c>
      <c r="D138" s="40" t="s">
        <v>297</v>
      </c>
      <c r="E138" s="37" t="s">
        <v>253</v>
      </c>
      <c r="F138" s="43">
        <v>44318</v>
      </c>
      <c r="G138" s="40">
        <v>10</v>
      </c>
      <c r="H138" s="40" t="s">
        <v>292</v>
      </c>
      <c r="I138" s="40" t="s">
        <v>180</v>
      </c>
      <c r="J138" s="40">
        <f>MATCH(E138,Culturas!$B$38:$B$54,0)</f>
        <v>5</v>
      </c>
      <c r="K138" s="54">
        <v>43444</v>
      </c>
      <c r="L138" s="84">
        <f t="shared" si="17"/>
        <v>137</v>
      </c>
      <c r="M138" s="68" t="s">
        <v>266</v>
      </c>
      <c r="O138" s="23" t="str">
        <f t="shared" si="14"/>
        <v>Macieira</v>
      </c>
      <c r="R138" s="10" t="str">
        <f t="shared" si="15"/>
        <v>INSERT INTO Operacao (idOperacao, designacaoOperacaoAgricola, designacaoUnidade, quantidade, dataOperacao) VALUES (137, 'Fertilização', 'kg',   100.0,  TO_DATE('02/05/Sunday', 'DD/MM/YYYY'));</v>
      </c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10"/>
      <c r="AJ138" s="10"/>
      <c r="AK138" s="10"/>
      <c r="AL138" s="10"/>
      <c r="AN138" s="90" t="str">
        <f t="shared" si="16"/>
        <v>INSERT INTO OperacaoCultura (idOperacao, nomeParcela, dataInicial, nomeComum, variedade) VALUES (137, 'Lameiro da ponte', TO_DATE('10/12/Monday', 'DD/MM/YYYY'), 'Macieira', UPPER('Royal Gala') );</v>
      </c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</row>
    <row r="139" spans="1:59" ht="15" hidden="1" thickTop="1" thickBot="1">
      <c r="A139">
        <v>106</v>
      </c>
      <c r="B139" s="28" t="s">
        <v>223</v>
      </c>
      <c r="C139" t="s">
        <v>7</v>
      </c>
      <c r="E139" s="79" t="s">
        <v>248</v>
      </c>
      <c r="F139" s="1">
        <v>44321</v>
      </c>
      <c r="G139">
        <v>2200</v>
      </c>
      <c r="H139" t="s">
        <v>292</v>
      </c>
      <c r="J139" s="23">
        <f>MATCH(E139,Culturas!$B$38:$B$54,0)</f>
        <v>12</v>
      </c>
      <c r="K139" s="35">
        <f>INDEX(Culturas!$E$14:$E$22,MATCH(Operações!E139,Culturas!$C$14:$C$22,0))</f>
        <v>44265</v>
      </c>
      <c r="L139" s="23">
        <f t="shared" si="17"/>
        <v>138</v>
      </c>
      <c r="M139" s="68" t="s">
        <v>266</v>
      </c>
      <c r="O139" s="23" t="str">
        <f t="shared" si="14"/>
        <v>Cenoura</v>
      </c>
      <c r="R139" s="10" t="str">
        <f t="shared" si="15"/>
        <v>INSERT INTO Operacao (idOperacao, designacaoOperacaoAgricola, designacaoUnidade, quantidade, dataOperacao) VALUES (138, 'Colheita', 'kg',   22000.0,  TO_DATE('05/05/Wednesday', 'DD/MM/YYYY'));</v>
      </c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N139" s="90" t="str">
        <f t="shared" si="16"/>
        <v>INSERT INTO OperacaoCultura (idOperacao, nomeParcela, dataInicial, nomeComum, variedade) VALUES (138, 'Horta nova', TO_DATE('10/03/Wednesday', 'DD/MM/YYYY'), 'Cenoura', UPPER('Sugarsnax Hybrid') );</v>
      </c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</row>
    <row r="140" spans="1:59" ht="15" hidden="1" thickTop="1" thickBot="1">
      <c r="A140">
        <v>106</v>
      </c>
      <c r="B140" s="28" t="s">
        <v>223</v>
      </c>
      <c r="C140" t="s">
        <v>7</v>
      </c>
      <c r="E140" s="79" t="s">
        <v>248</v>
      </c>
      <c r="F140" s="1">
        <v>44331</v>
      </c>
      <c r="G140">
        <v>1400</v>
      </c>
      <c r="H140" t="s">
        <v>292</v>
      </c>
      <c r="J140" s="23">
        <f>MATCH(E140,Culturas!$B$38:$B$54,0)</f>
        <v>12</v>
      </c>
      <c r="K140" s="35">
        <f>INDEX(Culturas!$E$14:$E$22,MATCH(Operações!E140,Culturas!$C$14:$C$22,0))</f>
        <v>44265</v>
      </c>
      <c r="L140" s="23">
        <f t="shared" si="17"/>
        <v>139</v>
      </c>
      <c r="M140" s="68" t="s">
        <v>266</v>
      </c>
      <c r="O140" s="23" t="str">
        <f t="shared" si="14"/>
        <v>Cenoura</v>
      </c>
      <c r="R140" s="10" t="str">
        <f t="shared" si="15"/>
        <v>INSERT INTO Operacao (idOperacao, designacaoOperacaoAgricola, designacaoUnidade, quantidade, dataOperacao) VALUES (139, 'Colheita', 'kg',   14000.0,  TO_DATE('15/05/Saturday', 'DD/MM/YYYY'));</v>
      </c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N140" s="90" t="str">
        <f t="shared" si="16"/>
        <v>INSERT INTO OperacaoCultura (idOperacao, nomeParcela, dataInicial, nomeComum, variedade) VALUES (139, 'Horta nova', TO_DATE('10/03/Wednesday', 'DD/MM/YYYY'), 'Cenoura', UPPER('Sugarsnax Hybrid') );</v>
      </c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</row>
    <row r="141" spans="1:59" ht="15" hidden="1" thickTop="1" thickBot="1">
      <c r="A141" s="28">
        <v>106</v>
      </c>
      <c r="B141" s="28" t="s">
        <v>223</v>
      </c>
      <c r="C141" s="73" t="s">
        <v>294</v>
      </c>
      <c r="D141" s="28"/>
      <c r="E141" s="78" t="s">
        <v>249</v>
      </c>
      <c r="F141" s="72">
        <v>44349</v>
      </c>
      <c r="G141" s="28">
        <v>0.6</v>
      </c>
      <c r="H141" s="28" t="s">
        <v>292</v>
      </c>
      <c r="I141" s="28"/>
      <c r="J141" s="28">
        <f>MATCH(E141,Culturas!$B$38:$B$54,0)</f>
        <v>13</v>
      </c>
      <c r="K141" s="72">
        <f>INDEX(Culturas!$E$14:$E$22,MATCH(Operações!E141,Culturas!$C$14:$C$22,0))</f>
        <v>44349</v>
      </c>
      <c r="L141" s="23">
        <f t="shared" si="17"/>
        <v>140</v>
      </c>
      <c r="M141" s="68" t="s">
        <v>266</v>
      </c>
      <c r="O141" s="23" t="str">
        <f t="shared" si="14"/>
        <v>Cenoura</v>
      </c>
      <c r="R141" s="10" t="str">
        <f t="shared" si="15"/>
        <v>INSERT INTO Operacao (idOperacao, designacaoOperacaoAgricola, designacaoUnidade, quantidade, dataOperacao) VALUES (140, 'Sementeira', 'kg',   6.0,  TO_DATE('02/06/Wednesday', 'DD/MM/YYYY'));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N141" s="90" t="str">
        <f t="shared" si="16"/>
        <v>INSERT INTO OperacaoCultura (idOperacao, nomeParcela, dataInicial, nomeComum, variedade) VALUES (140, 'Horta nova', TO_DATE('02/06/Wednesday', 'DD/MM/YYYY'), 'Cenoura', UPPER('Danvers Half Long') );</v>
      </c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</row>
    <row r="142" spans="1:59" ht="15" hidden="1" thickTop="1" thickBot="1">
      <c r="A142">
        <v>106</v>
      </c>
      <c r="B142" s="28" t="s">
        <v>223</v>
      </c>
      <c r="C142" t="s">
        <v>234</v>
      </c>
      <c r="E142" s="79" t="s">
        <v>249</v>
      </c>
      <c r="F142" s="1">
        <v>44367</v>
      </c>
      <c r="G142">
        <v>3</v>
      </c>
      <c r="H142" t="s">
        <v>236</v>
      </c>
      <c r="J142" s="23">
        <f>MATCH(E142,Culturas!$B$38:$B$54,0)</f>
        <v>13</v>
      </c>
      <c r="K142" s="35">
        <f>INDEX(Culturas!$E$14:$E$22,MATCH(Operações!E142,Culturas!$C$14:$C$22,0))</f>
        <v>44349</v>
      </c>
      <c r="L142" s="23">
        <f t="shared" si="17"/>
        <v>141</v>
      </c>
      <c r="M142" s="68" t="s">
        <v>266</v>
      </c>
      <c r="O142" s="23" t="str">
        <f t="shared" si="14"/>
        <v>Cenoura</v>
      </c>
      <c r="R142" s="10" t="str">
        <f t="shared" ref="R142:R152" si="18" xml:space="preserve"> "INSERT INTO " &amp;$T$1&amp; " (idOperacao, designacaoOperacaoAgricola, designacaoUnidade, quantidade, dataOperacao) VALUES (" &amp;L142&amp; ", '" &amp;C142&amp; "', " &amp;IF(ISBLANK(H142), "null", "'" &amp;H142&amp; "'" )&amp; ",   "&amp;IF(ISBLANK(G142), "null",TEXT(SUBSTITUTE(G142, "%", "") * 10, "0.0"))&amp;",  TO_DATE('"&amp;TEXT(F142,"DD/MM/AAAA")&amp; " - " &amp;TEXT(N142,"hh:mm") &amp;"', 'DD/MM/YYYY - HH:MI'));"</f>
        <v>INSERT INTO Operacao (idOperacao, designacaoOperacaoAgricola, designacaoUnidade, quantidade, dataOperacao) VALUES (141, 'Rega', 'm3',   30.0,  TO_DATE('20/06/Sunday - 00:00', 'DD/MM/YYYY - HH:MI'));</v>
      </c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N142" s="90" t="str">
        <f t="shared" si="16"/>
        <v>INSERT INTO OperacaoCultura (idOperacao, nomeParcela, dataInicial, nomeComum, variedade) VALUES (141, 'Horta nova', TO_DATE('02/06/Wednesday', 'DD/MM/YYYY'), 'Cenoura', UPPER('Danvers Half Long') );</v>
      </c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</row>
    <row r="143" spans="1:59" ht="15" hidden="1" thickTop="1" thickBot="1">
      <c r="A143">
        <v>102</v>
      </c>
      <c r="B143" t="s">
        <v>218</v>
      </c>
      <c r="C143" t="s">
        <v>234</v>
      </c>
      <c r="E143" t="s">
        <v>244</v>
      </c>
      <c r="F143" s="1">
        <v>44380</v>
      </c>
      <c r="G143">
        <v>0.8</v>
      </c>
      <c r="H143" t="s">
        <v>236</v>
      </c>
      <c r="J143" s="23">
        <f>MATCH(E143,Culturas!$B$38:$B$54,0)</f>
        <v>2</v>
      </c>
      <c r="K143" s="35">
        <f>INDEX(Culturas!$E$12:$E$13,MATCH(Operações!E143,Culturas!$C$12:$C$13,0))</f>
        <v>42653</v>
      </c>
      <c r="L143" s="23">
        <f t="shared" si="17"/>
        <v>142</v>
      </c>
      <c r="M143" s="68" t="s">
        <v>266</v>
      </c>
      <c r="O143" s="23" t="str">
        <f t="shared" si="14"/>
        <v>Oliveira</v>
      </c>
      <c r="R143" s="10" t="str">
        <f t="shared" si="18"/>
        <v>INSERT INTO Operacao (idOperacao, designacaoOperacaoAgricola, designacaoUnidade, quantidade, dataOperacao) VALUES (142, 'Rega', 'm3',   8.0,  TO_DATE('03/07/Saturday - 00:00', 'DD/MM/YYYY - HH:MI'));</v>
      </c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N143" s="90" t="str">
        <f t="shared" si="16"/>
        <v>INSERT INTO OperacaoCultura (idOperacao, nomeParcela, dataInicial, nomeComum, variedade) VALUES (142, 'Campo Grande', TO_DATE('10/10/Monday', 'DD/MM/YYYY'), 'Oliveira', UPPER('Picual') );</v>
      </c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</row>
    <row r="144" spans="1:59" ht="15" hidden="1" thickTop="1" thickBot="1">
      <c r="A144">
        <v>102</v>
      </c>
      <c r="B144" t="s">
        <v>218</v>
      </c>
      <c r="C144" t="s">
        <v>234</v>
      </c>
      <c r="E144" t="s">
        <v>243</v>
      </c>
      <c r="F144" s="1">
        <v>44380</v>
      </c>
      <c r="G144">
        <v>1.5</v>
      </c>
      <c r="H144" t="s">
        <v>236</v>
      </c>
      <c r="J144" s="23">
        <f>MATCH(E144,Culturas!$B$38:$B$54,0)</f>
        <v>1</v>
      </c>
      <c r="K144" s="35">
        <f>INDEX(Culturas!$E$12:$E$13,MATCH(Operações!E144,Culturas!$C$12:$C$13,0))</f>
        <v>42649</v>
      </c>
      <c r="L144" s="23">
        <f t="shared" si="17"/>
        <v>143</v>
      </c>
      <c r="M144" s="68" t="s">
        <v>266</v>
      </c>
      <c r="O144" s="23" t="str">
        <f t="shared" si="14"/>
        <v>Oliveira</v>
      </c>
      <c r="R144" s="10" t="str">
        <f t="shared" si="18"/>
        <v>INSERT INTO Operacao (idOperacao, designacaoOperacaoAgricola, designacaoUnidade, quantidade, dataOperacao) VALUES (143, 'Rega', 'm3',   15.0,  TO_DATE('03/07/Saturday - 00:00', 'DD/MM/YYYY - HH:MI'));</v>
      </c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N144" s="90" t="str">
        <f t="shared" si="16"/>
        <v>INSERT INTO OperacaoCultura (idOperacao, nomeParcela, dataInicial, nomeComum, variedade) VALUES (143, 'Campo Grande', TO_DATE('06/10/Thursday', 'DD/MM/YYYY'), 'Oliveira', UPPER('Galega') );</v>
      </c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</row>
    <row r="145" spans="1:59" ht="15" hidden="1" thickTop="1" thickBot="1">
      <c r="A145" s="40">
        <v>104</v>
      </c>
      <c r="B145" s="40" t="s">
        <v>220</v>
      </c>
      <c r="C145" s="40" t="s">
        <v>234</v>
      </c>
      <c r="D145" s="40"/>
      <c r="E145" s="37" t="s">
        <v>251</v>
      </c>
      <c r="F145" s="43">
        <v>44382</v>
      </c>
      <c r="G145" s="40">
        <v>5</v>
      </c>
      <c r="H145" s="40" t="s">
        <v>236</v>
      </c>
      <c r="I145" s="40"/>
      <c r="J145" s="40">
        <f>MATCH(E145,Culturas!$B$38:$B$54,0)</f>
        <v>3</v>
      </c>
      <c r="K145" s="142">
        <f>INDEX(Culturas!$E$2:$E$28,MATCH(Operações!E145,Culturas!$C$2:$C$29,0))</f>
        <v>42742</v>
      </c>
      <c r="L145" s="23">
        <f t="shared" si="17"/>
        <v>144</v>
      </c>
      <c r="M145" s="68" t="s">
        <v>266</v>
      </c>
      <c r="O145" s="23" t="str">
        <f t="shared" si="14"/>
        <v>Macieira</v>
      </c>
      <c r="R145" s="10" t="str">
        <f t="shared" si="18"/>
        <v>INSERT INTO Operacao (idOperacao, designacaoOperacaoAgricola, designacaoUnidade, quantidade, dataOperacao) VALUES (144, 'Rega', 'm3',   50.0,  TO_DATE('05/07/Monday - 00:00', 'DD/MM/YYYY - HH:MI'));</v>
      </c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10"/>
      <c r="AJ145" s="10"/>
      <c r="AK145" s="10"/>
      <c r="AL145" s="10"/>
      <c r="AN145" s="90" t="str">
        <f t="shared" si="16"/>
        <v>INSERT INTO OperacaoCultura (idOperacao, nomeParcela, dataInicial, nomeComum, variedade) VALUES (144, 'Lameiro da ponte', TO_DATE('07/01/Saturday', 'DD/MM/YYYY'), 'Macieira', UPPER('Jonagored') );</v>
      </c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</row>
    <row r="146" spans="1:59" ht="15" hidden="1" thickTop="1" thickBot="1">
      <c r="A146" s="40">
        <v>104</v>
      </c>
      <c r="B146" s="40" t="s">
        <v>220</v>
      </c>
      <c r="C146" s="40" t="s">
        <v>234</v>
      </c>
      <c r="D146" s="40"/>
      <c r="E146" s="37" t="s">
        <v>252</v>
      </c>
      <c r="F146" s="43">
        <v>44382</v>
      </c>
      <c r="G146" s="40">
        <v>5</v>
      </c>
      <c r="H146" s="40" t="s">
        <v>236</v>
      </c>
      <c r="I146" s="40"/>
      <c r="J146" s="40">
        <f>MATCH(E146,Culturas!$B$38:$B$54,0)</f>
        <v>4</v>
      </c>
      <c r="K146" s="142">
        <f>INDEX(Culturas!$E$2:$E$28,MATCH(Operações!E146,Culturas!$C$2:$C$29,0))</f>
        <v>42743</v>
      </c>
      <c r="L146" s="23">
        <f t="shared" si="17"/>
        <v>145</v>
      </c>
      <c r="M146" s="68" t="s">
        <v>266</v>
      </c>
      <c r="O146" s="23" t="str">
        <f t="shared" si="14"/>
        <v>Macieira</v>
      </c>
      <c r="R146" s="10" t="str">
        <f t="shared" si="18"/>
        <v>INSERT INTO Operacao (idOperacao, designacaoOperacaoAgricola, designacaoUnidade, quantidade, dataOperacao) VALUES (145, 'Rega', 'm3',   50.0,  TO_DATE('05/07/Monday - 00:00', 'DD/MM/YYYY - HH:MI'));</v>
      </c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10"/>
      <c r="AJ146" s="10"/>
      <c r="AK146" s="10"/>
      <c r="AL146" s="10"/>
      <c r="AN146" s="90" t="str">
        <f t="shared" si="16"/>
        <v>INSERT INTO OperacaoCultura (idOperacao, nomeParcela, dataInicial, nomeComum, variedade) VALUES (145, 'Lameiro da ponte', TO_DATE('08/01/Sunday', 'DD/MM/YYYY'), 'Macieira', UPPER('Fuji') );</v>
      </c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</row>
    <row r="147" spans="1:59" ht="15" hidden="1" thickTop="1" thickBot="1">
      <c r="A147" s="40">
        <v>104</v>
      </c>
      <c r="B147" s="40" t="s">
        <v>220</v>
      </c>
      <c r="C147" s="40" t="s">
        <v>234</v>
      </c>
      <c r="D147" s="40"/>
      <c r="E147" s="37" t="s">
        <v>253</v>
      </c>
      <c r="F147" s="43">
        <v>44382</v>
      </c>
      <c r="G147" s="40">
        <v>5</v>
      </c>
      <c r="H147" s="40" t="s">
        <v>236</v>
      </c>
      <c r="I147" s="40"/>
      <c r="J147" s="40">
        <f>MATCH(E147,Culturas!$B$38:$B$54,0)</f>
        <v>5</v>
      </c>
      <c r="K147" s="142">
        <f>INDEX(Culturas!$E$2:$E$28,MATCH(Operações!E147,Culturas!$C$2:$C$29,0))</f>
        <v>42743</v>
      </c>
      <c r="L147" s="23">
        <f t="shared" si="17"/>
        <v>146</v>
      </c>
      <c r="M147" s="68" t="s">
        <v>266</v>
      </c>
      <c r="O147" s="23" t="str">
        <f t="shared" si="14"/>
        <v>Macieira</v>
      </c>
      <c r="R147" s="10" t="str">
        <f t="shared" si="18"/>
        <v>INSERT INTO Operacao (idOperacao, designacaoOperacaoAgricola, designacaoUnidade, quantidade, dataOperacao) VALUES (146, 'Rega', 'm3',   50.0,  TO_DATE('05/07/Monday - 00:00', 'DD/MM/YYYY - HH:MI'));</v>
      </c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10"/>
      <c r="AJ147" s="10"/>
      <c r="AK147" s="10"/>
      <c r="AL147" s="10"/>
      <c r="AN147" s="90" t="str">
        <f t="shared" si="16"/>
        <v>INSERT INTO OperacaoCultura (idOperacao, nomeParcela, dataInicial, nomeComum, variedade) VALUES (146, 'Lameiro da ponte', TO_DATE('08/01/Sunday', 'DD/MM/YYYY'), 'Macieira', UPPER('Royal Gala') );</v>
      </c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</row>
    <row r="148" spans="1:59" ht="15" hidden="1" thickTop="1" thickBot="1">
      <c r="A148" s="40">
        <v>104</v>
      </c>
      <c r="B148" s="40" t="s">
        <v>220</v>
      </c>
      <c r="C148" s="40" t="s">
        <v>234</v>
      </c>
      <c r="D148" s="40"/>
      <c r="E148" s="37" t="s">
        <v>253</v>
      </c>
      <c r="F148" s="43">
        <v>44382</v>
      </c>
      <c r="G148" s="40">
        <v>5</v>
      </c>
      <c r="H148" s="40" t="s">
        <v>236</v>
      </c>
      <c r="I148" s="40"/>
      <c r="J148" s="40">
        <f>MATCH(E148,Culturas!$B$38:$B$54,0)</f>
        <v>5</v>
      </c>
      <c r="K148" s="54">
        <v>43444</v>
      </c>
      <c r="L148" s="23">
        <f t="shared" si="17"/>
        <v>147</v>
      </c>
      <c r="M148" s="68" t="s">
        <v>266</v>
      </c>
      <c r="O148" s="23" t="str">
        <f t="shared" si="14"/>
        <v>Macieira</v>
      </c>
      <c r="R148" s="10" t="str">
        <f t="shared" si="18"/>
        <v>INSERT INTO Operacao (idOperacao, designacaoOperacaoAgricola, designacaoUnidade, quantidade, dataOperacao) VALUES (147, 'Rega', 'm3',   50.0,  TO_DATE('05/07/Monday - 00:00', 'DD/MM/YYYY - HH:MI'));</v>
      </c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10"/>
      <c r="AJ148" s="10"/>
      <c r="AK148" s="10"/>
      <c r="AL148" s="10"/>
      <c r="AN148" s="90" t="str">
        <f t="shared" si="16"/>
        <v>INSERT INTO OperacaoCultura (idOperacao, nomeParcela, dataInicial, nomeComum, variedade) VALUES (147, 'Lameiro da ponte', TO_DATE('10/12/Monday', 'DD/MM/YYYY'), 'Macieira', UPPER('Royal Gala') );</v>
      </c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</row>
    <row r="149" spans="1:59" ht="15" hidden="1" thickTop="1" thickBot="1">
      <c r="A149">
        <v>106</v>
      </c>
      <c r="B149" s="28" t="s">
        <v>223</v>
      </c>
      <c r="C149" t="s">
        <v>234</v>
      </c>
      <c r="E149" s="79" t="s">
        <v>249</v>
      </c>
      <c r="F149" s="1">
        <v>44384</v>
      </c>
      <c r="G149">
        <v>3</v>
      </c>
      <c r="H149" t="s">
        <v>236</v>
      </c>
      <c r="J149" s="23">
        <f>MATCH(E149,Culturas!$B$38:$B$54,0)</f>
        <v>13</v>
      </c>
      <c r="K149" s="35">
        <f>INDEX(Culturas!$E$14:$E$22,MATCH(Operações!E149,Culturas!$C$14:$C$22,0))</f>
        <v>44349</v>
      </c>
      <c r="L149" s="23">
        <f t="shared" si="17"/>
        <v>148</v>
      </c>
      <c r="M149" s="68" t="s">
        <v>266</v>
      </c>
      <c r="O149" s="23" t="str">
        <f t="shared" si="14"/>
        <v>Cenoura</v>
      </c>
      <c r="R149" s="10" t="str">
        <f t="shared" si="18"/>
        <v>INSERT INTO Operacao (idOperacao, designacaoOperacaoAgricola, designacaoUnidade, quantidade, dataOperacao) VALUES (148, 'Rega', 'm3',   30.0,  TO_DATE('07/07/Wednesday - 00:00', 'DD/MM/YYYY - HH:MI'));</v>
      </c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10"/>
      <c r="AJ149" s="10"/>
      <c r="AK149" s="10"/>
      <c r="AL149" s="10"/>
      <c r="AN149" s="90" t="str">
        <f t="shared" si="16"/>
        <v>INSERT INTO OperacaoCultura (idOperacao, nomeParcela, dataInicial, nomeComum, variedade) VALUES (148, 'Horta nova', TO_DATE('02/06/Wednesday', 'DD/MM/YYYY'), 'Cenoura', UPPER('Danvers Half Long') );</v>
      </c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</row>
    <row r="150" spans="1:59" ht="15" hidden="1" thickTop="1" thickBot="1">
      <c r="A150" s="80">
        <v>107</v>
      </c>
      <c r="B150" s="80" t="s">
        <v>225</v>
      </c>
      <c r="C150" s="80" t="s">
        <v>234</v>
      </c>
      <c r="D150" s="80"/>
      <c r="E150" s="81" t="s">
        <v>254</v>
      </c>
      <c r="F150" s="83">
        <v>44387</v>
      </c>
      <c r="G150" s="81">
        <v>7</v>
      </c>
      <c r="H150" s="81" t="s">
        <v>236</v>
      </c>
      <c r="I150" s="81"/>
      <c r="J150" s="81">
        <f>MATCH(E150,Culturas!$B$38:$B$54,0)</f>
        <v>16</v>
      </c>
      <c r="K150" s="140">
        <f>INDEX(Culturas!$E$2:$E$28,MATCH(Operações!E150,Culturas!$C$2:$C$29,0))</f>
        <v>43110</v>
      </c>
      <c r="L150" s="23">
        <f t="shared" si="17"/>
        <v>149</v>
      </c>
      <c r="M150" s="68" t="s">
        <v>266</v>
      </c>
      <c r="O150" s="23" t="str">
        <f t="shared" si="14"/>
        <v>Videira</v>
      </c>
      <c r="R150" s="10" t="str">
        <f t="shared" si="18"/>
        <v>INSERT INTO Operacao (idOperacao, designacaoOperacaoAgricola, designacaoUnidade, quantidade, dataOperacao) VALUES (149, 'Rega', 'm3',   70.0,  TO_DATE('10/07/Saturday - 00:00', 'DD/MM/YYYY - HH:MI'));</v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N150" s="90" t="str">
        <f t="shared" si="16"/>
        <v>INSERT INTO OperacaoCultura (idOperacao, nomeParcela, dataInicial, nomeComum, variedade) VALUES (149, 'Vinha', TO_DATE('10/01/Wednesday', 'DD/MM/YYYY'), 'Videira', UPPER('Dona Maria') );</v>
      </c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</row>
    <row r="151" spans="1:59" ht="15" hidden="1" thickTop="1" thickBot="1">
      <c r="A151" s="80">
        <v>107</v>
      </c>
      <c r="B151" s="80" t="s">
        <v>225</v>
      </c>
      <c r="C151" s="80" t="s">
        <v>234</v>
      </c>
      <c r="D151" s="80"/>
      <c r="E151" s="81" t="s">
        <v>255</v>
      </c>
      <c r="F151" s="83">
        <v>44387</v>
      </c>
      <c r="G151" s="81">
        <v>7</v>
      </c>
      <c r="H151" s="81" t="s">
        <v>236</v>
      </c>
      <c r="I151" s="81"/>
      <c r="J151" s="81">
        <f>MATCH(E151,Culturas!$B$38:$B$54,0)</f>
        <v>17</v>
      </c>
      <c r="K151" s="140">
        <f>INDEX(Culturas!$E$2:$E$28,MATCH(Operações!E151,Culturas!$C$2:$C$29,0))</f>
        <v>43111</v>
      </c>
      <c r="L151" s="23">
        <f t="shared" si="17"/>
        <v>150</v>
      </c>
      <c r="M151" s="68" t="s">
        <v>266</v>
      </c>
      <c r="O151" s="23" t="str">
        <f t="shared" si="14"/>
        <v>Videira</v>
      </c>
      <c r="R151" s="10" t="str">
        <f t="shared" si="18"/>
        <v>INSERT INTO Operacao (idOperacao, designacaoOperacaoAgricola, designacaoUnidade, quantidade, dataOperacao) VALUES (150, 'Rega', 'm3',   70.0,  TO_DATE('10/07/Saturday - 00:00', 'DD/MM/YYYY - HH:MI'));</v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N151" s="90" t="str">
        <f t="shared" si="16"/>
        <v>INSERT INTO OperacaoCultura (idOperacao, nomeParcela, dataInicial, nomeComum, variedade) VALUES (150, 'Vinha', TO_DATE('11/01/Thursday', 'DD/MM/YYYY'), 'Videira', UPPER('Cardinal') );</v>
      </c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</row>
    <row r="152" spans="1:59" ht="15" hidden="1" thickTop="1" thickBot="1">
      <c r="A152" s="61">
        <v>103</v>
      </c>
      <c r="B152" s="61" t="s">
        <v>219</v>
      </c>
      <c r="C152" s="61" t="s">
        <v>234</v>
      </c>
      <c r="D152" s="61"/>
      <c r="E152" s="61" t="s">
        <v>242</v>
      </c>
      <c r="F152" s="62">
        <v>44389</v>
      </c>
      <c r="G152" s="61">
        <v>15</v>
      </c>
      <c r="H152" s="61" t="s">
        <v>236</v>
      </c>
      <c r="I152" s="61"/>
      <c r="J152" s="61">
        <f>MATCH(E152,Culturas!$B$38:$B$54,0)</f>
        <v>14</v>
      </c>
      <c r="K152" s="62">
        <f>$F$133</f>
        <v>44289</v>
      </c>
      <c r="L152" s="23">
        <f t="shared" si="17"/>
        <v>151</v>
      </c>
      <c r="M152" s="68" t="s">
        <v>266</v>
      </c>
      <c r="O152" s="23" t="str">
        <f t="shared" si="14"/>
        <v>Milho</v>
      </c>
      <c r="R152" s="10" t="str">
        <f t="shared" si="18"/>
        <v>INSERT INTO Operacao (idOperacao, designacaoOperacaoAgricola, designacaoUnidade, quantidade, dataOperacao) VALUES (151, 'Rega', 'm3',   150.0,  TO_DATE('12/07/Monday - 00:00', 'DD/MM/YYYY - HH:MI'));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N152" s="90" t="str">
        <f t="shared" si="16"/>
        <v>INSERT INTO OperacaoCultura (idOperacao, nomeParcela, dataInicial, nomeComum, variedade) VALUES (151, 'Campo do poço', TO_DATE('03/04/Saturday', 'DD/MM/YYYY'), 'Milho', UPPER('MAS 24.C') );</v>
      </c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</row>
    <row r="153" spans="1:59" ht="15" hidden="1" thickTop="1" thickBot="1">
      <c r="A153">
        <v>107</v>
      </c>
      <c r="B153" t="s">
        <v>225</v>
      </c>
      <c r="C153" t="s">
        <v>7</v>
      </c>
      <c r="E153" t="s">
        <v>254</v>
      </c>
      <c r="F153" s="1">
        <v>44392</v>
      </c>
      <c r="G153">
        <v>300</v>
      </c>
      <c r="H153" t="s">
        <v>292</v>
      </c>
      <c r="J153" s="23">
        <f>MATCH(E153,Culturas!$B$38:$B$54,0)</f>
        <v>16</v>
      </c>
      <c r="K153" s="139">
        <f>INDEX(Culturas!$E$2:$E$28,MATCH(Operações!E153,Culturas!$C$2:$C$29,0))</f>
        <v>43110</v>
      </c>
      <c r="L153" s="23">
        <f t="shared" si="17"/>
        <v>152</v>
      </c>
      <c r="M153" s="68" t="s">
        <v>266</v>
      </c>
      <c r="O153" s="23" t="str">
        <f t="shared" si="14"/>
        <v>Videira</v>
      </c>
      <c r="R153" s="10" t="str">
        <f t="shared" si="15"/>
        <v>INSERT INTO Operacao (idOperacao, designacaoOperacaoAgricola, designacaoUnidade, quantidade, dataOperacao) VALUES (152, 'Colheita', 'kg',   3000.0,  TO_DATE('15/07/Thursday', 'DD/MM/YYYY'));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N153" s="90" t="str">
        <f t="shared" si="16"/>
        <v>INSERT INTO OperacaoCultura (idOperacao, nomeParcela, dataInicial, nomeComum, variedade) VALUES (152, 'Vinha', TO_DATE('10/01/Wednesday', 'DD/MM/YYYY'), 'Videira', UPPER('Dona Maria') );</v>
      </c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</row>
    <row r="154" spans="1:59" ht="15" hidden="1" thickTop="1" thickBot="1">
      <c r="A154">
        <v>107</v>
      </c>
      <c r="B154" t="s">
        <v>225</v>
      </c>
      <c r="C154" t="s">
        <v>7</v>
      </c>
      <c r="E154" t="s">
        <v>254</v>
      </c>
      <c r="F154" s="1">
        <v>44397</v>
      </c>
      <c r="G154">
        <v>400</v>
      </c>
      <c r="H154" t="s">
        <v>292</v>
      </c>
      <c r="J154" s="23">
        <f>MATCH(E154,Culturas!$B$38:$B$54,0)</f>
        <v>16</v>
      </c>
      <c r="K154" s="139">
        <f>INDEX(Culturas!$E$2:$E$28,MATCH(Operações!E154,Culturas!$C$2:$C$29,0))</f>
        <v>43110</v>
      </c>
      <c r="L154" s="23">
        <f t="shared" si="17"/>
        <v>153</v>
      </c>
      <c r="M154" s="68" t="s">
        <v>266</v>
      </c>
      <c r="O154" s="23" t="str">
        <f t="shared" si="14"/>
        <v>Videira</v>
      </c>
      <c r="R154" s="10" t="str">
        <f t="shared" si="15"/>
        <v>INSERT INTO Operacao (idOperacao, designacaoOperacaoAgricola, designacaoUnidade, quantidade, dataOperacao) VALUES (153, 'Colheita', 'kg',   4000.0,  TO_DATE('20/07/Tuesday', 'DD/MM/YYYY'));</v>
      </c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N154" s="90" t="str">
        <f t="shared" si="16"/>
        <v>INSERT INTO OperacaoCultura (idOperacao, nomeParcela, dataInicial, nomeComum, variedade) VALUES (153, 'Vinha', TO_DATE('10/01/Wednesday', 'DD/MM/YYYY'), 'Videira', UPPER('Dona Maria') );</v>
      </c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</row>
    <row r="155" spans="1:59" ht="15" hidden="1" thickTop="1" thickBot="1">
      <c r="A155" s="61">
        <v>103</v>
      </c>
      <c r="B155" s="61" t="s">
        <v>219</v>
      </c>
      <c r="C155" s="61" t="s">
        <v>234</v>
      </c>
      <c r="D155" s="61"/>
      <c r="E155" s="61" t="s">
        <v>242</v>
      </c>
      <c r="F155" s="62">
        <v>44401</v>
      </c>
      <c r="G155" s="61">
        <v>15</v>
      </c>
      <c r="H155" s="61" t="s">
        <v>236</v>
      </c>
      <c r="I155" s="61"/>
      <c r="J155" s="61">
        <f>MATCH(E155,Culturas!$B$38:$B$54,0)</f>
        <v>14</v>
      </c>
      <c r="K155" s="62">
        <f>$F$133</f>
        <v>44289</v>
      </c>
      <c r="L155" s="23">
        <f t="shared" si="17"/>
        <v>154</v>
      </c>
      <c r="M155" s="68" t="s">
        <v>266</v>
      </c>
      <c r="O155" s="23" t="str">
        <f t="shared" si="14"/>
        <v>Milho</v>
      </c>
      <c r="R155" s="10" t="str">
        <f t="shared" ref="R155:R163" si="19" xml:space="preserve"> "INSERT INTO " &amp;$T$1&amp; " (idOperacao, designacaoOperacaoAgricola, designacaoUnidade, quantidade, dataOperacao) VALUES (" &amp;L155&amp; ", '" &amp;C155&amp; "', " &amp;IF(ISBLANK(H155), "null", "'" &amp;H155&amp; "'" )&amp; ",   "&amp;IF(ISBLANK(G155), "null",TEXT(SUBSTITUTE(G155, "%", "") * 10, "0.0"))&amp;",  TO_DATE('"&amp;TEXT(F155,"DD/MM/AAAA")&amp; " - " &amp;TEXT(N155,"hh:mm") &amp;"', 'DD/MM/YYYY - HH:MI'));"</f>
        <v>INSERT INTO Operacao (idOperacao, designacaoOperacaoAgricola, designacaoUnidade, quantidade, dataOperacao) VALUES (154, 'Rega', 'm3',   150.0,  TO_DATE('24/07/Saturday - 00:00', 'DD/MM/YYYY - HH:MI'));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N155" s="90" t="str">
        <f t="shared" si="16"/>
        <v>INSERT INTO OperacaoCultura (idOperacao, nomeParcela, dataInicial, nomeComum, variedade) VALUES (154, 'Campo do poço', TO_DATE('03/04/Saturday', 'DD/MM/YYYY'), 'Milho', UPPER('MAS 24.C') );</v>
      </c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</row>
    <row r="156" spans="1:59" ht="15" hidden="1" thickTop="1" thickBot="1">
      <c r="A156" s="40">
        <v>104</v>
      </c>
      <c r="B156" s="40" t="s">
        <v>220</v>
      </c>
      <c r="C156" s="40" t="s">
        <v>234</v>
      </c>
      <c r="D156" s="40"/>
      <c r="E156" s="37" t="s">
        <v>251</v>
      </c>
      <c r="F156" s="43">
        <v>44407</v>
      </c>
      <c r="G156" s="40">
        <v>5.5</v>
      </c>
      <c r="H156" s="40" t="s">
        <v>236</v>
      </c>
      <c r="I156" s="40"/>
      <c r="J156" s="40">
        <f>MATCH(E156,Culturas!$B$38:$B$54,0)</f>
        <v>3</v>
      </c>
      <c r="K156" s="142">
        <f>INDEX(Culturas!$E$2:$E$28,MATCH(Operações!E156,Culturas!$C$2:$C$29,0))</f>
        <v>42742</v>
      </c>
      <c r="L156" s="23">
        <f t="shared" si="17"/>
        <v>155</v>
      </c>
      <c r="M156" s="68" t="s">
        <v>266</v>
      </c>
      <c r="O156" s="23" t="str">
        <f t="shared" si="14"/>
        <v>Macieira</v>
      </c>
      <c r="R156" s="10" t="str">
        <f t="shared" si="19"/>
        <v>INSERT INTO Operacao (idOperacao, designacaoOperacaoAgricola, designacaoUnidade, quantidade, dataOperacao) VALUES (155, 'Rega', 'm3',   55.0,  TO_DATE('30/07/Friday - 00:00', 'DD/MM/YYYY - HH:MI'));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N156" s="90" t="str">
        <f t="shared" si="16"/>
        <v>INSERT INTO OperacaoCultura (idOperacao, nomeParcela, dataInicial, nomeComum, variedade) VALUES (155, 'Lameiro da ponte', TO_DATE('07/01/Saturday', 'DD/MM/YYYY'), 'Macieira', UPPER('Jonagored') );</v>
      </c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</row>
    <row r="157" spans="1:59" ht="15" hidden="1" thickTop="1" thickBot="1">
      <c r="A157" s="40">
        <v>104</v>
      </c>
      <c r="B157" s="40" t="s">
        <v>220</v>
      </c>
      <c r="C157" s="40" t="s">
        <v>234</v>
      </c>
      <c r="D157" s="40"/>
      <c r="E157" s="37" t="s">
        <v>252</v>
      </c>
      <c r="F157" s="43">
        <v>44407</v>
      </c>
      <c r="G157" s="40">
        <v>5.5</v>
      </c>
      <c r="H157" s="40" t="s">
        <v>236</v>
      </c>
      <c r="I157" s="40"/>
      <c r="J157" s="40">
        <f>MATCH(E157,Culturas!$B$38:$B$54,0)</f>
        <v>4</v>
      </c>
      <c r="K157" s="142">
        <f>INDEX(Culturas!$E$2:$E$28,MATCH(Operações!E157,Culturas!$C$2:$C$29,0))</f>
        <v>42743</v>
      </c>
      <c r="L157" s="23">
        <f t="shared" si="17"/>
        <v>156</v>
      </c>
      <c r="M157" s="68" t="s">
        <v>266</v>
      </c>
      <c r="O157" s="23" t="str">
        <f t="shared" si="14"/>
        <v>Macieira</v>
      </c>
      <c r="R157" s="10" t="str">
        <f t="shared" si="19"/>
        <v>INSERT INTO Operacao (idOperacao, designacaoOperacaoAgricola, designacaoUnidade, quantidade, dataOperacao) VALUES (156, 'Rega', 'm3',   55.0,  TO_DATE('30/07/Friday - 00:00', 'DD/MM/YYYY - HH:MI'));</v>
      </c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N157" s="90" t="str">
        <f t="shared" si="16"/>
        <v>INSERT INTO OperacaoCultura (idOperacao, nomeParcela, dataInicial, nomeComum, variedade) VALUES (156, 'Lameiro da ponte', TO_DATE('08/01/Sunday', 'DD/MM/YYYY'), 'Macieira', UPPER('Fuji') );</v>
      </c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</row>
    <row r="158" spans="1:59" ht="15" hidden="1" thickTop="1" thickBot="1">
      <c r="A158" s="40">
        <v>104</v>
      </c>
      <c r="B158" s="40" t="s">
        <v>220</v>
      </c>
      <c r="C158" s="40" t="s">
        <v>234</v>
      </c>
      <c r="D158" s="40"/>
      <c r="E158" s="37" t="s">
        <v>253</v>
      </c>
      <c r="F158" s="43">
        <v>44407</v>
      </c>
      <c r="G158" s="40">
        <v>5.5</v>
      </c>
      <c r="H158" s="40" t="s">
        <v>236</v>
      </c>
      <c r="I158" s="40"/>
      <c r="J158" s="40">
        <f>MATCH(E158,Culturas!$B$38:$B$54,0)</f>
        <v>5</v>
      </c>
      <c r="K158" s="142">
        <f>INDEX(Culturas!$E$2:$E$28,MATCH(Operações!E158,Culturas!$C$2:$C$29,0))</f>
        <v>42743</v>
      </c>
      <c r="L158" s="23">
        <f t="shared" si="17"/>
        <v>157</v>
      </c>
      <c r="M158" s="68" t="s">
        <v>266</v>
      </c>
      <c r="O158" s="23" t="str">
        <f t="shared" si="14"/>
        <v>Macieira</v>
      </c>
      <c r="R158" s="10" t="str">
        <f t="shared" si="19"/>
        <v>INSERT INTO Operacao (idOperacao, designacaoOperacaoAgricola, designacaoUnidade, quantidade, dataOperacao) VALUES (157, 'Rega', 'm3',   55.0,  TO_DATE('30/07/Friday - 00:00', 'DD/MM/YYYY - HH:MI'));</v>
      </c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N158" s="90" t="str">
        <f t="shared" si="16"/>
        <v>INSERT INTO OperacaoCultura (idOperacao, nomeParcela, dataInicial, nomeComum, variedade) VALUES (157, 'Lameiro da ponte', TO_DATE('08/01/Sunday', 'DD/MM/YYYY'), 'Macieira', UPPER('Royal Gala') );</v>
      </c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</row>
    <row r="159" spans="1:59" ht="15" hidden="1" thickTop="1" thickBot="1">
      <c r="A159" s="40">
        <v>104</v>
      </c>
      <c r="B159" s="40" t="s">
        <v>220</v>
      </c>
      <c r="C159" s="40" t="s">
        <v>234</v>
      </c>
      <c r="D159" s="40"/>
      <c r="E159" s="37" t="s">
        <v>253</v>
      </c>
      <c r="F159" s="43">
        <v>44407</v>
      </c>
      <c r="G159" s="40">
        <v>5.5</v>
      </c>
      <c r="H159" s="40" t="s">
        <v>236</v>
      </c>
      <c r="I159" s="40"/>
      <c r="J159" s="40">
        <f>MATCH(E159,Culturas!$B$38:$B$54,0)</f>
        <v>5</v>
      </c>
      <c r="K159" s="54">
        <v>43444</v>
      </c>
      <c r="L159" s="23">
        <f t="shared" si="17"/>
        <v>158</v>
      </c>
      <c r="M159" s="68" t="s">
        <v>266</v>
      </c>
      <c r="O159" s="23" t="str">
        <f t="shared" si="14"/>
        <v>Macieira</v>
      </c>
      <c r="R159" s="10" t="str">
        <f t="shared" si="19"/>
        <v>INSERT INTO Operacao (idOperacao, designacaoOperacaoAgricola, designacaoUnidade, quantidade, dataOperacao) VALUES (158, 'Rega', 'm3',   55.0,  TO_DATE('30/07/Friday - 00:00', 'DD/MM/YYYY - HH:MI'));</v>
      </c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N159" s="90" t="str">
        <f t="shared" si="16"/>
        <v>INSERT INTO OperacaoCultura (idOperacao, nomeParcela, dataInicial, nomeComum, variedade) VALUES (158, 'Lameiro da ponte', TO_DATE('10/12/Monday', 'DD/MM/YYYY'), 'Macieira', UPPER('Royal Gala') );</v>
      </c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</row>
    <row r="160" spans="1:59" ht="15" hidden="1" thickTop="1" thickBot="1">
      <c r="A160">
        <v>106</v>
      </c>
      <c r="B160" s="28" t="s">
        <v>223</v>
      </c>
      <c r="C160" t="s">
        <v>234</v>
      </c>
      <c r="E160" s="79" t="s">
        <v>249</v>
      </c>
      <c r="F160" s="1">
        <v>44407</v>
      </c>
      <c r="G160">
        <v>3.5</v>
      </c>
      <c r="H160" t="s">
        <v>236</v>
      </c>
      <c r="J160" s="23">
        <f>MATCH(E160,Culturas!$B$38:$B$54,0)</f>
        <v>13</v>
      </c>
      <c r="K160" s="35">
        <f>INDEX(Culturas!$E$14:$E$22,MATCH(Operações!E160,Culturas!$C$14:$C$22,0))</f>
        <v>44349</v>
      </c>
      <c r="L160" s="23">
        <f t="shared" si="17"/>
        <v>159</v>
      </c>
      <c r="M160" s="68" t="s">
        <v>266</v>
      </c>
      <c r="O160" s="23" t="str">
        <f t="shared" si="14"/>
        <v>Cenoura</v>
      </c>
      <c r="R160" s="10" t="str">
        <f t="shared" si="19"/>
        <v>INSERT INTO Operacao (idOperacao, designacaoOperacaoAgricola, designacaoUnidade, quantidade, dataOperacao) VALUES (159, 'Rega', 'm3',   35.0,  TO_DATE('30/07/Friday - 00:00', 'DD/MM/YYYY - HH:MI'));</v>
      </c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N160" s="90" t="str">
        <f t="shared" si="16"/>
        <v>INSERT INTO OperacaoCultura (idOperacao, nomeParcela, dataInicial, nomeComum, variedade) VALUES (159, 'Horta nova', TO_DATE('02/06/Wednesday', 'DD/MM/YYYY'), 'Cenoura', UPPER('Danvers Half Long') );</v>
      </c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</row>
    <row r="161" spans="1:59" ht="15" hidden="1" thickTop="1" thickBot="1">
      <c r="A161" s="61">
        <v>103</v>
      </c>
      <c r="B161" s="61" t="s">
        <v>219</v>
      </c>
      <c r="C161" s="61" t="s">
        <v>234</v>
      </c>
      <c r="D161" s="61"/>
      <c r="E161" s="61" t="s">
        <v>242</v>
      </c>
      <c r="F161" s="62">
        <v>44415</v>
      </c>
      <c r="G161" s="61">
        <v>15</v>
      </c>
      <c r="H161" s="61" t="s">
        <v>236</v>
      </c>
      <c r="I161" s="61"/>
      <c r="J161" s="61">
        <f>MATCH(E161,Culturas!$B$38:$B$54,0)</f>
        <v>14</v>
      </c>
      <c r="K161" s="62">
        <f>$F$133</f>
        <v>44289</v>
      </c>
      <c r="L161" s="23">
        <f t="shared" si="17"/>
        <v>160</v>
      </c>
      <c r="M161" s="68" t="s">
        <v>266</v>
      </c>
      <c r="O161" s="23" t="str">
        <f t="shared" si="14"/>
        <v>Milho</v>
      </c>
      <c r="R161" s="10" t="str">
        <f t="shared" si="19"/>
        <v>INSERT INTO Operacao (idOperacao, designacaoOperacaoAgricola, designacaoUnidade, quantidade, dataOperacao) VALUES (160, 'Rega', 'm3',   150.0,  TO_DATE('07/08/Saturday - 00:00', 'DD/MM/YYYY - HH:MI'));</v>
      </c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N161" s="90" t="str">
        <f t="shared" si="16"/>
        <v>INSERT INTO OperacaoCultura (idOperacao, nomeParcela, dataInicial, nomeComum, variedade) VALUES (160, 'Campo do poço', TO_DATE('03/04/Saturday', 'DD/MM/YYYY'), 'Milho', UPPER('MAS 24.C') );</v>
      </c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</row>
    <row r="162" spans="1:59" ht="15" hidden="1" thickTop="1" thickBot="1">
      <c r="A162">
        <v>102</v>
      </c>
      <c r="B162" t="s">
        <v>218</v>
      </c>
      <c r="C162" t="s">
        <v>234</v>
      </c>
      <c r="E162" t="s">
        <v>244</v>
      </c>
      <c r="F162" s="1">
        <v>44418</v>
      </c>
      <c r="G162">
        <v>0.8</v>
      </c>
      <c r="H162" t="s">
        <v>236</v>
      </c>
      <c r="J162" s="23">
        <f>MATCH(E162,Culturas!$B$38:$B$54,0)</f>
        <v>2</v>
      </c>
      <c r="K162" s="35">
        <f>INDEX(Culturas!$E$12:$E$13,MATCH(Operações!E162,Culturas!$C$12:$C$13,0))</f>
        <v>42653</v>
      </c>
      <c r="L162" s="23">
        <f t="shared" si="17"/>
        <v>161</v>
      </c>
      <c r="M162" s="68" t="s">
        <v>266</v>
      </c>
      <c r="O162" s="23" t="str">
        <f t="shared" si="14"/>
        <v>Oliveira</v>
      </c>
      <c r="R162" s="10" t="str">
        <f t="shared" si="19"/>
        <v>INSERT INTO Operacao (idOperacao, designacaoOperacaoAgricola, designacaoUnidade, quantidade, dataOperacao) VALUES (161, 'Rega', 'm3',   8.0,  TO_DATE('10/08/Tuesday - 00:00', 'DD/MM/YYYY - HH:MI'));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N162" s="90" t="str">
        <f t="shared" si="16"/>
        <v>INSERT INTO OperacaoCultura (idOperacao, nomeParcela, dataInicial, nomeComum, variedade) VALUES (161, 'Campo Grande', TO_DATE('10/10/Monday', 'DD/MM/YYYY'), 'Oliveira', UPPER('Picual') );</v>
      </c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</row>
    <row r="163" spans="1:59" ht="15" hidden="1" thickTop="1" thickBot="1">
      <c r="A163">
        <v>102</v>
      </c>
      <c r="B163" t="s">
        <v>218</v>
      </c>
      <c r="C163" t="s">
        <v>234</v>
      </c>
      <c r="E163" t="s">
        <v>243</v>
      </c>
      <c r="F163" s="1">
        <v>44418</v>
      </c>
      <c r="G163">
        <v>1.5</v>
      </c>
      <c r="H163" t="s">
        <v>236</v>
      </c>
      <c r="J163" s="23">
        <f>MATCH(E163,Culturas!$B$38:$B$54,0)</f>
        <v>1</v>
      </c>
      <c r="K163" s="35">
        <f>INDEX(Culturas!$E$12:$E$13,MATCH(Operações!E163,Culturas!$C$12:$C$13,0))</f>
        <v>42649</v>
      </c>
      <c r="L163" s="23">
        <f t="shared" si="17"/>
        <v>162</v>
      </c>
      <c r="M163" s="68" t="s">
        <v>266</v>
      </c>
      <c r="O163" s="23" t="str">
        <f t="shared" si="14"/>
        <v>Oliveira</v>
      </c>
      <c r="R163" s="10" t="str">
        <f t="shared" si="19"/>
        <v>INSERT INTO Operacao (idOperacao, designacaoOperacaoAgricola, designacaoUnidade, quantidade, dataOperacao) VALUES (162, 'Rega', 'm3',   15.0,  TO_DATE('10/08/Tuesday - 00:00', 'DD/MM/YYYY - HH:MI'));</v>
      </c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N163" s="90" t="str">
        <f t="shared" si="16"/>
        <v>INSERT INTO OperacaoCultura (idOperacao, nomeParcela, dataInicial, nomeComum, variedade) VALUES (162, 'Campo Grande', TO_DATE('06/10/Thursday', 'DD/MM/YYYY'), 'Oliveira', UPPER('Galega') );</v>
      </c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</row>
    <row r="164" spans="1:59" ht="15" hidden="1" thickTop="1" thickBot="1">
      <c r="A164">
        <v>101</v>
      </c>
      <c r="B164" t="s">
        <v>215</v>
      </c>
      <c r="C164" t="s">
        <v>7</v>
      </c>
      <c r="E164" t="s">
        <v>241</v>
      </c>
      <c r="F164" s="1">
        <v>44420</v>
      </c>
      <c r="G164">
        <v>3300</v>
      </c>
      <c r="H164" t="s">
        <v>292</v>
      </c>
      <c r="J164" s="23">
        <f>MATCH(E164,Culturas!$B$38:$B$54,0)</f>
        <v>7</v>
      </c>
      <c r="K164" s="35">
        <f>INDEX(Culturas!$E$2:$E$5,MATCH(Operações!E164,Culturas!$C$2:$C$5,0))</f>
        <v>44296</v>
      </c>
      <c r="L164" s="23">
        <f t="shared" si="17"/>
        <v>163</v>
      </c>
      <c r="M164" s="68" t="s">
        <v>266</v>
      </c>
      <c r="O164" s="23" t="str">
        <f t="shared" si="14"/>
        <v>Milho</v>
      </c>
      <c r="R164" s="10" t="str">
        <f t="shared" si="15"/>
        <v>INSERT INTO Operacao (idOperacao, designacaoOperacaoAgricola, designacaoUnidade, quantidade, dataOperacao) VALUES (163, 'Colheita', 'kg',   33000.0,  TO_DATE('12/08/Thursday', 'DD/MM/YYYY'));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N164" s="90" t="str">
        <f t="shared" si="16"/>
        <v>INSERT INTO OperacaoCultura (idOperacao, nomeParcela, dataInicial, nomeComum, variedade) VALUES (163, 'Campo da bouça', TO_DATE('10/04/Saturday', 'DD/MM/YYYY'), 'Milho', UPPER('Doce Golden Bantam') );</v>
      </c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</row>
    <row r="165" spans="1:59" ht="15" hidden="1" thickTop="1" thickBot="1">
      <c r="A165">
        <v>106</v>
      </c>
      <c r="B165" s="28" t="s">
        <v>223</v>
      </c>
      <c r="C165" t="s">
        <v>234</v>
      </c>
      <c r="E165" s="79" t="s">
        <v>249</v>
      </c>
      <c r="F165" s="1">
        <v>44425</v>
      </c>
      <c r="G165">
        <v>3</v>
      </c>
      <c r="H165" t="s">
        <v>236</v>
      </c>
      <c r="J165" s="23">
        <f>MATCH(E165,Culturas!$B$38:$B$54,0)</f>
        <v>13</v>
      </c>
      <c r="K165" s="35">
        <f>INDEX(Culturas!$E$14:$E$22,MATCH(Operações!E165,Culturas!$C$14:$C$22,0))</f>
        <v>44349</v>
      </c>
      <c r="L165" s="23">
        <f t="shared" si="17"/>
        <v>164</v>
      </c>
      <c r="M165" s="68" t="s">
        <v>266</v>
      </c>
      <c r="O165" s="23" t="str">
        <f t="shared" si="14"/>
        <v>Cenoura</v>
      </c>
      <c r="R165" s="10" t="str">
        <f xml:space="preserve"> "INSERT INTO " &amp;$T$1&amp; " (idOperacao, designacaoOperacaoAgricola, designacaoUnidade, quantidade, dataOperacao) VALUES (" &amp;L165&amp; ", '" &amp;C165&amp; "', " &amp;IF(ISBLANK(H165), "null", "'" &amp;H165&amp; "'" )&amp; ",   "&amp;IF(ISBLANK(G165), "null",TEXT(SUBSTITUTE(G165, "%", "") * 10, "0.0"))&amp;",  TO_DATE('"&amp;TEXT(F165,"DD/MM/AAAA")&amp; " - " &amp;TEXT(N165,"hh:mm") &amp;"', 'DD/MM/YYYY - HH:MI'));"</f>
        <v>INSERT INTO Operacao (idOperacao, designacaoOperacaoAgricola, designacaoUnidade, quantidade, dataOperacao) VALUES (164, 'Rega', 'm3',   30.0,  TO_DATE('17/08/Tuesday - 00:00', 'DD/MM/YYYY - HH:MI'));</v>
      </c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N165" s="90" t="str">
        <f t="shared" si="16"/>
        <v>INSERT INTO OperacaoCultura (idOperacao, nomeParcela, dataInicial, nomeComum, variedade) VALUES (164, 'Horta nova', TO_DATE('02/06/Wednesday', 'DD/MM/YYYY'), 'Cenoura', UPPER('Danvers Half Long') );</v>
      </c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</row>
    <row r="166" spans="1:59" ht="15" hidden="1" thickTop="1" thickBot="1">
      <c r="A166" s="51">
        <v>104</v>
      </c>
      <c r="B166" s="51" t="s">
        <v>220</v>
      </c>
      <c r="C166" s="51" t="s">
        <v>7</v>
      </c>
      <c r="D166" s="51"/>
      <c r="E166" s="51" t="s">
        <v>253</v>
      </c>
      <c r="F166" s="52">
        <v>44431</v>
      </c>
      <c r="G166" s="51">
        <v>899</v>
      </c>
      <c r="H166" s="51" t="s">
        <v>292</v>
      </c>
      <c r="I166" s="51"/>
      <c r="J166" s="51">
        <f>MATCH(E166,Culturas!$B$38:$B$54,0)</f>
        <v>5</v>
      </c>
      <c r="K166" s="144">
        <f>INDEX(Culturas!$E$2:$E$28,MATCH(Operações!E166,Culturas!$C$2:$C$29,0))</f>
        <v>42743</v>
      </c>
      <c r="L166" s="23">
        <f t="shared" si="17"/>
        <v>165</v>
      </c>
      <c r="M166" s="68" t="s">
        <v>266</v>
      </c>
      <c r="O166" s="23" t="str">
        <f t="shared" si="14"/>
        <v>Macieira</v>
      </c>
      <c r="R166" s="10" t="str">
        <f t="shared" si="15"/>
        <v>INSERT INTO Operacao (idOperacao, designacaoOperacaoAgricola, designacaoUnidade, quantidade, dataOperacao) VALUES (165, 'Colheita', 'kg',   8990.0,  TO_DATE('23/08/Monday', 'DD/MM/YYYY'));</v>
      </c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N166" s="90" t="str">
        <f t="shared" si="16"/>
        <v>INSERT INTO OperacaoCultura (idOperacao, nomeParcela, dataInicial, nomeComum, variedade) VALUES (165, 'Lameiro da ponte', TO_DATE('08/01/Sunday', 'DD/MM/YYYY'), 'Macieira', UPPER('Royal Gala') );</v>
      </c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</row>
    <row r="167" spans="1:59" ht="15" hidden="1" thickTop="1" thickBot="1">
      <c r="A167" s="51">
        <v>104</v>
      </c>
      <c r="B167" s="51" t="s">
        <v>220</v>
      </c>
      <c r="C167" s="51" t="s">
        <v>7</v>
      </c>
      <c r="D167" s="51"/>
      <c r="E167" s="51" t="s">
        <v>253</v>
      </c>
      <c r="F167" s="52">
        <v>44431</v>
      </c>
      <c r="G167" s="51">
        <v>900</v>
      </c>
      <c r="H167" s="51" t="s">
        <v>292</v>
      </c>
      <c r="I167" s="51"/>
      <c r="J167" s="51">
        <f>MATCH(E167,Culturas!$B$38:$B$54,0)</f>
        <v>5</v>
      </c>
      <c r="K167" s="53">
        <v>43444</v>
      </c>
      <c r="L167" s="23">
        <f t="shared" si="17"/>
        <v>166</v>
      </c>
      <c r="M167" s="68" t="s">
        <v>266</v>
      </c>
      <c r="O167" s="23" t="str">
        <f t="shared" si="14"/>
        <v>Macieira</v>
      </c>
      <c r="R167" s="10" t="str">
        <f t="shared" si="15"/>
        <v>INSERT INTO Operacao (idOperacao, designacaoOperacaoAgricola, designacaoUnidade, quantidade, dataOperacao) VALUES (166, 'Colheita', 'kg',   9000.0,  TO_DATE('23/08/Monday', 'DD/MM/YYYY'));</v>
      </c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N167" s="90" t="str">
        <f t="shared" si="16"/>
        <v>INSERT INTO OperacaoCultura (idOperacao, nomeParcela, dataInicial, nomeComum, variedade) VALUES (166, 'Lameiro da ponte', TO_DATE('10/12/Monday', 'DD/MM/YYYY'), 'Macieira', UPPER('Royal Gala') );</v>
      </c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</row>
    <row r="168" spans="1:59" ht="15" hidden="1" thickTop="1" thickBot="1">
      <c r="A168" s="61">
        <v>103</v>
      </c>
      <c r="B168" s="61" t="s">
        <v>219</v>
      </c>
      <c r="C168" s="61" t="s">
        <v>7</v>
      </c>
      <c r="D168" s="61"/>
      <c r="E168" s="61" t="s">
        <v>242</v>
      </c>
      <c r="F168" s="62">
        <v>44433</v>
      </c>
      <c r="G168" s="61">
        <v>3300</v>
      </c>
      <c r="H168" s="61" t="s">
        <v>292</v>
      </c>
      <c r="I168" s="61"/>
      <c r="J168" s="61">
        <f>MATCH(E168,Culturas!$B$38:$B$54,0)</f>
        <v>14</v>
      </c>
      <c r="K168" s="62">
        <f>$F$133</f>
        <v>44289</v>
      </c>
      <c r="L168" s="23">
        <f t="shared" si="17"/>
        <v>167</v>
      </c>
      <c r="M168" s="68" t="s">
        <v>266</v>
      </c>
      <c r="O168" s="23" t="str">
        <f t="shared" si="14"/>
        <v>Milho</v>
      </c>
      <c r="R168" s="10" t="str">
        <f t="shared" si="15"/>
        <v>INSERT INTO Operacao (idOperacao, designacaoOperacaoAgricola, designacaoUnidade, quantidade, dataOperacao) VALUES (167, 'Colheita', 'kg',   33000.0,  TO_DATE('25/08/Wednesday', 'DD/MM/YYYY'));</v>
      </c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N168" s="90" t="str">
        <f t="shared" si="16"/>
        <v>INSERT INTO OperacaoCultura (idOperacao, nomeParcela, dataInicial, nomeComum, variedade) VALUES (167, 'Campo do poço', TO_DATE('03/04/Saturday', 'DD/MM/YYYY'), 'Milho', UPPER('MAS 24.C') );</v>
      </c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</row>
    <row r="169" spans="1:59" ht="15" hidden="1" thickTop="1" thickBot="1">
      <c r="A169">
        <v>106</v>
      </c>
      <c r="B169" s="28" t="s">
        <v>223</v>
      </c>
      <c r="C169" t="s">
        <v>7</v>
      </c>
      <c r="E169" s="79" t="s">
        <v>249</v>
      </c>
      <c r="F169" s="1">
        <v>44436</v>
      </c>
      <c r="G169">
        <v>600</v>
      </c>
      <c r="H169" t="s">
        <v>292</v>
      </c>
      <c r="J169" s="23">
        <f>MATCH(E169,Culturas!$B$38:$B$54,0)</f>
        <v>13</v>
      </c>
      <c r="K169" s="35">
        <f>INDEX(Culturas!$E$14:$E$22,MATCH(Operações!E169,Culturas!$C$14:$C$22,0))</f>
        <v>44349</v>
      </c>
      <c r="L169" s="23">
        <f t="shared" si="17"/>
        <v>168</v>
      </c>
      <c r="M169" s="68" t="s">
        <v>266</v>
      </c>
      <c r="O169" s="23" t="str">
        <f t="shared" si="14"/>
        <v>Cenoura</v>
      </c>
      <c r="R169" s="10" t="str">
        <f t="shared" si="15"/>
        <v>INSERT INTO Operacao (idOperacao, designacaoOperacaoAgricola, designacaoUnidade, quantidade, dataOperacao) VALUES (168, 'Colheita', 'kg',   6000.0,  TO_DATE('28/08/Saturday', 'DD/MM/YYYY'));</v>
      </c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N169" s="90" t="str">
        <f t="shared" si="16"/>
        <v>INSERT INTO OperacaoCultura (idOperacao, nomeParcela, dataInicial, nomeComum, variedade) VALUES (168, 'Horta nova', TO_DATE('02/06/Wednesday', 'DD/MM/YYYY'), 'Cenoura', UPPER('Danvers Half Long') );</v>
      </c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</row>
    <row r="170" spans="1:59" ht="15" hidden="1" thickTop="1" thickBot="1">
      <c r="A170" s="51">
        <v>104</v>
      </c>
      <c r="B170" s="51" t="s">
        <v>220</v>
      </c>
      <c r="C170" s="51" t="s">
        <v>7</v>
      </c>
      <c r="D170" s="51"/>
      <c r="E170" s="51" t="s">
        <v>253</v>
      </c>
      <c r="F170" s="52">
        <v>44444</v>
      </c>
      <c r="G170" s="51">
        <v>800</v>
      </c>
      <c r="H170" s="51" t="s">
        <v>292</v>
      </c>
      <c r="I170" s="51"/>
      <c r="J170" s="51">
        <f>MATCH(E170,Culturas!$B$38:$B$54,0)</f>
        <v>5</v>
      </c>
      <c r="K170" s="144">
        <f>INDEX(Culturas!$E$2:$E$28,MATCH(Operações!E170,Culturas!$C$2:$C$29,0))</f>
        <v>42743</v>
      </c>
      <c r="L170" s="23">
        <f t="shared" si="17"/>
        <v>169</v>
      </c>
      <c r="M170" s="68" t="s">
        <v>266</v>
      </c>
      <c r="O170" s="23" t="str">
        <f t="shared" si="14"/>
        <v>Macieira</v>
      </c>
      <c r="R170" s="10" t="str">
        <f t="shared" si="15"/>
        <v>INSERT INTO Operacao (idOperacao, designacaoOperacaoAgricola, designacaoUnidade, quantidade, dataOperacao) VALUES (169, 'Colheita', 'kg',   8000.0,  TO_DATE('05/09/Sunday', 'DD/MM/YYYY'));</v>
      </c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N170" s="90" t="str">
        <f t="shared" si="16"/>
        <v>INSERT INTO OperacaoCultura (idOperacao, nomeParcela, dataInicial, nomeComum, variedade) VALUES (169, 'Lameiro da ponte', TO_DATE('08/01/Sunday', 'DD/MM/YYYY'), 'Macieira', UPPER('Royal Gala') );</v>
      </c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</row>
    <row r="171" spans="1:59" ht="15" hidden="1" thickTop="1" thickBot="1">
      <c r="A171" s="51">
        <v>104</v>
      </c>
      <c r="B171" s="51" t="s">
        <v>220</v>
      </c>
      <c r="C171" s="51" t="s">
        <v>7</v>
      </c>
      <c r="D171" s="51"/>
      <c r="E171" s="51" t="s">
        <v>253</v>
      </c>
      <c r="F171" s="52">
        <v>44444</v>
      </c>
      <c r="G171" s="51">
        <v>800</v>
      </c>
      <c r="H171" s="51" t="s">
        <v>292</v>
      </c>
      <c r="I171" s="51"/>
      <c r="J171" s="51">
        <f>MATCH(E171,Culturas!$B$38:$B$54,0)</f>
        <v>5</v>
      </c>
      <c r="K171" s="53">
        <v>43444</v>
      </c>
      <c r="L171" s="23">
        <f t="shared" si="17"/>
        <v>170</v>
      </c>
      <c r="M171" s="68" t="s">
        <v>266</v>
      </c>
      <c r="O171" s="23" t="str">
        <f t="shared" si="14"/>
        <v>Macieira</v>
      </c>
      <c r="R171" s="10" t="str">
        <f t="shared" si="15"/>
        <v>INSERT INTO Operacao (idOperacao, designacaoOperacaoAgricola, designacaoUnidade, quantidade, dataOperacao) VALUES (170, 'Colheita', 'kg',   8000.0,  TO_DATE('05/09/Sunday', 'DD/MM/YYYY'));</v>
      </c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N171" s="90" t="str">
        <f t="shared" si="16"/>
        <v>INSERT INTO OperacaoCultura (idOperacao, nomeParcela, dataInicial, nomeComum, variedade) VALUES (170, 'Lameiro da ponte', TO_DATE('10/12/Monday', 'DD/MM/YYYY'), 'Macieira', UPPER('Royal Gala') );</v>
      </c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</row>
    <row r="172" spans="1:59" ht="15" hidden="1" thickTop="1" thickBot="1">
      <c r="A172">
        <v>106</v>
      </c>
      <c r="B172" s="28" t="s">
        <v>223</v>
      </c>
      <c r="C172" t="s">
        <v>7</v>
      </c>
      <c r="E172" s="79" t="s">
        <v>249</v>
      </c>
      <c r="F172" s="1">
        <v>44446</v>
      </c>
      <c r="G172">
        <v>1800</v>
      </c>
      <c r="H172" t="s">
        <v>292</v>
      </c>
      <c r="J172" s="23">
        <f>MATCH(E172,Culturas!$B$38:$B$54,0)</f>
        <v>13</v>
      </c>
      <c r="K172" s="35">
        <f>INDEX(Culturas!$E$14:$E$22,MATCH(Operações!E172,Culturas!$C$14:$C$22,0))</f>
        <v>44349</v>
      </c>
      <c r="L172" s="23">
        <f t="shared" si="17"/>
        <v>171</v>
      </c>
      <c r="M172" s="68" t="s">
        <v>266</v>
      </c>
      <c r="O172" s="23" t="str">
        <f t="shared" si="14"/>
        <v>Cenoura</v>
      </c>
      <c r="R172" s="10" t="str">
        <f t="shared" si="15"/>
        <v>INSERT INTO Operacao (idOperacao, designacaoOperacaoAgricola, designacaoUnidade, quantidade, dataOperacao) VALUES (171, 'Colheita', 'kg',   18000.0,  TO_DATE('07/09/Tuesday', 'DD/MM/YYYY'));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N172" s="90" t="str">
        <f t="shared" si="16"/>
        <v>INSERT INTO OperacaoCultura (idOperacao, nomeParcela, dataInicial, nomeComum, variedade) VALUES (171, 'Horta nova', TO_DATE('02/06/Wednesday', 'DD/MM/YYYY'), 'Cenoura', UPPER('Danvers Half Long') );</v>
      </c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</row>
    <row r="173" spans="1:59" ht="15" hidden="1" thickTop="1" thickBot="1">
      <c r="A173">
        <v>104</v>
      </c>
      <c r="B173" t="s">
        <v>220</v>
      </c>
      <c r="C173" t="s">
        <v>7</v>
      </c>
      <c r="E173" t="s">
        <v>251</v>
      </c>
      <c r="F173" s="1">
        <v>44451</v>
      </c>
      <c r="G173">
        <v>800</v>
      </c>
      <c r="H173" t="s">
        <v>292</v>
      </c>
      <c r="J173" s="23">
        <f>MATCH(E173,Culturas!$B$38:$B$54,0)</f>
        <v>3</v>
      </c>
      <c r="K173" s="139">
        <f>INDEX(Culturas!$E$2:$E$28,MATCH(Operações!E173,Culturas!$C$2:$C$29,0))</f>
        <v>42742</v>
      </c>
      <c r="L173" s="23">
        <f t="shared" si="17"/>
        <v>172</v>
      </c>
      <c r="M173" s="68" t="s">
        <v>266</v>
      </c>
      <c r="O173" s="23" t="str">
        <f t="shared" si="14"/>
        <v>Macieira</v>
      </c>
      <c r="R173" s="10" t="str">
        <f t="shared" si="15"/>
        <v>INSERT INTO Operacao (idOperacao, designacaoOperacaoAgricola, designacaoUnidade, quantidade, dataOperacao) VALUES (172, 'Colheita', 'kg',   8000.0,  TO_DATE('12/09/Sunday', 'DD/MM/YYYY'));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N173" s="90" t="str">
        <f t="shared" si="16"/>
        <v>INSERT INTO OperacaoCultura (idOperacao, nomeParcela, dataInicial, nomeComum, variedade) VALUES (172, 'Lameiro da ponte', TO_DATE('07/01/Saturday', 'DD/MM/YYYY'), 'Macieira', UPPER('Jonagored') );</v>
      </c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</row>
    <row r="174" spans="1:59" ht="15" hidden="1" thickTop="1" thickBot="1">
      <c r="A174" s="74">
        <v>106</v>
      </c>
      <c r="B174" s="28" t="s">
        <v>223</v>
      </c>
      <c r="C174" s="75" t="s">
        <v>294</v>
      </c>
      <c r="D174" s="74"/>
      <c r="E174" s="74" t="s">
        <v>247</v>
      </c>
      <c r="F174" s="76">
        <v>44459</v>
      </c>
      <c r="G174" s="74">
        <v>0.6</v>
      </c>
      <c r="H174" s="74" t="s">
        <v>292</v>
      </c>
      <c r="I174" s="74"/>
      <c r="J174" s="74">
        <f>MATCH(E174,Culturas!$B$38:$B$54,0)</f>
        <v>11</v>
      </c>
      <c r="K174" s="76">
        <f>F174</f>
        <v>44459</v>
      </c>
      <c r="L174" s="23">
        <f t="shared" si="17"/>
        <v>173</v>
      </c>
      <c r="M174" s="68" t="s">
        <v>266</v>
      </c>
      <c r="O174" s="23" t="str">
        <f t="shared" si="14"/>
        <v>Nabo</v>
      </c>
      <c r="R174" s="10" t="str">
        <f t="shared" si="15"/>
        <v>INSERT INTO Operacao (idOperacao, designacaoOperacaoAgricola, designacaoUnidade, quantidade, dataOperacao) VALUES (173, 'Sementeira', 'kg',   6.0,  TO_DATE('20/09/Monday', 'DD/MM/YYYY'));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N174" s="90" t="str">
        <f t="shared" si="16"/>
        <v>INSERT INTO OperacaoCultura (idOperacao, nomeParcela, dataInicial, nomeComum, variedade) VALUES (173, 'Horta nova', TO_DATE('20/09/Monday', 'DD/MM/YYYY'), 'Nabo', UPPER('S. Cosme') );</v>
      </c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</row>
    <row r="175" spans="1:59" ht="15" hidden="1" thickTop="1" thickBot="1">
      <c r="A175">
        <v>104</v>
      </c>
      <c r="B175" t="s">
        <v>220</v>
      </c>
      <c r="C175" t="s">
        <v>7</v>
      </c>
      <c r="E175" t="s">
        <v>251</v>
      </c>
      <c r="F175" s="1">
        <v>44462</v>
      </c>
      <c r="G175">
        <v>1200</v>
      </c>
      <c r="H175" t="s">
        <v>292</v>
      </c>
      <c r="J175" s="23">
        <f>MATCH(E175,Culturas!$B$38:$B$54,0)</f>
        <v>3</v>
      </c>
      <c r="K175" s="139">
        <f>INDEX(Culturas!$E$2:$E$28,MATCH(Operações!E175,Culturas!$C$2:$C$29,0))</f>
        <v>42742</v>
      </c>
      <c r="L175" s="23">
        <f t="shared" si="17"/>
        <v>174</v>
      </c>
      <c r="M175" s="68" t="s">
        <v>266</v>
      </c>
      <c r="O175" s="23" t="str">
        <f t="shared" si="14"/>
        <v>Macieira</v>
      </c>
      <c r="R175" s="10" t="str">
        <f t="shared" si="15"/>
        <v>INSERT INTO Operacao (idOperacao, designacaoOperacaoAgricola, designacaoUnidade, quantidade, dataOperacao) VALUES (174, 'Colheita', 'kg',   12000.0,  TO_DATE('23/09/Thursday', 'DD/MM/YYYY'));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N175" s="90" t="str">
        <f t="shared" si="16"/>
        <v>INSERT INTO OperacaoCultura (idOperacao, nomeParcela, dataInicial, nomeComum, variedade) VALUES (174, 'Lameiro da ponte', TO_DATE('07/01/Saturday', 'DD/MM/YYYY'), 'Macieira', UPPER('Jonagored') );</v>
      </c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</row>
    <row r="176" spans="1:59" ht="15" hidden="1" thickTop="1" thickBot="1">
      <c r="A176" s="55">
        <v>101</v>
      </c>
      <c r="B176" s="55" t="s">
        <v>215</v>
      </c>
      <c r="C176" s="55" t="s">
        <v>294</v>
      </c>
      <c r="D176" s="55"/>
      <c r="E176" s="55" t="s">
        <v>240</v>
      </c>
      <c r="F176" s="56">
        <v>44472</v>
      </c>
      <c r="G176" s="55">
        <v>36</v>
      </c>
      <c r="H176" s="55" t="s">
        <v>216</v>
      </c>
      <c r="I176" s="55"/>
      <c r="J176" s="55">
        <f>MATCH(E176,Culturas!$B$38:$B$54,0)</f>
        <v>6</v>
      </c>
      <c r="K176" s="56">
        <f>F176</f>
        <v>44472</v>
      </c>
      <c r="L176" s="23">
        <f t="shared" si="17"/>
        <v>175</v>
      </c>
      <c r="M176" s="68" t="s">
        <v>266</v>
      </c>
      <c r="O176" s="23" t="str">
        <f t="shared" si="14"/>
        <v>Tremoço</v>
      </c>
      <c r="R176" s="10" t="str">
        <f t="shared" si="15"/>
        <v>INSERT INTO Operacao (idOperacao, designacaoOperacaoAgricola, designacaoUnidade, quantidade, dataOperacao) VALUES (175, 'Sementeira', 'ha',   360.0,  TO_DATE('03/10/Sunday', 'DD/MM/YYYY'));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N176" s="90" t="str">
        <f t="shared" si="16"/>
        <v>INSERT INTO OperacaoCultura (idOperacao, nomeParcela, dataInicial, nomeComum, variedade) VALUES (175, 'Campo da bouça', TO_DATE('03/10/Sunday', 'DD/MM/YYYY'), 'Tremoço', UPPER('Amarelo') );</v>
      </c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</row>
    <row r="177" spans="1:59" ht="15" hidden="1" thickTop="1" thickBot="1">
      <c r="A177" s="59">
        <v>103</v>
      </c>
      <c r="B177" s="59" t="s">
        <v>219</v>
      </c>
      <c r="C177" s="59" t="s">
        <v>294</v>
      </c>
      <c r="D177" s="59"/>
      <c r="E177" s="59" t="s">
        <v>240</v>
      </c>
      <c r="F177" s="60">
        <v>44475</v>
      </c>
      <c r="G177" s="59">
        <v>1.3</v>
      </c>
      <c r="H177" s="59" t="s">
        <v>216</v>
      </c>
      <c r="I177" s="59"/>
      <c r="J177" s="59">
        <f>MATCH(E177,Culturas!$B$38:$B$54,0)</f>
        <v>6</v>
      </c>
      <c r="K177" s="60">
        <f>F177</f>
        <v>44475</v>
      </c>
      <c r="L177" s="23">
        <f t="shared" si="17"/>
        <v>176</v>
      </c>
      <c r="M177" s="68" t="s">
        <v>266</v>
      </c>
      <c r="O177" s="23" t="str">
        <f t="shared" si="14"/>
        <v>Tremoço</v>
      </c>
      <c r="R177" s="10" t="str">
        <f t="shared" si="15"/>
        <v>INSERT INTO Operacao (idOperacao, designacaoOperacaoAgricola, designacaoUnidade, quantidade, dataOperacao) VALUES (176, 'Sementeira', 'ha',   13.0,  TO_DATE('06/10/Wednesday', 'DD/MM/YYYY'));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N177" s="90" t="str">
        <f t="shared" si="16"/>
        <v>INSERT INTO OperacaoCultura (idOperacao, nomeParcela, dataInicial, nomeComum, variedade) VALUES (176, 'Campo do poço', TO_DATE('06/10/Wednesday', 'DD/MM/YYYY'), 'Tremoço', UPPER('Amarelo') );</v>
      </c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</row>
    <row r="178" spans="1:59" ht="15" hidden="1" thickTop="1" thickBot="1">
      <c r="A178">
        <v>104</v>
      </c>
      <c r="B178" t="s">
        <v>220</v>
      </c>
      <c r="C178" t="s">
        <v>7</v>
      </c>
      <c r="E178" t="s">
        <v>252</v>
      </c>
      <c r="F178" s="1">
        <v>44481</v>
      </c>
      <c r="G178">
        <v>950</v>
      </c>
      <c r="H178" t="s">
        <v>292</v>
      </c>
      <c r="J178" s="23">
        <f>MATCH(E178,Culturas!$B$38:$B$54,0)</f>
        <v>4</v>
      </c>
      <c r="K178" s="139">
        <f>INDEX(Culturas!$E$2:$E$28,MATCH(Operações!E178,Culturas!$C$2:$C$29,0))</f>
        <v>42743</v>
      </c>
      <c r="L178" s="23">
        <f t="shared" si="17"/>
        <v>177</v>
      </c>
      <c r="M178" s="68" t="s">
        <v>266</v>
      </c>
      <c r="O178" s="23" t="str">
        <f t="shared" si="14"/>
        <v>Macieira</v>
      </c>
      <c r="R178" s="10" t="str">
        <f t="shared" si="15"/>
        <v>INSERT INTO Operacao (idOperacao, designacaoOperacaoAgricola, designacaoUnidade, quantidade, dataOperacao) VALUES (177, 'Colheita', 'kg',   9500.0,  TO_DATE('12/10/Tuesday', 'DD/MM/YYYY'));</v>
      </c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N178" s="90" t="str">
        <f t="shared" si="16"/>
        <v>INSERT INTO OperacaoCultura (idOperacao, nomeParcela, dataInicial, nomeComum, variedade) VALUES (177, 'Lameiro da ponte', TO_DATE('08/01/Sunday', 'DD/MM/YYYY'), 'Macieira', UPPER('Fuji') );</v>
      </c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</row>
    <row r="179" spans="1:59" ht="15" hidden="1" thickTop="1" thickBot="1">
      <c r="A179">
        <v>104</v>
      </c>
      <c r="B179" t="s">
        <v>220</v>
      </c>
      <c r="C179" t="s">
        <v>7</v>
      </c>
      <c r="E179" t="s">
        <v>252</v>
      </c>
      <c r="F179" s="1">
        <v>44503</v>
      </c>
      <c r="G179">
        <v>750</v>
      </c>
      <c r="H179" t="s">
        <v>292</v>
      </c>
      <c r="J179" s="23">
        <f>MATCH(E179,Culturas!$B$38:$B$54,0)</f>
        <v>4</v>
      </c>
      <c r="K179" s="139">
        <f>INDEX(Culturas!$E$2:$E$28,MATCH(Operações!E179,Culturas!$C$2:$C$29,0))</f>
        <v>42743</v>
      </c>
      <c r="L179" s="23">
        <f t="shared" si="17"/>
        <v>178</v>
      </c>
      <c r="M179" s="68" t="s">
        <v>266</v>
      </c>
      <c r="O179" s="23" t="str">
        <f t="shared" si="14"/>
        <v>Macieira</v>
      </c>
      <c r="R179" s="10" t="str">
        <f t="shared" si="15"/>
        <v>INSERT INTO Operacao (idOperacao, designacaoOperacaoAgricola, designacaoUnidade, quantidade, dataOperacao) VALUES (178, 'Colheita', 'kg',   7500.0,  TO_DATE('03/11/Wednesday', 'DD/MM/YYYY'));</v>
      </c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N179" s="90" t="str">
        <f t="shared" si="16"/>
        <v>INSERT INTO OperacaoCultura (idOperacao, nomeParcela, dataInicial, nomeComum, variedade) VALUES (178, 'Lameiro da ponte', TO_DATE('08/01/Sunday', 'DD/MM/YYYY'), 'Macieira', UPPER('Fuji') );</v>
      </c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</row>
    <row r="180" spans="1:59" ht="15" hidden="1" thickTop="1" thickBot="1">
      <c r="A180">
        <v>102</v>
      </c>
      <c r="B180" t="s">
        <v>218</v>
      </c>
      <c r="C180" t="s">
        <v>7</v>
      </c>
      <c r="E180" t="s">
        <v>243</v>
      </c>
      <c r="F180" s="1">
        <v>44510</v>
      </c>
      <c r="G180">
        <v>210</v>
      </c>
      <c r="H180" t="s">
        <v>292</v>
      </c>
      <c r="J180" s="23">
        <f>MATCH(E180,Culturas!$B$38:$B$54,0)</f>
        <v>1</v>
      </c>
      <c r="K180" s="35">
        <f>INDEX(Culturas!$E$12:$E$13,MATCH(Operações!E180,Culturas!$C$12:$C$13,0))</f>
        <v>42649</v>
      </c>
      <c r="L180" s="23">
        <f t="shared" si="17"/>
        <v>179</v>
      </c>
      <c r="M180" s="68" t="s">
        <v>266</v>
      </c>
      <c r="O180" s="23" t="str">
        <f t="shared" si="14"/>
        <v>Oliveira</v>
      </c>
      <c r="R180" s="10" t="str">
        <f t="shared" si="15"/>
        <v>INSERT INTO Operacao (idOperacao, designacaoOperacaoAgricola, designacaoUnidade, quantidade, dataOperacao) VALUES (179, 'Colheita', 'kg',   2100.0,  TO_DATE('10/11/Wednesday', 'DD/MM/YYYY'));</v>
      </c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N180" s="90" t="str">
        <f t="shared" si="16"/>
        <v>INSERT INTO OperacaoCultura (idOperacao, nomeParcela, dataInicial, nomeComum, variedade) VALUES (179, 'Campo Grande', TO_DATE('06/10/Thursday', 'DD/MM/YYYY'), 'Oliveira', UPPER('Galega') );</v>
      </c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</row>
    <row r="181" spans="1:59" ht="15" hidden="1" thickTop="1" thickBot="1">
      <c r="A181">
        <v>102</v>
      </c>
      <c r="B181" t="s">
        <v>218</v>
      </c>
      <c r="C181" t="s">
        <v>7</v>
      </c>
      <c r="E181" t="s">
        <v>244</v>
      </c>
      <c r="F181" s="1">
        <v>44510</v>
      </c>
      <c r="G181">
        <v>120</v>
      </c>
      <c r="H181" t="s">
        <v>292</v>
      </c>
      <c r="J181" s="23">
        <f>MATCH(E181,Culturas!$B$38:$B$54,0)</f>
        <v>2</v>
      </c>
      <c r="K181" s="35">
        <f>INDEX(Culturas!$E$12:$E$13,MATCH(Operações!E181,Culturas!$C$12:$C$13,0))</f>
        <v>42653</v>
      </c>
      <c r="L181" s="23">
        <f t="shared" si="17"/>
        <v>180</v>
      </c>
      <c r="M181" s="68" t="s">
        <v>266</v>
      </c>
      <c r="O181" s="23" t="str">
        <f t="shared" si="14"/>
        <v>Oliveira</v>
      </c>
      <c r="R181" s="10" t="str">
        <f t="shared" si="15"/>
        <v>INSERT INTO Operacao (idOperacao, designacaoOperacaoAgricola, designacaoUnidade, quantidade, dataOperacao) VALUES (180, 'Colheita', 'kg',   1200.0,  TO_DATE('10/11/Wednesday', 'DD/MM/YYYY'));</v>
      </c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N181" s="90" t="str">
        <f t="shared" si="16"/>
        <v>INSERT INTO OperacaoCultura (idOperacao, nomeParcela, dataInicial, nomeComum, variedade) VALUES (180, 'Campo Grande', TO_DATE('10/10/Monday', 'DD/MM/YYYY'), 'Oliveira', UPPER('Picual') );</v>
      </c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</row>
    <row r="182" spans="1:59" ht="15" hidden="1" thickTop="1" thickBot="1">
      <c r="A182">
        <v>106</v>
      </c>
      <c r="B182" s="28" t="s">
        <v>223</v>
      </c>
      <c r="C182" t="s">
        <v>7</v>
      </c>
      <c r="E182" t="s">
        <v>247</v>
      </c>
      <c r="F182" s="1">
        <v>44515</v>
      </c>
      <c r="G182">
        <v>600</v>
      </c>
      <c r="H182" t="s">
        <v>292</v>
      </c>
      <c r="J182" s="23">
        <f>MATCH(E182,Culturas!$B$38:$B$54,0)</f>
        <v>11</v>
      </c>
      <c r="K182" s="35">
        <f>$F$174</f>
        <v>44459</v>
      </c>
      <c r="L182" s="23">
        <f t="shared" si="17"/>
        <v>181</v>
      </c>
      <c r="M182" s="68" t="s">
        <v>266</v>
      </c>
      <c r="O182" s="23" t="str">
        <f t="shared" si="14"/>
        <v>Nabo</v>
      </c>
      <c r="R182" s="10" t="str">
        <f t="shared" si="15"/>
        <v>INSERT INTO Operacao (idOperacao, designacaoOperacaoAgricola, designacaoUnidade, quantidade, dataOperacao) VALUES (181, 'Colheita', 'kg',   6000.0,  TO_DATE('15/11/Monday', 'DD/MM/YYYY'));</v>
      </c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N182" s="90" t="str">
        <f t="shared" si="16"/>
        <v>INSERT INTO OperacaoCultura (idOperacao, nomeParcela, dataInicial, nomeComum, variedade) VALUES (181, 'Horta nova', TO_DATE('20/09/Monday', 'DD/MM/YYYY'), 'Nabo', UPPER('S. Cosme') );</v>
      </c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</row>
    <row r="183" spans="1:59" ht="15" hidden="1" thickTop="1" thickBot="1">
      <c r="A183">
        <v>102</v>
      </c>
      <c r="B183" t="s">
        <v>218</v>
      </c>
      <c r="C183" t="s">
        <v>5</v>
      </c>
      <c r="E183" t="s">
        <v>243</v>
      </c>
      <c r="F183" s="1">
        <v>44517</v>
      </c>
      <c r="G183">
        <v>30</v>
      </c>
      <c r="H183" t="s">
        <v>267</v>
      </c>
      <c r="J183" s="23">
        <f>MATCH(E183,Culturas!$B$38:$B$54,0)</f>
        <v>1</v>
      </c>
      <c r="K183" s="35">
        <f>INDEX(Culturas!$E$12:$E$13,MATCH(Operações!E183,Culturas!$C$12:$C$13,0))</f>
        <v>42649</v>
      </c>
      <c r="L183" s="23">
        <f t="shared" si="17"/>
        <v>182</v>
      </c>
      <c r="M183" s="68" t="s">
        <v>266</v>
      </c>
      <c r="O183" s="23" t="str">
        <f t="shared" si="14"/>
        <v>Oliveira</v>
      </c>
      <c r="R183" s="10" t="str">
        <f t="shared" si="15"/>
        <v>INSERT INTO Operacao (idOperacao, designacaoOperacaoAgricola, designacaoUnidade, quantidade, dataOperacao) VALUES (182, 'Poda', 'un',   300.0,  TO_DATE('17/11/Wednesday', 'DD/MM/YYYY'));</v>
      </c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N183" s="90" t="str">
        <f t="shared" si="16"/>
        <v>INSERT INTO OperacaoCultura (idOperacao, nomeParcela, dataInicial, nomeComum, variedade) VALUES (182, 'Campo Grande', TO_DATE('06/10/Thursday', 'DD/MM/YYYY'), 'Oliveira', UPPER('Galega') );</v>
      </c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</row>
    <row r="184" spans="1:59" ht="15" hidden="1" thickTop="1" thickBot="1">
      <c r="A184">
        <v>102</v>
      </c>
      <c r="B184" t="s">
        <v>218</v>
      </c>
      <c r="C184" t="s">
        <v>5</v>
      </c>
      <c r="E184" t="s">
        <v>244</v>
      </c>
      <c r="F184" s="1">
        <v>44517</v>
      </c>
      <c r="G184">
        <v>20</v>
      </c>
      <c r="H184" t="s">
        <v>267</v>
      </c>
      <c r="J184" s="23">
        <f>MATCH(E184,Culturas!$B$38:$B$54,0)</f>
        <v>2</v>
      </c>
      <c r="K184" s="35">
        <f>INDEX(Culturas!$E$12:$E$13,MATCH(Operações!E184,Culturas!$C$12:$C$13,0))</f>
        <v>42653</v>
      </c>
      <c r="L184" s="23">
        <f t="shared" si="17"/>
        <v>183</v>
      </c>
      <c r="M184" s="68" t="s">
        <v>266</v>
      </c>
      <c r="O184" s="23" t="str">
        <f t="shared" si="14"/>
        <v>Oliveira</v>
      </c>
      <c r="R184" s="10" t="str">
        <f t="shared" si="15"/>
        <v>INSERT INTO Operacao (idOperacao, designacaoOperacaoAgricola, designacaoUnidade, quantidade, dataOperacao) VALUES (183, 'Poda', 'un',   200.0,  TO_DATE('17/11/Wednesday', 'DD/MM/YYYY'));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N184" s="90" t="str">
        <f t="shared" si="16"/>
        <v>INSERT INTO OperacaoCultura (idOperacao, nomeParcela, dataInicial, nomeComum, variedade) VALUES (183, 'Campo Grande', TO_DATE('10/10/Monday', 'DD/MM/YYYY'), 'Oliveira', UPPER('Picual') );</v>
      </c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</row>
    <row r="185" spans="1:59" ht="15" hidden="1" thickTop="1" thickBot="1">
      <c r="A185" s="51">
        <v>104</v>
      </c>
      <c r="B185" s="51" t="s">
        <v>220</v>
      </c>
      <c r="C185" s="51" t="s">
        <v>5</v>
      </c>
      <c r="D185" s="51"/>
      <c r="E185" s="51" t="s">
        <v>253</v>
      </c>
      <c r="F185" s="52">
        <v>44528</v>
      </c>
      <c r="G185" s="51">
        <v>70</v>
      </c>
      <c r="H185" s="51" t="s">
        <v>267</v>
      </c>
      <c r="I185" s="51"/>
      <c r="J185" s="51">
        <f>MATCH(E185,Culturas!$B$38:$B$54,0)</f>
        <v>5</v>
      </c>
      <c r="K185" s="144">
        <f>INDEX(Culturas!$E$2:$E$28,MATCH(Operações!E185,Culturas!$C$2:$C$29,0))</f>
        <v>42743</v>
      </c>
      <c r="L185" s="23">
        <f t="shared" si="17"/>
        <v>184</v>
      </c>
      <c r="M185" s="68" t="s">
        <v>266</v>
      </c>
      <c r="O185" s="23" t="str">
        <f t="shared" si="14"/>
        <v>Macieira</v>
      </c>
      <c r="R185" s="10" t="str">
        <f t="shared" si="15"/>
        <v>INSERT INTO Operacao (idOperacao, designacaoOperacaoAgricola, designacaoUnidade, quantidade, dataOperacao) VALUES (184, 'Poda', 'un',   700.0,  TO_DATE('28/11/Sunday', 'DD/MM/YYYY'));</v>
      </c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N185" s="90" t="str">
        <f t="shared" si="16"/>
        <v>INSERT INTO OperacaoCultura (idOperacao, nomeParcela, dataInicial, nomeComum, variedade) VALUES (184, 'Lameiro da ponte', TO_DATE('08/01/Sunday', 'DD/MM/YYYY'), 'Macieira', UPPER('Royal Gala') );</v>
      </c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</row>
    <row r="186" spans="1:59" ht="15" hidden="1" thickTop="1" thickBot="1">
      <c r="A186" s="51">
        <v>104</v>
      </c>
      <c r="B186" s="51" t="s">
        <v>220</v>
      </c>
      <c r="C186" s="51" t="s">
        <v>5</v>
      </c>
      <c r="D186" s="51"/>
      <c r="E186" s="51" t="s">
        <v>253</v>
      </c>
      <c r="F186" s="52">
        <v>44528</v>
      </c>
      <c r="G186" s="51">
        <v>70</v>
      </c>
      <c r="H186" s="51" t="s">
        <v>267</v>
      </c>
      <c r="I186" s="51"/>
      <c r="J186" s="51">
        <f>MATCH(E186,Culturas!$B$38:$B$54,0)</f>
        <v>5</v>
      </c>
      <c r="K186" s="53">
        <v>43444</v>
      </c>
      <c r="L186" s="23">
        <f t="shared" si="17"/>
        <v>185</v>
      </c>
      <c r="M186" s="68" t="s">
        <v>266</v>
      </c>
      <c r="O186" s="23" t="str">
        <f t="shared" si="14"/>
        <v>Macieira</v>
      </c>
      <c r="R186" s="10" t="str">
        <f t="shared" si="15"/>
        <v>INSERT INTO Operacao (idOperacao, designacaoOperacaoAgricola, designacaoUnidade, quantidade, dataOperacao) VALUES (185, 'Poda', 'un',   700.0,  TO_DATE('28/11/Sunday', 'DD/MM/YYYY'));</v>
      </c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N186" s="90" t="str">
        <f t="shared" si="16"/>
        <v>INSERT INTO OperacaoCultura (idOperacao, nomeParcela, dataInicial, nomeComum, variedade) VALUES (185, 'Lameiro da ponte', TO_DATE('10/12/Monday', 'DD/MM/YYYY'), 'Macieira', UPPER('Royal Gala') );</v>
      </c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</row>
    <row r="187" spans="1:59" ht="15" hidden="1" thickTop="1" thickBot="1">
      <c r="A187">
        <v>104</v>
      </c>
      <c r="B187" t="s">
        <v>220</v>
      </c>
      <c r="C187" t="s">
        <v>5</v>
      </c>
      <c r="E187" t="s">
        <v>251</v>
      </c>
      <c r="F187" s="1">
        <v>44533</v>
      </c>
      <c r="G187">
        <v>90</v>
      </c>
      <c r="H187" t="s">
        <v>267</v>
      </c>
      <c r="J187" s="23">
        <f>MATCH(E187,Culturas!$B$38:$B$54,0)</f>
        <v>3</v>
      </c>
      <c r="K187" s="139">
        <f>INDEX(Culturas!$E$2:$E$28,MATCH(Operações!E187,Culturas!$C$2:$C$29,0))</f>
        <v>42742</v>
      </c>
      <c r="L187" s="23">
        <f t="shared" si="17"/>
        <v>186</v>
      </c>
      <c r="M187" s="68" t="s">
        <v>266</v>
      </c>
      <c r="O187" s="23" t="str">
        <f t="shared" si="14"/>
        <v>Macieira</v>
      </c>
      <c r="R187" s="10" t="str">
        <f t="shared" si="15"/>
        <v>INSERT INTO Operacao (idOperacao, designacaoOperacaoAgricola, designacaoUnidade, quantidade, dataOperacao) VALUES (186, 'Poda', 'un',   900.0,  TO_DATE('03/12/Friday', 'DD/MM/YYYY'));</v>
      </c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N187" s="90" t="str">
        <f t="shared" si="16"/>
        <v>INSERT INTO OperacaoCultura (idOperacao, nomeParcela, dataInicial, nomeComum, variedade) VALUES (186, 'Lameiro da ponte', TO_DATE('07/01/Saturday', 'DD/MM/YYYY'), 'Macieira', UPPER('Jonagored') );</v>
      </c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</row>
    <row r="188" spans="1:59" ht="15" hidden="1" thickTop="1" thickBot="1">
      <c r="A188">
        <v>107</v>
      </c>
      <c r="B188" t="s">
        <v>225</v>
      </c>
      <c r="C188" t="s">
        <v>5</v>
      </c>
      <c r="E188" t="s">
        <v>254</v>
      </c>
      <c r="F188" s="1">
        <v>44546</v>
      </c>
      <c r="G188">
        <v>500</v>
      </c>
      <c r="H188" t="s">
        <v>267</v>
      </c>
      <c r="J188" s="23">
        <f>MATCH(E188,Culturas!$B$38:$B$54,0)</f>
        <v>16</v>
      </c>
      <c r="K188" s="139">
        <f>INDEX(Culturas!$E$2:$E$28,MATCH(Operações!E188,Culturas!$C$2:$C$29,0))</f>
        <v>43110</v>
      </c>
      <c r="L188" s="23">
        <f t="shared" si="17"/>
        <v>187</v>
      </c>
      <c r="M188" s="68" t="s">
        <v>266</v>
      </c>
      <c r="O188" s="23" t="str">
        <f t="shared" si="14"/>
        <v>Videira</v>
      </c>
      <c r="R188" s="10" t="str">
        <f t="shared" si="15"/>
        <v>INSERT INTO Operacao (idOperacao, designacaoOperacaoAgricola, designacaoUnidade, quantidade, dataOperacao) VALUES (187, 'Poda', 'un',   5000.0,  TO_DATE('16/12/Thursday', 'DD/MM/YYYY'));</v>
      </c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N188" s="90" t="str">
        <f t="shared" si="16"/>
        <v>INSERT INTO OperacaoCultura (idOperacao, nomeParcela, dataInicial, nomeComum, variedade) VALUES (187, 'Vinha', TO_DATE('10/01/Wednesday', 'DD/MM/YYYY'), 'Videira', UPPER('Dona Maria') );</v>
      </c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</row>
    <row r="189" spans="1:59" ht="15" hidden="1" thickTop="1" thickBot="1">
      <c r="A189">
        <v>104</v>
      </c>
      <c r="B189" t="s">
        <v>220</v>
      </c>
      <c r="C189" t="s">
        <v>5</v>
      </c>
      <c r="E189" t="s">
        <v>252</v>
      </c>
      <c r="F189" s="1">
        <v>44548</v>
      </c>
      <c r="G189">
        <v>60</v>
      </c>
      <c r="H189" t="s">
        <v>267</v>
      </c>
      <c r="J189" s="23">
        <f>MATCH(E189,Culturas!$B$38:$B$54,0)</f>
        <v>4</v>
      </c>
      <c r="K189" s="139">
        <f>INDEX(Culturas!$E$2:$E$28,MATCH(Operações!E189,Culturas!$C$2:$C$29,0))</f>
        <v>42743</v>
      </c>
      <c r="L189" s="23">
        <f t="shared" si="17"/>
        <v>188</v>
      </c>
      <c r="M189" s="68" t="s">
        <v>266</v>
      </c>
      <c r="O189" s="23" t="str">
        <f t="shared" si="14"/>
        <v>Macieira</v>
      </c>
      <c r="R189" s="10" t="str">
        <f t="shared" si="15"/>
        <v>INSERT INTO Operacao (idOperacao, designacaoOperacaoAgricola, designacaoUnidade, quantidade, dataOperacao) VALUES (188, 'Poda', 'un',   600.0,  TO_DATE('18/12/Saturday', 'DD/MM/YYYY'));</v>
      </c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N189" s="90" t="str">
        <f t="shared" si="16"/>
        <v>INSERT INTO OperacaoCultura (idOperacao, nomeParcela, dataInicial, nomeComum, variedade) VALUES (188, 'Lameiro da ponte', TO_DATE('08/01/Sunday', 'DD/MM/YYYY'), 'Macieira', UPPER('Fuji') );</v>
      </c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</row>
    <row r="190" spans="1:59" ht="15" hidden="1" thickTop="1" thickBot="1">
      <c r="A190">
        <v>106</v>
      </c>
      <c r="B190" s="28" t="s">
        <v>223</v>
      </c>
      <c r="C190" t="s">
        <v>7</v>
      </c>
      <c r="E190" t="s">
        <v>247</v>
      </c>
      <c r="F190" s="1">
        <v>44548</v>
      </c>
      <c r="G190">
        <v>2500</v>
      </c>
      <c r="H190" t="s">
        <v>292</v>
      </c>
      <c r="J190" s="23">
        <f>MATCH(E190,Culturas!$B$38:$B$54,0)</f>
        <v>11</v>
      </c>
      <c r="K190" s="35">
        <f>$F$174</f>
        <v>44459</v>
      </c>
      <c r="L190" s="23">
        <f t="shared" si="17"/>
        <v>189</v>
      </c>
      <c r="M190" s="68" t="s">
        <v>266</v>
      </c>
      <c r="O190" s="23" t="str">
        <f t="shared" si="14"/>
        <v>Nabo</v>
      </c>
      <c r="R190" s="10" t="str">
        <f t="shared" si="15"/>
        <v>INSERT INTO Operacao (idOperacao, designacaoOperacaoAgricola, designacaoUnidade, quantidade, dataOperacao) VALUES (189, 'Colheita', 'kg',   25000.0,  TO_DATE('18/12/Saturday', 'DD/MM/YYYY'));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N190" s="90" t="str">
        <f t="shared" si="16"/>
        <v>INSERT INTO OperacaoCultura (idOperacao, nomeParcela, dataInicial, nomeComum, variedade) VALUES (189, 'Horta nova', TO_DATE('20/09/Monday', 'DD/MM/YYYY'), 'Nabo', UPPER('S. Cosme') );</v>
      </c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</row>
    <row r="191" spans="1:59" ht="15" hidden="1" thickTop="1" thickBot="1">
      <c r="A191">
        <v>107</v>
      </c>
      <c r="B191" t="s">
        <v>225</v>
      </c>
      <c r="C191" t="s">
        <v>5</v>
      </c>
      <c r="E191" t="s">
        <v>255</v>
      </c>
      <c r="F191" s="1">
        <v>44548</v>
      </c>
      <c r="G191">
        <v>700</v>
      </c>
      <c r="H191" t="s">
        <v>267</v>
      </c>
      <c r="J191" s="23">
        <f>MATCH(E191,Culturas!$B$38:$B$54,0)</f>
        <v>17</v>
      </c>
      <c r="K191" s="139">
        <f>INDEX(Culturas!$E$2:$E$28,MATCH(Operações!E191,Culturas!$C$2:$C$29,0))</f>
        <v>43111</v>
      </c>
      <c r="L191" s="23">
        <f t="shared" si="17"/>
        <v>190</v>
      </c>
      <c r="M191" s="68" t="s">
        <v>266</v>
      </c>
      <c r="O191" s="23" t="str">
        <f t="shared" si="14"/>
        <v>Videira</v>
      </c>
      <c r="R191" s="10" t="str">
        <f t="shared" si="15"/>
        <v>INSERT INTO Operacao (idOperacao, designacaoOperacaoAgricola, designacaoUnidade, quantidade, dataOperacao) VALUES (190, 'Poda', 'un',   7000.0,  TO_DATE('18/12/Saturday', 'DD/MM/YYYY'));</v>
      </c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N191" s="90" t="str">
        <f t="shared" si="16"/>
        <v>INSERT INTO OperacaoCultura (idOperacao, nomeParcela, dataInicial, nomeComum, variedade) VALUES (190, 'Vinha', TO_DATE('11/01/Thursday', 'DD/MM/YYYY'), 'Videira', UPPER('Cardinal') );</v>
      </c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</row>
    <row r="192" spans="1:59" ht="15" hidden="1" thickTop="1" thickBot="1">
      <c r="A192">
        <v>106</v>
      </c>
      <c r="B192" s="28" t="s">
        <v>223</v>
      </c>
      <c r="C192" t="s">
        <v>7</v>
      </c>
      <c r="E192" t="s">
        <v>247</v>
      </c>
      <c r="F192" s="1">
        <v>44565</v>
      </c>
      <c r="G192">
        <v>2900</v>
      </c>
      <c r="H192" t="s">
        <v>292</v>
      </c>
      <c r="J192" s="23">
        <f>MATCH(E192,Culturas!$B$38:$B$54,0)</f>
        <v>11</v>
      </c>
      <c r="K192" s="35">
        <f>$F$174</f>
        <v>44459</v>
      </c>
      <c r="L192" s="23">
        <f t="shared" si="17"/>
        <v>191</v>
      </c>
      <c r="M192" s="68" t="s">
        <v>266</v>
      </c>
      <c r="O192" s="23" t="str">
        <f t="shared" si="14"/>
        <v>Nabo</v>
      </c>
      <c r="R192" s="10" t="str">
        <f t="shared" si="15"/>
        <v>INSERT INTO Operacao (idOperacao, designacaoOperacaoAgricola, designacaoUnidade, quantidade, dataOperacao) VALUES (191, 'Colheita', 'kg',   29000.0,  TO_DATE('04/01/Tuesday', 'DD/MM/YYYY'));</v>
      </c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N192" s="90" t="str">
        <f t="shared" si="16"/>
        <v>INSERT INTO OperacaoCultura (idOperacao, nomeParcela, dataInicial, nomeComum, variedade) VALUES (191, 'Horta nova', TO_DATE('20/09/Monday', 'DD/MM/YYYY'), 'Nabo', UPPER('S. Cosme') );</v>
      </c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</row>
    <row r="193" spans="1:59" ht="15" thickTop="1" thickBot="1">
      <c r="A193">
        <v>107</v>
      </c>
      <c r="B193" t="s">
        <v>225</v>
      </c>
      <c r="C193" t="s">
        <v>293</v>
      </c>
      <c r="E193" t="s">
        <v>254</v>
      </c>
      <c r="F193" s="1">
        <v>44581</v>
      </c>
      <c r="G193">
        <v>3</v>
      </c>
      <c r="H193" t="s">
        <v>292</v>
      </c>
      <c r="I193" t="s">
        <v>163</v>
      </c>
      <c r="J193" s="23">
        <f>MATCH(E193,Culturas!$B$38:$B$54,0)</f>
        <v>16</v>
      </c>
      <c r="K193" s="139">
        <f>INDEX(Culturas!$E$2:$E$28,MATCH(Operações!E193,Culturas!$C$2:$C$29,0))</f>
        <v>43110</v>
      </c>
      <c r="L193" s="84">
        <f t="shared" si="17"/>
        <v>192</v>
      </c>
      <c r="M193" s="68" t="s">
        <v>266</v>
      </c>
      <c r="O193" s="23" t="str">
        <f t="shared" si="14"/>
        <v>Videira</v>
      </c>
      <c r="R193" s="10" t="str">
        <f t="shared" si="15"/>
        <v>INSERT INTO Operacao (idOperacao, designacaoOperacaoAgricola, designacaoUnidade, quantidade, dataOperacao) VALUES (192, 'Aplicação fitofármaco', 'kg',   30.0,  TO_DATE('20/01/Thursday', 'DD/MM/YYYY'));</v>
      </c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N193" s="90" t="str">
        <f t="shared" si="16"/>
        <v>INSERT INTO OperacaoCultura (idOperacao, nomeParcela, dataInicial, nomeComum, variedade) VALUES (192, 'Vinha', TO_DATE('10/01/Wednesday', 'DD/MM/YYYY'), 'Videira', UPPER('Dona Maria') );</v>
      </c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</row>
    <row r="194" spans="1:59" ht="15" thickTop="1" thickBot="1">
      <c r="A194">
        <v>107</v>
      </c>
      <c r="B194" t="s">
        <v>225</v>
      </c>
      <c r="C194" t="s">
        <v>293</v>
      </c>
      <c r="E194" t="s">
        <v>255</v>
      </c>
      <c r="F194" s="1">
        <v>44581</v>
      </c>
      <c r="G194">
        <v>3.5</v>
      </c>
      <c r="H194" t="s">
        <v>292</v>
      </c>
      <c r="I194" t="s">
        <v>163</v>
      </c>
      <c r="J194" s="23">
        <f>MATCH(E194,Culturas!$B$38:$B$54,0)</f>
        <v>17</v>
      </c>
      <c r="K194" s="139">
        <f>INDEX(Culturas!$E$2:$E$28,MATCH(Operações!E194,Culturas!$C$2:$C$29,0))</f>
        <v>43111</v>
      </c>
      <c r="L194" s="84">
        <f t="shared" si="17"/>
        <v>193</v>
      </c>
      <c r="M194" s="68" t="s">
        <v>266</v>
      </c>
      <c r="O194" s="23" t="str">
        <f t="shared" si="14"/>
        <v>Videira</v>
      </c>
      <c r="R194" s="10" t="str">
        <f t="shared" si="15"/>
        <v>INSERT INTO Operacao (idOperacao, designacaoOperacaoAgricola, designacaoUnidade, quantidade, dataOperacao) VALUES (193, 'Aplicação fitofármaco', 'kg',   35.0,  TO_DATE('20/01/Thursday', 'DD/MM/YYYY'));</v>
      </c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N194" s="90" t="str">
        <f t="shared" si="16"/>
        <v>INSERT INTO OperacaoCultura (idOperacao, nomeParcela, dataInicial, nomeComum, variedade) VALUES (193, 'Vinha', TO_DATE('11/01/Thursday', 'DD/MM/YYYY'), 'Videira', UPPER('Cardinal') );</v>
      </c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</row>
    <row r="195" spans="1:59" ht="15" hidden="1" thickTop="1" thickBot="1">
      <c r="A195" s="74">
        <v>106</v>
      </c>
      <c r="B195" s="28" t="s">
        <v>223</v>
      </c>
      <c r="C195" s="75" t="s">
        <v>294</v>
      </c>
      <c r="D195" s="74"/>
      <c r="E195" s="77" t="s">
        <v>248</v>
      </c>
      <c r="F195" s="76">
        <v>44626</v>
      </c>
      <c r="G195" s="74">
        <v>0.9</v>
      </c>
      <c r="H195" s="74" t="s">
        <v>292</v>
      </c>
      <c r="I195" s="74"/>
      <c r="J195" s="74">
        <f>MATCH(E195,Culturas!$B$38:$B$54,0)</f>
        <v>12</v>
      </c>
      <c r="K195" s="76">
        <f>F195</f>
        <v>44626</v>
      </c>
      <c r="L195" s="23">
        <f t="shared" si="17"/>
        <v>194</v>
      </c>
      <c r="M195" s="68" t="s">
        <v>266</v>
      </c>
      <c r="O195" s="23" t="str">
        <f t="shared" ref="O195:O258" si="20">_xlfn.TEXTBEFORE(E195, " ")</f>
        <v>Cenoura</v>
      </c>
      <c r="R195" s="10" t="str">
        <f t="shared" ref="R195:R258" si="21" xml:space="preserve"> "INSERT INTO " &amp;$T$1&amp; " (idOperacao, designacaoOperacaoAgricola, designacaoUnidade, quantidade, dataOperacao) VALUES (" &amp;L195&amp; ", '" &amp;C195&amp; "', " &amp;IF(ISBLANK(H195), "null", "'" &amp;H195&amp; "'" )&amp; ",   "&amp;IF(ISBLANK(G195), "null",TEXT(SUBSTITUTE(G195, "%", "") * 10, "0.0"))&amp;",  TO_DATE('"&amp;TEXT(F195,"DD/MM/AAAA")&amp;"', 'DD/MM/YYYY'));"</f>
        <v>INSERT INTO Operacao (idOperacao, designacaoOperacaoAgricola, designacaoUnidade, quantidade, dataOperacao) VALUES (194, 'Sementeira', 'kg',   9.0,  TO_DATE('06/03/Sunday', 'DD/MM/YYYY'));</v>
      </c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N195" s="90" t="str">
        <f t="shared" ref="AN195:AN258" si="22" xml:space="preserve"> "INSERT INTO " &amp;$AO$1&amp; " (idOperacao, nomeParcela, dataInicial, nomeComum, variedade) VALUES (" &amp;L195&amp; ", '" &amp;B195&amp; "', TO_DATE('"&amp;TEXT(K195,"DD/MM/AAAA")&amp;"', 'DD/MM/YYYY'), '"  &amp;INDEX($D$270:$D$286,MATCH(J195,$B$270:$B$286,0))&amp; "', UPPER('" &amp;INDEX($E$270:$E$286,MATCH(J195,$B$270:$B$286,0))&amp;  "') );"</f>
        <v>INSERT INTO OperacaoCultura (idOperacao, nomeParcela, dataInicial, nomeComum, variedade) VALUES (194, 'Horta nova', TO_DATE('06/03/Sunday', 'DD/MM/YYYY'), 'Cenoura', UPPER('Sugarsnax Hybrid') );</v>
      </c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</row>
    <row r="196" spans="1:59" ht="15" hidden="1" thickTop="1" thickBot="1">
      <c r="A196" s="61">
        <v>103</v>
      </c>
      <c r="B196" s="61" t="s">
        <v>219</v>
      </c>
      <c r="C196" s="61" t="s">
        <v>296</v>
      </c>
      <c r="D196" s="61"/>
      <c r="E196" s="61" t="s">
        <v>240</v>
      </c>
      <c r="F196" s="62">
        <v>44639</v>
      </c>
      <c r="G196" s="61">
        <v>1.3</v>
      </c>
      <c r="H196" s="61" t="s">
        <v>216</v>
      </c>
      <c r="I196" s="61"/>
      <c r="J196" s="61">
        <f>MATCH(E196,Culturas!$B$38:$B$54,0)</f>
        <v>6</v>
      </c>
      <c r="K196" s="62">
        <f>$F$177</f>
        <v>44475</v>
      </c>
      <c r="L196" s="23">
        <f t="shared" ref="L196:L259" si="23">L195+1</f>
        <v>195</v>
      </c>
      <c r="M196" s="68" t="s">
        <v>266</v>
      </c>
      <c r="O196" s="23" t="str">
        <f t="shared" si="20"/>
        <v>Tremoço</v>
      </c>
      <c r="R196" s="10" t="str">
        <f t="shared" si="21"/>
        <v>INSERT INTO Operacao (idOperacao, designacaoOperacaoAgricola, designacaoUnidade, quantidade, dataOperacao) VALUES (195, 'Incorporação no solo', 'ha',   13.0,  TO_DATE('19/03/Saturday', 'DD/MM/YYYY'));</v>
      </c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N196" s="90" t="str">
        <f t="shared" si="22"/>
        <v>INSERT INTO OperacaoCultura (idOperacao, nomeParcela, dataInicial, nomeComum, variedade) VALUES (195, 'Campo do poço', TO_DATE('06/10/Wednesday', 'DD/MM/YYYY'), 'Tremoço', UPPER('Amarelo') );</v>
      </c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</row>
    <row r="197" spans="1:59" ht="15" hidden="1" thickTop="1" thickBot="1">
      <c r="A197">
        <v>101</v>
      </c>
      <c r="B197" t="s">
        <v>215</v>
      </c>
      <c r="C197" t="s">
        <v>296</v>
      </c>
      <c r="E197" t="s">
        <v>240</v>
      </c>
      <c r="F197" s="1">
        <v>44656</v>
      </c>
      <c r="G197">
        <v>1.3</v>
      </c>
      <c r="H197" t="s">
        <v>216</v>
      </c>
      <c r="J197">
        <f>MATCH(E197,Culturas!$B$38:$B$54,0)</f>
        <v>6</v>
      </c>
      <c r="K197" s="1">
        <f>F176</f>
        <v>44472</v>
      </c>
      <c r="L197" s="23">
        <f t="shared" si="23"/>
        <v>196</v>
      </c>
      <c r="M197" s="68" t="s">
        <v>266</v>
      </c>
      <c r="O197" s="23" t="str">
        <f t="shared" si="20"/>
        <v>Tremoço</v>
      </c>
      <c r="R197" s="10" t="str">
        <f t="shared" si="21"/>
        <v>INSERT INTO Operacao (idOperacao, designacaoOperacaoAgricola, designacaoUnidade, quantidade, dataOperacao) VALUES (196, 'Incorporação no solo', 'ha',   13.0,  TO_DATE('05/04/Tuesday', 'DD/MM/YYYY'));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N197" s="90" t="str">
        <f t="shared" si="22"/>
        <v>INSERT INTO OperacaoCultura (idOperacao, nomeParcela, dataInicial, nomeComum, variedade) VALUES (196, 'Campo da bouça', TO_DATE('03/10/Sunday', 'DD/MM/YYYY'), 'Tremoço', UPPER('Amarelo') );</v>
      </c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</row>
    <row r="198" spans="1:59" ht="15" hidden="1" thickTop="1" thickBot="1">
      <c r="A198" s="59">
        <v>103</v>
      </c>
      <c r="B198" s="59" t="s">
        <v>219</v>
      </c>
      <c r="C198" s="59" t="s">
        <v>294</v>
      </c>
      <c r="D198" s="59"/>
      <c r="E198" s="59" t="s">
        <v>242</v>
      </c>
      <c r="F198" s="60">
        <v>44659</v>
      </c>
      <c r="G198" s="59">
        <v>1.2</v>
      </c>
      <c r="H198" s="59" t="s">
        <v>216</v>
      </c>
      <c r="I198" s="59"/>
      <c r="J198" s="59">
        <f>MATCH(E198,Culturas!$B$38:$B$54,0)</f>
        <v>14</v>
      </c>
      <c r="K198" s="60">
        <f>F198</f>
        <v>44659</v>
      </c>
      <c r="L198" s="23">
        <f t="shared" si="23"/>
        <v>197</v>
      </c>
      <c r="M198" s="68" t="s">
        <v>266</v>
      </c>
      <c r="O198" s="23" t="str">
        <f t="shared" si="20"/>
        <v>Milho</v>
      </c>
      <c r="R198" s="10" t="str">
        <f t="shared" si="21"/>
        <v>INSERT INTO Operacao (idOperacao, designacaoOperacaoAgricola, designacaoUnidade, quantidade, dataOperacao) VALUES (197, 'Sementeira', 'ha',   12.0,  TO_DATE('08/04/Friday', 'DD/MM/YYYY'));</v>
      </c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N198" s="90" t="str">
        <f t="shared" si="22"/>
        <v>INSERT INTO OperacaoCultura (idOperacao, nomeParcela, dataInicial, nomeComum, variedade) VALUES (197, 'Campo do poço', TO_DATE('08/04/Friday', 'DD/MM/YYYY'), 'Milho', UPPER('MAS 24.C') );</v>
      </c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</row>
    <row r="199" spans="1:59" ht="15" hidden="1" thickTop="1" thickBot="1">
      <c r="A199" s="55">
        <v>101</v>
      </c>
      <c r="B199" s="55" t="s">
        <v>215</v>
      </c>
      <c r="C199" s="55" t="s">
        <v>294</v>
      </c>
      <c r="D199" s="55"/>
      <c r="E199" s="55" t="s">
        <v>241</v>
      </c>
      <c r="F199" s="56">
        <v>44666</v>
      </c>
      <c r="G199" s="55">
        <v>30</v>
      </c>
      <c r="H199" s="55" t="s">
        <v>292</v>
      </c>
      <c r="I199" s="55"/>
      <c r="J199" s="55">
        <f>MATCH(E199,Culturas!$B$38:$B$54,0)</f>
        <v>7</v>
      </c>
      <c r="K199" s="56">
        <f>F199</f>
        <v>44666</v>
      </c>
      <c r="L199" s="23">
        <f t="shared" si="23"/>
        <v>198</v>
      </c>
      <c r="M199" s="68" t="s">
        <v>266</v>
      </c>
      <c r="O199" s="23" t="str">
        <f t="shared" si="20"/>
        <v>Milho</v>
      </c>
      <c r="R199" s="10" t="str">
        <f t="shared" si="21"/>
        <v>INSERT INTO Operacao (idOperacao, designacaoOperacaoAgricola, designacaoUnidade, quantidade, dataOperacao) VALUES (198, 'Sementeira', 'kg',   300.0,  TO_DATE('15/04/Friday', 'DD/MM/YYYY'));</v>
      </c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N199" s="90" t="str">
        <f t="shared" si="22"/>
        <v>INSERT INTO OperacaoCultura (idOperacao, nomeParcela, dataInicial, nomeComum, variedade) VALUES (198, 'Campo da bouça', TO_DATE('15/04/Friday', 'DD/MM/YYYY'), 'Milho', UPPER('Doce Golden Bantam') );</v>
      </c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</row>
    <row r="200" spans="1:59" ht="15" hidden="1" thickTop="1" thickBot="1">
      <c r="A200">
        <v>106</v>
      </c>
      <c r="B200" s="28" t="s">
        <v>223</v>
      </c>
      <c r="C200" t="s">
        <v>7</v>
      </c>
      <c r="E200" s="29" t="s">
        <v>248</v>
      </c>
      <c r="F200" s="1">
        <v>44686</v>
      </c>
      <c r="G200">
        <v>2250</v>
      </c>
      <c r="H200" t="s">
        <v>292</v>
      </c>
      <c r="J200" s="23">
        <f>MATCH(E200,Culturas!$B$38:$B$54,0)</f>
        <v>12</v>
      </c>
      <c r="K200" s="35">
        <f>$F$195</f>
        <v>44626</v>
      </c>
      <c r="L200" s="23">
        <f t="shared" si="23"/>
        <v>199</v>
      </c>
      <c r="M200" s="68" t="s">
        <v>266</v>
      </c>
      <c r="O200" s="23" t="str">
        <f t="shared" si="20"/>
        <v>Cenoura</v>
      </c>
      <c r="R200" s="10" t="str">
        <f t="shared" si="21"/>
        <v>INSERT INTO Operacao (idOperacao, designacaoOperacaoAgricola, designacaoUnidade, quantidade, dataOperacao) VALUES (199, 'Colheita', 'kg',   22500.0,  TO_DATE('05/05/Thursday', 'DD/MM/YYYY'));</v>
      </c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N200" s="90" t="str">
        <f t="shared" si="22"/>
        <v>INSERT INTO OperacaoCultura (idOperacao, nomeParcela, dataInicial, nomeComum, variedade) VALUES (199, 'Horta nova', TO_DATE('06/03/Sunday', 'DD/MM/YYYY'), 'Cenoura', UPPER('Sugarsnax Hybrid') );</v>
      </c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</row>
    <row r="201" spans="1:59" ht="15" hidden="1" thickTop="1" thickBot="1">
      <c r="A201" s="40">
        <v>104</v>
      </c>
      <c r="B201" s="40" t="s">
        <v>220</v>
      </c>
      <c r="C201" s="40" t="s">
        <v>290</v>
      </c>
      <c r="D201" s="40" t="s">
        <v>297</v>
      </c>
      <c r="E201" s="37" t="s">
        <v>251</v>
      </c>
      <c r="F201" s="43">
        <v>44694</v>
      </c>
      <c r="G201" s="40">
        <v>10</v>
      </c>
      <c r="H201" s="40" t="s">
        <v>292</v>
      </c>
      <c r="I201" s="40" t="s">
        <v>180</v>
      </c>
      <c r="J201" s="40">
        <f>MATCH(E201,Culturas!$B$38:$B$54,0)</f>
        <v>3</v>
      </c>
      <c r="K201" s="142">
        <f>INDEX(Culturas!$E$2:$E$28,MATCH(Operações!E201,Culturas!$C$2:$C$29,0))</f>
        <v>42742</v>
      </c>
      <c r="L201" s="84">
        <f t="shared" si="23"/>
        <v>200</v>
      </c>
      <c r="M201" s="68" t="s">
        <v>266</v>
      </c>
      <c r="O201" s="23" t="str">
        <f t="shared" si="20"/>
        <v>Macieira</v>
      </c>
      <c r="R201" s="10" t="str">
        <f t="shared" si="21"/>
        <v>INSERT INTO Operacao (idOperacao, designacaoOperacaoAgricola, designacaoUnidade, quantidade, dataOperacao) VALUES (200, 'Fertilização', 'kg',   100.0,  TO_DATE('13/05/Friday', 'DD/MM/YYYY'));</v>
      </c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N201" s="90" t="str">
        <f t="shared" si="22"/>
        <v>INSERT INTO OperacaoCultura (idOperacao, nomeParcela, dataInicial, nomeComum, variedade) VALUES (200, 'Lameiro da ponte', TO_DATE('07/01/Saturday', 'DD/MM/YYYY'), 'Macieira', UPPER('Jonagored') );</v>
      </c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</row>
    <row r="202" spans="1:59" ht="15" hidden="1" thickTop="1" thickBot="1">
      <c r="A202" s="40">
        <v>104</v>
      </c>
      <c r="B202" s="40" t="s">
        <v>220</v>
      </c>
      <c r="C202" s="40" t="s">
        <v>290</v>
      </c>
      <c r="D202" s="40" t="s">
        <v>297</v>
      </c>
      <c r="E202" s="37" t="s">
        <v>252</v>
      </c>
      <c r="F202" s="43">
        <v>44694</v>
      </c>
      <c r="G202" s="40">
        <v>10</v>
      </c>
      <c r="H202" s="40" t="s">
        <v>292</v>
      </c>
      <c r="I202" s="40" t="s">
        <v>180</v>
      </c>
      <c r="J202" s="40">
        <f>MATCH(E202,Culturas!$B$38:$B$54,0)</f>
        <v>4</v>
      </c>
      <c r="K202" s="142">
        <f>INDEX(Culturas!$E$2:$E$28,MATCH(Operações!E202,Culturas!$C$2:$C$29,0))</f>
        <v>42743</v>
      </c>
      <c r="L202" s="84">
        <f t="shared" si="23"/>
        <v>201</v>
      </c>
      <c r="M202" s="68" t="s">
        <v>266</v>
      </c>
      <c r="O202" s="23" t="str">
        <f t="shared" si="20"/>
        <v>Macieira</v>
      </c>
      <c r="R202" s="10" t="str">
        <f t="shared" si="21"/>
        <v>INSERT INTO Operacao (idOperacao, designacaoOperacaoAgricola, designacaoUnidade, quantidade, dataOperacao) VALUES (201, 'Fertilização', 'kg',   100.0,  TO_DATE('13/05/Friday', 'DD/MM/YYYY'));</v>
      </c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N202" s="90" t="str">
        <f t="shared" si="22"/>
        <v>INSERT INTO OperacaoCultura (idOperacao, nomeParcela, dataInicial, nomeComum, variedade) VALUES (201, 'Lameiro da ponte', TO_DATE('08/01/Sunday', 'DD/MM/YYYY'), 'Macieira', UPPER('Fuji') );</v>
      </c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</row>
    <row r="203" spans="1:59" ht="15" hidden="1" thickTop="1" thickBot="1">
      <c r="A203" s="40">
        <v>104</v>
      </c>
      <c r="B203" s="40" t="s">
        <v>220</v>
      </c>
      <c r="C203" s="40" t="s">
        <v>290</v>
      </c>
      <c r="D203" s="40" t="s">
        <v>297</v>
      </c>
      <c r="E203" s="37" t="s">
        <v>253</v>
      </c>
      <c r="F203" s="43">
        <v>44694</v>
      </c>
      <c r="G203" s="40">
        <v>10</v>
      </c>
      <c r="H203" s="40" t="s">
        <v>292</v>
      </c>
      <c r="I203" s="40" t="s">
        <v>180</v>
      </c>
      <c r="J203" s="40">
        <f>MATCH(E203,Culturas!$B$38:$B$54,0)</f>
        <v>5</v>
      </c>
      <c r="K203" s="142">
        <f>INDEX(Culturas!$E$2:$E$28,MATCH(Operações!E203,Culturas!$C$2:$C$29,0))</f>
        <v>42743</v>
      </c>
      <c r="L203" s="84">
        <f t="shared" si="23"/>
        <v>202</v>
      </c>
      <c r="M203" s="68" t="s">
        <v>266</v>
      </c>
      <c r="O203" s="23" t="str">
        <f t="shared" si="20"/>
        <v>Macieira</v>
      </c>
      <c r="R203" s="10" t="str">
        <f t="shared" si="21"/>
        <v>INSERT INTO Operacao (idOperacao, designacaoOperacaoAgricola, designacaoUnidade, quantidade, dataOperacao) VALUES (202, 'Fertilização', 'kg',   100.0,  TO_DATE('13/05/Friday', 'DD/MM/YYYY'));</v>
      </c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N203" s="90" t="str">
        <f t="shared" si="22"/>
        <v>INSERT INTO OperacaoCultura (idOperacao, nomeParcela, dataInicial, nomeComum, variedade) VALUES (202, 'Lameiro da ponte', TO_DATE('08/01/Sunday', 'DD/MM/YYYY'), 'Macieira', UPPER('Royal Gala') );</v>
      </c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</row>
    <row r="204" spans="1:59" ht="15" hidden="1" thickTop="1" thickBot="1">
      <c r="A204" s="40">
        <v>104</v>
      </c>
      <c r="B204" s="40" t="s">
        <v>220</v>
      </c>
      <c r="C204" s="40" t="s">
        <v>290</v>
      </c>
      <c r="D204" s="40" t="s">
        <v>297</v>
      </c>
      <c r="E204" s="37" t="s">
        <v>253</v>
      </c>
      <c r="F204" s="43">
        <v>44694</v>
      </c>
      <c r="G204" s="40">
        <v>10</v>
      </c>
      <c r="H204" s="40" t="s">
        <v>292</v>
      </c>
      <c r="I204" s="40" t="s">
        <v>180</v>
      </c>
      <c r="J204" s="40">
        <f>MATCH(E204,Culturas!$B$38:$B$54,0)</f>
        <v>5</v>
      </c>
      <c r="K204" s="54">
        <v>43444</v>
      </c>
      <c r="L204" s="84">
        <f t="shared" si="23"/>
        <v>203</v>
      </c>
      <c r="M204" s="68" t="s">
        <v>266</v>
      </c>
      <c r="O204" s="23" t="str">
        <f t="shared" si="20"/>
        <v>Macieira</v>
      </c>
      <c r="R204" s="10" t="str">
        <f t="shared" si="21"/>
        <v>INSERT INTO Operacao (idOperacao, designacaoOperacaoAgricola, designacaoUnidade, quantidade, dataOperacao) VALUES (203, 'Fertilização', 'kg',   100.0,  TO_DATE('13/05/Friday', 'DD/MM/YYYY'));</v>
      </c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N204" s="90" t="str">
        <f t="shared" si="22"/>
        <v>INSERT INTO OperacaoCultura (idOperacao, nomeParcela, dataInicial, nomeComum, variedade) VALUES (203, 'Lameiro da ponte', TO_DATE('10/12/Monday', 'DD/MM/YYYY'), 'Macieira', UPPER('Royal Gala') );</v>
      </c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</row>
    <row r="205" spans="1:59" ht="15" hidden="1" thickTop="1" thickBot="1">
      <c r="A205">
        <v>106</v>
      </c>
      <c r="B205" s="28" t="s">
        <v>223</v>
      </c>
      <c r="C205" t="s">
        <v>7</v>
      </c>
      <c r="E205" s="29" t="s">
        <v>248</v>
      </c>
      <c r="F205" s="1">
        <v>44696</v>
      </c>
      <c r="G205">
        <v>1300</v>
      </c>
      <c r="H205" t="s">
        <v>292</v>
      </c>
      <c r="J205" s="23">
        <f>MATCH(E205,Culturas!$B$38:$B$54,0)</f>
        <v>12</v>
      </c>
      <c r="K205" s="35">
        <f>$F$195</f>
        <v>44626</v>
      </c>
      <c r="L205" s="23">
        <f t="shared" si="23"/>
        <v>204</v>
      </c>
      <c r="M205" s="68" t="s">
        <v>266</v>
      </c>
      <c r="O205" s="23" t="str">
        <f t="shared" si="20"/>
        <v>Cenoura</v>
      </c>
      <c r="R205" s="10" t="str">
        <f t="shared" si="21"/>
        <v>INSERT INTO Operacao (idOperacao, designacaoOperacaoAgricola, designacaoUnidade, quantidade, dataOperacao) VALUES (204, 'Colheita', 'kg',   13000.0,  TO_DATE('15/05/Sunday', 'DD/MM/YYYY'));</v>
      </c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N205" s="90" t="str">
        <f t="shared" si="22"/>
        <v>INSERT INTO OperacaoCultura (idOperacao, nomeParcela, dataInicial, nomeComum, variedade) VALUES (204, 'Horta nova', TO_DATE('06/03/Sunday', 'DD/MM/YYYY'), 'Cenoura', UPPER('Sugarsnax Hybrid') );</v>
      </c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</row>
    <row r="206" spans="1:59" ht="15" hidden="1" thickTop="1" thickBot="1">
      <c r="A206" s="74">
        <v>106</v>
      </c>
      <c r="B206" s="28" t="s">
        <v>223</v>
      </c>
      <c r="C206" s="75" t="s">
        <v>294</v>
      </c>
      <c r="D206" s="74"/>
      <c r="E206" s="74" t="s">
        <v>246</v>
      </c>
      <c r="F206" s="76">
        <v>44711</v>
      </c>
      <c r="G206" s="74">
        <v>0.6</v>
      </c>
      <c r="H206" s="74" t="s">
        <v>292</v>
      </c>
      <c r="I206" s="74"/>
      <c r="J206" s="74">
        <f>MATCH(E206,Culturas!$B$38:$B$54,0)</f>
        <v>10</v>
      </c>
      <c r="K206" s="76">
        <f>F206</f>
        <v>44711</v>
      </c>
      <c r="L206" s="23">
        <f t="shared" si="23"/>
        <v>205</v>
      </c>
      <c r="M206" s="68" t="s">
        <v>266</v>
      </c>
      <c r="O206" s="23" t="str">
        <f t="shared" si="20"/>
        <v>Cenoura</v>
      </c>
      <c r="R206" s="10" t="str">
        <f t="shared" si="21"/>
        <v>INSERT INTO Operacao (idOperacao, designacaoOperacaoAgricola, designacaoUnidade, quantidade, dataOperacao) VALUES (205, 'Sementeira', 'kg',   6.0,  TO_DATE('30/05/Monday', 'DD/MM/YYYY'));</v>
      </c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N206" s="90" t="str">
        <f t="shared" si="22"/>
        <v>INSERT INTO OperacaoCultura (idOperacao, nomeParcela, dataInicial, nomeComum, variedade) VALUES (205, 'Horta nova', TO_DATE('30/05/Monday', 'DD/MM/YYYY'), 'Cenoura', UPPER('Nelson Hybrid') );</v>
      </c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</row>
    <row r="207" spans="1:59" ht="15" hidden="1" thickTop="1" thickBot="1">
      <c r="A207" s="40">
        <v>104</v>
      </c>
      <c r="B207" s="40" t="s">
        <v>220</v>
      </c>
      <c r="C207" s="40" t="s">
        <v>234</v>
      </c>
      <c r="D207" s="40"/>
      <c r="E207" s="37" t="s">
        <v>251</v>
      </c>
      <c r="F207" s="43">
        <v>44717</v>
      </c>
      <c r="G207" s="40">
        <v>3</v>
      </c>
      <c r="H207" s="40" t="s">
        <v>236</v>
      </c>
      <c r="I207" s="40"/>
      <c r="J207" s="40">
        <f>MATCH(E207,Culturas!$B$38:$B$54,0)</f>
        <v>3</v>
      </c>
      <c r="K207" s="142">
        <f>INDEX(Culturas!$E$2:$E$28,MATCH(Operações!E207,Culturas!$C$2:$C$29,0))</f>
        <v>42742</v>
      </c>
      <c r="L207" s="23">
        <f t="shared" si="23"/>
        <v>206</v>
      </c>
      <c r="M207" s="68" t="s">
        <v>266</v>
      </c>
      <c r="O207" s="23" t="str">
        <f t="shared" si="20"/>
        <v>Macieira</v>
      </c>
      <c r="R207" s="10" t="str">
        <f t="shared" ref="R207:R220" si="24" xml:space="preserve"> "INSERT INTO " &amp;$T$1&amp; " (idOperacao, designacaoOperacaoAgricola, designacaoUnidade, quantidade, dataOperacao) VALUES (" &amp;L207&amp; ", '" &amp;C207&amp; "', " &amp;IF(ISBLANK(H207), "null", "'" &amp;H207&amp; "'" )&amp; ",   "&amp;IF(ISBLANK(G207), "null",TEXT(SUBSTITUTE(G207, "%", "") * 10, "0.0"))&amp;",  TO_DATE('"&amp;TEXT(F207,"DD/MM/AAAA")&amp; " - " &amp;TEXT(N207,"hh:mm") &amp;"', 'DD/MM/YYYY - HH:MI'));"</f>
        <v>INSERT INTO Operacao (idOperacao, designacaoOperacaoAgricola, designacaoUnidade, quantidade, dataOperacao) VALUES (206, 'Rega', 'm3',   30.0,  TO_DATE('05/06/Sunday - 00:00', 'DD/MM/YYYY - HH:MI'));</v>
      </c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N207" s="90" t="str">
        <f t="shared" si="22"/>
        <v>INSERT INTO OperacaoCultura (idOperacao, nomeParcela, dataInicial, nomeComum, variedade) VALUES (206, 'Lameiro da ponte', TO_DATE('07/01/Saturday', 'DD/MM/YYYY'), 'Macieira', UPPER('Jonagored') );</v>
      </c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</row>
    <row r="208" spans="1:59" ht="15" hidden="1" thickTop="1" thickBot="1">
      <c r="A208" s="40">
        <v>104</v>
      </c>
      <c r="B208" s="40" t="s">
        <v>220</v>
      </c>
      <c r="C208" s="40" t="s">
        <v>234</v>
      </c>
      <c r="D208" s="40"/>
      <c r="E208" s="37" t="s">
        <v>252</v>
      </c>
      <c r="F208" s="43">
        <v>44717</v>
      </c>
      <c r="G208" s="40">
        <v>3</v>
      </c>
      <c r="H208" s="40" t="s">
        <v>236</v>
      </c>
      <c r="I208" s="40"/>
      <c r="J208" s="40">
        <f>MATCH(E208,Culturas!$B$38:$B$54,0)</f>
        <v>4</v>
      </c>
      <c r="K208" s="142">
        <f>INDEX(Culturas!$E$2:$E$28,MATCH(Operações!E208,Culturas!$C$2:$C$29,0))</f>
        <v>42743</v>
      </c>
      <c r="L208" s="23">
        <f t="shared" si="23"/>
        <v>207</v>
      </c>
      <c r="M208" s="68" t="s">
        <v>266</v>
      </c>
      <c r="O208" s="23" t="str">
        <f t="shared" si="20"/>
        <v>Macieira</v>
      </c>
      <c r="R208" s="10" t="str">
        <f t="shared" si="24"/>
        <v>INSERT INTO Operacao (idOperacao, designacaoOperacaoAgricola, designacaoUnidade, quantidade, dataOperacao) VALUES (207, 'Rega', 'm3',   30.0,  TO_DATE('05/06/Sunday - 00:00', 'DD/MM/YYYY - HH:MI'));</v>
      </c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N208" s="90" t="str">
        <f t="shared" si="22"/>
        <v>INSERT INTO OperacaoCultura (idOperacao, nomeParcela, dataInicial, nomeComum, variedade) VALUES (207, 'Lameiro da ponte', TO_DATE('08/01/Sunday', 'DD/MM/YYYY'), 'Macieira', UPPER('Fuji') );</v>
      </c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</row>
    <row r="209" spans="1:59" ht="15" hidden="1" thickTop="1" thickBot="1">
      <c r="A209" s="40">
        <v>104</v>
      </c>
      <c r="B209" s="40" t="s">
        <v>220</v>
      </c>
      <c r="C209" s="40" t="s">
        <v>234</v>
      </c>
      <c r="D209" s="40"/>
      <c r="E209" s="37" t="s">
        <v>253</v>
      </c>
      <c r="F209" s="43">
        <v>44717</v>
      </c>
      <c r="G209" s="40">
        <v>3</v>
      </c>
      <c r="H209" s="40" t="s">
        <v>236</v>
      </c>
      <c r="I209" s="40"/>
      <c r="J209" s="40">
        <f>MATCH(E209,Culturas!$B$38:$B$54,0)</f>
        <v>5</v>
      </c>
      <c r="K209" s="142">
        <f>INDEX(Culturas!$E$2:$E$28,MATCH(Operações!E209,Culturas!$C$2:$C$29,0))</f>
        <v>42743</v>
      </c>
      <c r="L209" s="23">
        <f t="shared" si="23"/>
        <v>208</v>
      </c>
      <c r="M209" s="68" t="s">
        <v>266</v>
      </c>
      <c r="O209" s="23" t="str">
        <f t="shared" si="20"/>
        <v>Macieira</v>
      </c>
      <c r="R209" s="10" t="str">
        <f t="shared" si="24"/>
        <v>INSERT INTO Operacao (idOperacao, designacaoOperacaoAgricola, designacaoUnidade, quantidade, dataOperacao) VALUES (208, 'Rega', 'm3',   30.0,  TO_DATE('05/06/Sunday - 00:00', 'DD/MM/YYYY - HH:MI'));</v>
      </c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N209" s="90" t="str">
        <f t="shared" si="22"/>
        <v>INSERT INTO OperacaoCultura (idOperacao, nomeParcela, dataInicial, nomeComum, variedade) VALUES (208, 'Lameiro da ponte', TO_DATE('08/01/Sunday', 'DD/MM/YYYY'), 'Macieira', UPPER('Royal Gala') );</v>
      </c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</row>
    <row r="210" spans="1:59" ht="15" hidden="1" thickTop="1" thickBot="1">
      <c r="A210" s="40">
        <v>104</v>
      </c>
      <c r="B210" s="40" t="s">
        <v>220</v>
      </c>
      <c r="C210" s="40" t="s">
        <v>234</v>
      </c>
      <c r="D210" s="40"/>
      <c r="E210" s="37" t="s">
        <v>253</v>
      </c>
      <c r="F210" s="43">
        <v>44717</v>
      </c>
      <c r="G210" s="40">
        <v>3</v>
      </c>
      <c r="H210" s="40" t="s">
        <v>236</v>
      </c>
      <c r="I210" s="40"/>
      <c r="J210" s="40">
        <f>MATCH(E210,Culturas!$B$38:$B$54,0)</f>
        <v>5</v>
      </c>
      <c r="K210" s="54">
        <v>43444</v>
      </c>
      <c r="L210" s="23">
        <f t="shared" si="23"/>
        <v>209</v>
      </c>
      <c r="M210" s="68" t="s">
        <v>266</v>
      </c>
      <c r="O210" s="23" t="str">
        <f t="shared" si="20"/>
        <v>Macieira</v>
      </c>
      <c r="R210" s="10" t="str">
        <f t="shared" si="24"/>
        <v>INSERT INTO Operacao (idOperacao, designacaoOperacaoAgricola, designacaoUnidade, quantidade, dataOperacao) VALUES (209, 'Rega', 'm3',   30.0,  TO_DATE('05/06/Sunday - 00:00', 'DD/MM/YYYY - HH:MI'));</v>
      </c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N210" s="90" t="str">
        <f t="shared" si="22"/>
        <v>INSERT INTO OperacaoCultura (idOperacao, nomeParcela, dataInicial, nomeComum, variedade) VALUES (209, 'Lameiro da ponte', TO_DATE('10/12/Monday', 'DD/MM/YYYY'), 'Macieira', UPPER('Royal Gala') );</v>
      </c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</row>
    <row r="211" spans="1:59" ht="15" hidden="1" thickTop="1" thickBot="1">
      <c r="A211">
        <v>106</v>
      </c>
      <c r="B211" s="28" t="s">
        <v>223</v>
      </c>
      <c r="C211" t="s">
        <v>234</v>
      </c>
      <c r="E211" t="s">
        <v>246</v>
      </c>
      <c r="F211" s="1">
        <v>44742</v>
      </c>
      <c r="G211">
        <v>3</v>
      </c>
      <c r="H211" t="s">
        <v>236</v>
      </c>
      <c r="J211" s="23">
        <f>MATCH(E211,Culturas!$B$38:$B$54,0)</f>
        <v>10</v>
      </c>
      <c r="K211" s="35">
        <f>$F$206</f>
        <v>44711</v>
      </c>
      <c r="L211" s="23">
        <f t="shared" si="23"/>
        <v>210</v>
      </c>
      <c r="M211" s="68" t="s">
        <v>266</v>
      </c>
      <c r="O211" s="23" t="str">
        <f t="shared" si="20"/>
        <v>Cenoura</v>
      </c>
      <c r="R211" s="10" t="str">
        <f t="shared" si="24"/>
        <v>INSERT INTO Operacao (idOperacao, designacaoOperacaoAgricola, designacaoUnidade, quantidade, dataOperacao) VALUES (210, 'Rega', 'm3',   30.0,  TO_DATE('30/06/Thursday - 00:00', 'DD/MM/YYYY - HH:MI'));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N211" s="90" t="str">
        <f t="shared" si="22"/>
        <v>INSERT INTO OperacaoCultura (idOperacao, nomeParcela, dataInicial, nomeComum, variedade) VALUES (210, 'Horta nova', TO_DATE('30/05/Monday', 'DD/MM/YYYY'), 'Cenoura', UPPER('Nelson Hybrid') );</v>
      </c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</row>
    <row r="212" spans="1:59" ht="15" hidden="1" thickTop="1" thickBot="1">
      <c r="A212" s="40">
        <v>104</v>
      </c>
      <c r="B212" s="40" t="s">
        <v>220</v>
      </c>
      <c r="C212" s="40" t="s">
        <v>234</v>
      </c>
      <c r="D212" s="40"/>
      <c r="E212" s="37" t="s">
        <v>251</v>
      </c>
      <c r="F212" s="43">
        <v>44744</v>
      </c>
      <c r="G212" s="40">
        <v>5.5</v>
      </c>
      <c r="H212" s="40" t="s">
        <v>236</v>
      </c>
      <c r="I212" s="40"/>
      <c r="J212" s="40">
        <f>MATCH(E212,Culturas!$B$38:$B$54,0)</f>
        <v>3</v>
      </c>
      <c r="K212" s="142">
        <f>INDEX(Culturas!$E$2:$E$28,MATCH(Operações!E212,Culturas!$C$2:$C$29,0))</f>
        <v>42742</v>
      </c>
      <c r="L212" s="23">
        <f t="shared" si="23"/>
        <v>211</v>
      </c>
      <c r="M212" s="68" t="s">
        <v>266</v>
      </c>
      <c r="O212" s="23" t="str">
        <f t="shared" si="20"/>
        <v>Macieira</v>
      </c>
      <c r="R212" s="10" t="str">
        <f t="shared" si="24"/>
        <v>INSERT INTO Operacao (idOperacao, designacaoOperacaoAgricola, designacaoUnidade, quantidade, dataOperacao) VALUES (211, 'Rega', 'm3',   55.0,  TO_DATE('02/07/Saturday - 00:00', 'DD/MM/YYYY - HH:MI'));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N212" s="90" t="str">
        <f t="shared" si="22"/>
        <v>INSERT INTO OperacaoCultura (idOperacao, nomeParcela, dataInicial, nomeComum, variedade) VALUES (211, 'Lameiro da ponte', TO_DATE('07/01/Saturday', 'DD/MM/YYYY'), 'Macieira', UPPER('Jonagored') );</v>
      </c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</row>
    <row r="213" spans="1:59" ht="15" hidden="1" thickTop="1" thickBot="1">
      <c r="A213" s="40">
        <v>104</v>
      </c>
      <c r="B213" s="40" t="s">
        <v>220</v>
      </c>
      <c r="C213" s="40" t="s">
        <v>234</v>
      </c>
      <c r="D213" s="40"/>
      <c r="E213" s="37" t="s">
        <v>252</v>
      </c>
      <c r="F213" s="43">
        <v>44744</v>
      </c>
      <c r="G213" s="40">
        <v>5.5</v>
      </c>
      <c r="H213" s="40" t="s">
        <v>236</v>
      </c>
      <c r="I213" s="40"/>
      <c r="J213" s="40">
        <f>MATCH(E213,Culturas!$B$38:$B$54,0)</f>
        <v>4</v>
      </c>
      <c r="K213" s="142">
        <f>INDEX(Culturas!$E$2:$E$28,MATCH(Operações!E213,Culturas!$C$2:$C$29,0))</f>
        <v>42743</v>
      </c>
      <c r="L213" s="23">
        <f t="shared" si="23"/>
        <v>212</v>
      </c>
      <c r="M213" s="68" t="s">
        <v>266</v>
      </c>
      <c r="O213" s="23" t="str">
        <f t="shared" si="20"/>
        <v>Macieira</v>
      </c>
      <c r="R213" s="10" t="str">
        <f t="shared" si="24"/>
        <v>INSERT INTO Operacao (idOperacao, designacaoOperacaoAgricola, designacaoUnidade, quantidade, dataOperacao) VALUES (212, 'Rega', 'm3',   55.0,  TO_DATE('02/07/Saturday - 00:00', 'DD/MM/YYYY - HH:MI'));</v>
      </c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N213" s="90" t="str">
        <f t="shared" si="22"/>
        <v>INSERT INTO OperacaoCultura (idOperacao, nomeParcela, dataInicial, nomeComum, variedade) VALUES (212, 'Lameiro da ponte', TO_DATE('08/01/Sunday', 'DD/MM/YYYY'), 'Macieira', UPPER('Fuji') );</v>
      </c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</row>
    <row r="214" spans="1:59" ht="15" hidden="1" thickTop="1" thickBot="1">
      <c r="A214" s="40">
        <v>104</v>
      </c>
      <c r="B214" s="40" t="s">
        <v>220</v>
      </c>
      <c r="C214" s="40" t="s">
        <v>234</v>
      </c>
      <c r="D214" s="40"/>
      <c r="E214" s="37" t="s">
        <v>253</v>
      </c>
      <c r="F214" s="43">
        <v>44744</v>
      </c>
      <c r="G214" s="40">
        <v>5.5</v>
      </c>
      <c r="H214" s="40" t="s">
        <v>236</v>
      </c>
      <c r="I214" s="40"/>
      <c r="J214" s="40">
        <f>MATCH(E214,Culturas!$B$38:$B$54,0)</f>
        <v>5</v>
      </c>
      <c r="K214" s="142">
        <f>INDEX(Culturas!$E$2:$E$28,MATCH(Operações!E214,Culturas!$C$2:$C$29,0))</f>
        <v>42743</v>
      </c>
      <c r="L214" s="23">
        <f t="shared" si="23"/>
        <v>213</v>
      </c>
      <c r="M214" s="68" t="s">
        <v>266</v>
      </c>
      <c r="O214" s="23" t="str">
        <f t="shared" si="20"/>
        <v>Macieira</v>
      </c>
      <c r="R214" s="10" t="str">
        <f t="shared" si="24"/>
        <v>INSERT INTO Operacao (idOperacao, designacaoOperacaoAgricola, designacaoUnidade, quantidade, dataOperacao) VALUES (213, 'Rega', 'm3',   55.0,  TO_DATE('02/07/Saturday - 00:00', 'DD/MM/YYYY - HH:MI'));</v>
      </c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N214" s="90" t="str">
        <f t="shared" si="22"/>
        <v>INSERT INTO OperacaoCultura (idOperacao, nomeParcela, dataInicial, nomeComum, variedade) VALUES (213, 'Lameiro da ponte', TO_DATE('08/01/Sunday', 'DD/MM/YYYY'), 'Macieira', UPPER('Royal Gala') );</v>
      </c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</row>
    <row r="215" spans="1:59" ht="15" hidden="1" thickTop="1" thickBot="1">
      <c r="A215" s="40">
        <v>104</v>
      </c>
      <c r="B215" s="40" t="s">
        <v>220</v>
      </c>
      <c r="C215" s="40" t="s">
        <v>234</v>
      </c>
      <c r="D215" s="40"/>
      <c r="E215" s="37" t="s">
        <v>253</v>
      </c>
      <c r="F215" s="43">
        <v>44744</v>
      </c>
      <c r="G215" s="40">
        <v>5.5</v>
      </c>
      <c r="H215" s="40" t="s">
        <v>236</v>
      </c>
      <c r="I215" s="40"/>
      <c r="J215" s="40">
        <f>MATCH(E215,Culturas!$B$38:$B$54,0)</f>
        <v>5</v>
      </c>
      <c r="K215" s="54">
        <v>43444</v>
      </c>
      <c r="L215" s="23">
        <f t="shared" si="23"/>
        <v>214</v>
      </c>
      <c r="M215" s="68" t="s">
        <v>266</v>
      </c>
      <c r="O215" s="23" t="str">
        <f t="shared" si="20"/>
        <v>Macieira</v>
      </c>
      <c r="R215" s="10" t="str">
        <f t="shared" si="24"/>
        <v>INSERT INTO Operacao (idOperacao, designacaoOperacaoAgricola, designacaoUnidade, quantidade, dataOperacao) VALUES (214, 'Rega', 'm3',   55.0,  TO_DATE('02/07/Saturday - 00:00', 'DD/MM/YYYY - HH:MI'));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N215" s="90" t="str">
        <f t="shared" si="22"/>
        <v>INSERT INTO OperacaoCultura (idOperacao, nomeParcela, dataInicial, nomeComum, variedade) VALUES (214, 'Lameiro da ponte', TO_DATE('10/12/Monday', 'DD/MM/YYYY'), 'Macieira', UPPER('Royal Gala') );</v>
      </c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</row>
    <row r="216" spans="1:59" ht="15" hidden="1" thickTop="1" thickBot="1">
      <c r="A216">
        <v>102</v>
      </c>
      <c r="B216" t="s">
        <v>218</v>
      </c>
      <c r="C216" t="s">
        <v>234</v>
      </c>
      <c r="E216" t="s">
        <v>244</v>
      </c>
      <c r="F216" s="1">
        <v>44745</v>
      </c>
      <c r="G216">
        <v>0.8</v>
      </c>
      <c r="H216" t="s">
        <v>236</v>
      </c>
      <c r="J216" s="23">
        <f>MATCH(E216,Culturas!$B$38:$B$54,0)</f>
        <v>2</v>
      </c>
      <c r="K216" s="35">
        <f>INDEX(Culturas!$E$12:$E$13,MATCH(Operações!E216,Culturas!$C$12:$C$13,0))</f>
        <v>42653</v>
      </c>
      <c r="L216" s="23">
        <f t="shared" si="23"/>
        <v>215</v>
      </c>
      <c r="M216" s="68" t="s">
        <v>266</v>
      </c>
      <c r="O216" s="23" t="str">
        <f t="shared" si="20"/>
        <v>Oliveira</v>
      </c>
      <c r="R216" s="10" t="str">
        <f t="shared" si="24"/>
        <v>INSERT INTO Operacao (idOperacao, designacaoOperacaoAgricola, designacaoUnidade, quantidade, dataOperacao) VALUES (215, 'Rega', 'm3',   8.0,  TO_DATE('03/07/Sunday - 00:00', 'DD/MM/YYYY - HH:MI'));</v>
      </c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N216" s="90" t="str">
        <f t="shared" si="22"/>
        <v>INSERT INTO OperacaoCultura (idOperacao, nomeParcela, dataInicial, nomeComum, variedade) VALUES (215, 'Campo Grande', TO_DATE('10/10/Monday', 'DD/MM/YYYY'), 'Oliveira', UPPER('Picual') );</v>
      </c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</row>
    <row r="217" spans="1:59" ht="15" hidden="1" thickTop="1" thickBot="1">
      <c r="A217">
        <v>102</v>
      </c>
      <c r="B217" t="s">
        <v>218</v>
      </c>
      <c r="C217" t="s">
        <v>234</v>
      </c>
      <c r="E217" t="s">
        <v>243</v>
      </c>
      <c r="F217" s="1">
        <v>44745</v>
      </c>
      <c r="G217">
        <v>1.5</v>
      </c>
      <c r="H217" t="s">
        <v>236</v>
      </c>
      <c r="J217" s="23">
        <f>MATCH(E217,Culturas!$B$38:$B$54,0)</f>
        <v>1</v>
      </c>
      <c r="K217" s="35">
        <f>INDEX(Culturas!$E$12:$E$13,MATCH(Operações!E217,Culturas!$C$12:$C$13,0))</f>
        <v>42649</v>
      </c>
      <c r="L217" s="23">
        <f t="shared" si="23"/>
        <v>216</v>
      </c>
      <c r="M217" s="68" t="s">
        <v>266</v>
      </c>
      <c r="O217" s="23" t="str">
        <f t="shared" si="20"/>
        <v>Oliveira</v>
      </c>
      <c r="R217" s="10" t="str">
        <f t="shared" si="24"/>
        <v>INSERT INTO Operacao (idOperacao, designacaoOperacaoAgricola, designacaoUnidade, quantidade, dataOperacao) VALUES (216, 'Rega', 'm3',   15.0,  TO_DATE('03/07/Sunday - 00:00', 'DD/MM/YYYY - HH:MI'));</v>
      </c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N217" s="90" t="str">
        <f t="shared" si="22"/>
        <v>INSERT INTO OperacaoCultura (idOperacao, nomeParcela, dataInicial, nomeComum, variedade) VALUES (216, 'Campo Grande', TO_DATE('06/10/Thursday', 'DD/MM/YYYY'), 'Oliveira', UPPER('Galega') );</v>
      </c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</row>
    <row r="218" spans="1:59" ht="15" hidden="1" thickTop="1" thickBot="1">
      <c r="A218">
        <v>107</v>
      </c>
      <c r="B218" t="s">
        <v>225</v>
      </c>
      <c r="C218" t="s">
        <v>234</v>
      </c>
      <c r="E218" t="s">
        <v>255</v>
      </c>
      <c r="F218" s="1">
        <v>44752</v>
      </c>
      <c r="G218">
        <v>5</v>
      </c>
      <c r="H218" t="s">
        <v>236</v>
      </c>
      <c r="J218" s="23">
        <f>MATCH(E218,Culturas!$B$38:$B$54,0)</f>
        <v>17</v>
      </c>
      <c r="K218" s="139">
        <f>INDEX(Culturas!$E$2:$E$28,MATCH(Operações!E218,Culturas!$C$2:$C$29,0))</f>
        <v>43111</v>
      </c>
      <c r="L218" s="23">
        <f t="shared" si="23"/>
        <v>217</v>
      </c>
      <c r="M218" s="68" t="s">
        <v>266</v>
      </c>
      <c r="O218" s="23" t="str">
        <f t="shared" si="20"/>
        <v>Videira</v>
      </c>
      <c r="R218" s="10" t="str">
        <f t="shared" si="24"/>
        <v>INSERT INTO Operacao (idOperacao, designacaoOperacaoAgricola, designacaoUnidade, quantidade, dataOperacao) VALUES (217, 'Rega', 'm3',   50.0,  TO_DATE('10/07/Sunday - 00:00', 'DD/MM/YYYY - HH:MI'));</v>
      </c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N218" s="90" t="str">
        <f t="shared" si="22"/>
        <v>INSERT INTO OperacaoCultura (idOperacao, nomeParcela, dataInicial, nomeComum, variedade) VALUES (217, 'Vinha', TO_DATE('11/01/Thursday', 'DD/MM/YYYY'), 'Videira', UPPER('Cardinal') );</v>
      </c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</row>
    <row r="219" spans="1:59" ht="15" hidden="1" thickTop="1" thickBot="1">
      <c r="A219" s="61">
        <v>103</v>
      </c>
      <c r="B219" s="61" t="s">
        <v>219</v>
      </c>
      <c r="C219" s="61" t="s">
        <v>234</v>
      </c>
      <c r="D219" s="61"/>
      <c r="E219" s="61" t="s">
        <v>242</v>
      </c>
      <c r="F219" s="62">
        <v>44754</v>
      </c>
      <c r="G219" s="61">
        <v>15</v>
      </c>
      <c r="H219" s="61" t="s">
        <v>236</v>
      </c>
      <c r="I219" s="61"/>
      <c r="J219" s="61">
        <f>MATCH(E219,Culturas!$B$38:$B$54,0)</f>
        <v>14</v>
      </c>
      <c r="K219" s="62">
        <f>$F$198</f>
        <v>44659</v>
      </c>
      <c r="L219" s="23">
        <f t="shared" si="23"/>
        <v>218</v>
      </c>
      <c r="M219" s="68" t="s">
        <v>266</v>
      </c>
      <c r="O219" s="23" t="str">
        <f t="shared" si="20"/>
        <v>Milho</v>
      </c>
      <c r="R219" s="10" t="str">
        <f t="shared" si="24"/>
        <v>INSERT INTO Operacao (idOperacao, designacaoOperacaoAgricola, designacaoUnidade, quantidade, dataOperacao) VALUES (218, 'Rega', 'm3',   150.0,  TO_DATE('12/07/Tuesday - 00:00', 'DD/MM/YYYY - HH:MI'));</v>
      </c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N219" s="90" t="str">
        <f t="shared" si="22"/>
        <v>INSERT INTO OperacaoCultura (idOperacao, nomeParcela, dataInicial, nomeComum, variedade) VALUES (218, 'Campo do poço', TO_DATE('08/04/Friday', 'DD/MM/YYYY'), 'Milho', UPPER('MAS 24.C') );</v>
      </c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</row>
    <row r="220" spans="1:59" ht="15" hidden="1" thickTop="1" thickBot="1">
      <c r="A220">
        <v>106</v>
      </c>
      <c r="B220" s="28" t="s">
        <v>223</v>
      </c>
      <c r="C220" t="s">
        <v>234</v>
      </c>
      <c r="E220" t="s">
        <v>246</v>
      </c>
      <c r="F220" s="1">
        <v>44757</v>
      </c>
      <c r="G220">
        <v>3</v>
      </c>
      <c r="H220" t="s">
        <v>236</v>
      </c>
      <c r="J220" s="23">
        <f>MATCH(E220,Culturas!$B$38:$B$54,0)</f>
        <v>10</v>
      </c>
      <c r="K220" s="35">
        <f>$F$206</f>
        <v>44711</v>
      </c>
      <c r="L220" s="23">
        <f t="shared" si="23"/>
        <v>219</v>
      </c>
      <c r="M220" s="68" t="s">
        <v>266</v>
      </c>
      <c r="O220" s="23" t="str">
        <f t="shared" si="20"/>
        <v>Cenoura</v>
      </c>
      <c r="R220" s="10" t="str">
        <f t="shared" si="24"/>
        <v>INSERT INTO Operacao (idOperacao, designacaoOperacaoAgricola, designacaoUnidade, quantidade, dataOperacao) VALUES (219, 'Rega', 'm3',   30.0,  TO_DATE('15/07/Friday - 00:00', 'DD/MM/YYYY - HH:MI'));</v>
      </c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N220" s="90" t="str">
        <f t="shared" si="22"/>
        <v>INSERT INTO OperacaoCultura (idOperacao, nomeParcela, dataInicial, nomeComum, variedade) VALUES (219, 'Horta nova', TO_DATE('30/05/Monday', 'DD/MM/YYYY'), 'Cenoura', UPPER('Nelson Hybrid') );</v>
      </c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</row>
    <row r="221" spans="1:59" ht="15" hidden="1" thickTop="1" thickBot="1">
      <c r="A221">
        <v>107</v>
      </c>
      <c r="B221" t="s">
        <v>225</v>
      </c>
      <c r="C221" t="s">
        <v>7</v>
      </c>
      <c r="E221" t="s">
        <v>254</v>
      </c>
      <c r="F221" s="1">
        <v>44757</v>
      </c>
      <c r="G221">
        <v>600</v>
      </c>
      <c r="H221" t="s">
        <v>292</v>
      </c>
      <c r="J221" s="23">
        <f>MATCH(E221,Culturas!$B$38:$B$54,0)</f>
        <v>16</v>
      </c>
      <c r="K221" s="139">
        <f>INDEX(Culturas!$E$2:$E$28,MATCH(Operações!E221,Culturas!$C$2:$C$29,0))</f>
        <v>43110</v>
      </c>
      <c r="L221" s="23">
        <f t="shared" si="23"/>
        <v>220</v>
      </c>
      <c r="M221" s="68" t="s">
        <v>266</v>
      </c>
      <c r="O221" s="23" t="str">
        <f t="shared" si="20"/>
        <v>Videira</v>
      </c>
      <c r="R221" s="10" t="str">
        <f t="shared" si="21"/>
        <v>INSERT INTO Operacao (idOperacao, designacaoOperacaoAgricola, designacaoUnidade, quantidade, dataOperacao) VALUES (220, 'Colheita', 'kg',   6000.0,  TO_DATE('15/07/Friday', 'DD/MM/YYYY'));</v>
      </c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N221" s="90" t="str">
        <f t="shared" si="22"/>
        <v>INSERT INTO OperacaoCultura (idOperacao, nomeParcela, dataInicial, nomeComum, variedade) VALUES (220, 'Vinha', TO_DATE('10/01/Wednesday', 'DD/MM/YYYY'), 'Videira', UPPER('Dona Maria') );</v>
      </c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</row>
    <row r="222" spans="1:59" ht="15" hidden="1" thickTop="1" thickBot="1">
      <c r="A222">
        <v>107</v>
      </c>
      <c r="B222" t="s">
        <v>225</v>
      </c>
      <c r="C222" t="s">
        <v>7</v>
      </c>
      <c r="E222" t="s">
        <v>254</v>
      </c>
      <c r="F222" s="1">
        <v>44762</v>
      </c>
      <c r="G222">
        <v>500</v>
      </c>
      <c r="H222" t="s">
        <v>292</v>
      </c>
      <c r="J222" s="23">
        <f>MATCH(E222,Culturas!$B$38:$B$54,0)</f>
        <v>16</v>
      </c>
      <c r="K222" s="139">
        <f>INDEX(Culturas!$E$2:$E$28,MATCH(Operações!E222,Culturas!$C$2:$C$29,0))</f>
        <v>43110</v>
      </c>
      <c r="L222" s="23">
        <f t="shared" si="23"/>
        <v>221</v>
      </c>
      <c r="M222" s="68" t="s">
        <v>266</v>
      </c>
      <c r="O222" s="23" t="str">
        <f t="shared" si="20"/>
        <v>Videira</v>
      </c>
      <c r="R222" s="10" t="str">
        <f t="shared" si="21"/>
        <v>INSERT INTO Operacao (idOperacao, designacaoOperacaoAgricola, designacaoUnidade, quantidade, dataOperacao) VALUES (221, 'Colheita', 'kg',   5000.0,  TO_DATE('20/07/Wednesday', 'DD/MM/YYYY'));</v>
      </c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N222" s="90" t="str">
        <f t="shared" si="22"/>
        <v>INSERT INTO OperacaoCultura (idOperacao, nomeParcela, dataInicial, nomeComum, variedade) VALUES (221, 'Vinha', TO_DATE('10/01/Wednesday', 'DD/MM/YYYY'), 'Videira', UPPER('Dona Maria') );</v>
      </c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</row>
    <row r="223" spans="1:59" ht="15" hidden="1" thickTop="1" thickBot="1">
      <c r="A223" s="61">
        <v>103</v>
      </c>
      <c r="B223" s="61" t="s">
        <v>219</v>
      </c>
      <c r="C223" s="61" t="s">
        <v>234</v>
      </c>
      <c r="D223" s="61"/>
      <c r="E223" s="61" t="s">
        <v>242</v>
      </c>
      <c r="F223" s="62">
        <v>44766</v>
      </c>
      <c r="G223" s="61">
        <v>15</v>
      </c>
      <c r="H223" s="61" t="s">
        <v>236</v>
      </c>
      <c r="I223" s="61"/>
      <c r="J223" s="61">
        <f>MATCH(E223,Culturas!$B$38:$B$54,0)</f>
        <v>14</v>
      </c>
      <c r="K223" s="62">
        <f>$F$198</f>
        <v>44659</v>
      </c>
      <c r="L223" s="23">
        <f t="shared" si="23"/>
        <v>222</v>
      </c>
      <c r="M223" s="68" t="s">
        <v>266</v>
      </c>
      <c r="O223" s="23" t="str">
        <f t="shared" si="20"/>
        <v>Milho</v>
      </c>
      <c r="R223" s="10" t="str">
        <f t="shared" ref="R223:R231" si="25" xml:space="preserve"> "INSERT INTO " &amp;$T$1&amp; " (idOperacao, designacaoOperacaoAgricola, designacaoUnidade, quantidade, dataOperacao) VALUES (" &amp;L223&amp; ", '" &amp;C223&amp; "', " &amp;IF(ISBLANK(H223), "null", "'" &amp;H223&amp; "'" )&amp; ",   "&amp;IF(ISBLANK(G223), "null",TEXT(SUBSTITUTE(G223, "%", "") * 10, "0.0"))&amp;",  TO_DATE('"&amp;TEXT(F223,"DD/MM/AAAA")&amp; " - " &amp;TEXT(N223,"hh:mm") &amp;"', 'DD/MM/YYYY - HH:MI'));"</f>
        <v>INSERT INTO Operacao (idOperacao, designacaoOperacaoAgricola, designacaoUnidade, quantidade, dataOperacao) VALUES (222, 'Rega', 'm3',   150.0,  TO_DATE('24/07/Sunday - 00:00', 'DD/MM/YYYY - HH:MI'));</v>
      </c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N223" s="90" t="str">
        <f t="shared" si="22"/>
        <v>INSERT INTO OperacaoCultura (idOperacao, nomeParcela, dataInicial, nomeComum, variedade) VALUES (222, 'Campo do poço', TO_DATE('08/04/Friday', 'DD/MM/YYYY'), 'Milho', UPPER('MAS 24.C') );</v>
      </c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</row>
    <row r="224" spans="1:59" ht="15" hidden="1" thickTop="1" thickBot="1">
      <c r="A224" s="40">
        <v>104</v>
      </c>
      <c r="B224" s="40" t="s">
        <v>220</v>
      </c>
      <c r="C224" s="40" t="s">
        <v>234</v>
      </c>
      <c r="D224" s="40"/>
      <c r="E224" s="37" t="s">
        <v>251</v>
      </c>
      <c r="F224" s="43">
        <v>44772</v>
      </c>
      <c r="G224" s="40">
        <v>5</v>
      </c>
      <c r="H224" s="40" t="s">
        <v>236</v>
      </c>
      <c r="I224" s="40"/>
      <c r="J224" s="40">
        <f>MATCH(E224,Culturas!$B$38:$B$54,0)</f>
        <v>3</v>
      </c>
      <c r="K224" s="142">
        <f>INDEX(Culturas!$E$2:$E$28,MATCH(Operações!E224,Culturas!$C$2:$C$29,0))</f>
        <v>42742</v>
      </c>
      <c r="L224" s="23">
        <f t="shared" si="23"/>
        <v>223</v>
      </c>
      <c r="M224" s="68" t="s">
        <v>266</v>
      </c>
      <c r="O224" s="23" t="str">
        <f t="shared" si="20"/>
        <v>Macieira</v>
      </c>
      <c r="R224" s="10" t="str">
        <f t="shared" si="25"/>
        <v>INSERT INTO Operacao (idOperacao, designacaoOperacaoAgricola, designacaoUnidade, quantidade, dataOperacao) VALUES (223, 'Rega', 'm3',   50.0,  TO_DATE('30/07/Saturday - 00:00', 'DD/MM/YYYY - HH:MI'));</v>
      </c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N224" s="90" t="str">
        <f t="shared" si="22"/>
        <v>INSERT INTO OperacaoCultura (idOperacao, nomeParcela, dataInicial, nomeComum, variedade) VALUES (223, 'Lameiro da ponte', TO_DATE('07/01/Saturday', 'DD/MM/YYYY'), 'Macieira', UPPER('Jonagored') );</v>
      </c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</row>
    <row r="225" spans="1:59" ht="15" hidden="1" thickTop="1" thickBot="1">
      <c r="A225" s="40">
        <v>104</v>
      </c>
      <c r="B225" s="40" t="s">
        <v>220</v>
      </c>
      <c r="C225" s="40" t="s">
        <v>234</v>
      </c>
      <c r="D225" s="40"/>
      <c r="E225" s="37" t="s">
        <v>252</v>
      </c>
      <c r="F225" s="43">
        <v>44772</v>
      </c>
      <c r="G225" s="40">
        <v>5</v>
      </c>
      <c r="H225" s="40" t="s">
        <v>236</v>
      </c>
      <c r="I225" s="40"/>
      <c r="J225" s="40">
        <f>MATCH(E225,Culturas!$B$38:$B$54,0)</f>
        <v>4</v>
      </c>
      <c r="K225" s="142">
        <f>INDEX(Culturas!$E$2:$E$28,MATCH(Operações!E225,Culturas!$C$2:$C$29,0))</f>
        <v>42743</v>
      </c>
      <c r="L225" s="23">
        <f t="shared" si="23"/>
        <v>224</v>
      </c>
      <c r="M225" s="68" t="s">
        <v>266</v>
      </c>
      <c r="O225" s="23" t="str">
        <f t="shared" si="20"/>
        <v>Macieira</v>
      </c>
      <c r="R225" s="10" t="str">
        <f t="shared" si="25"/>
        <v>INSERT INTO Operacao (idOperacao, designacaoOperacaoAgricola, designacaoUnidade, quantidade, dataOperacao) VALUES (224, 'Rega', 'm3',   50.0,  TO_DATE('30/07/Saturday - 00:00', 'DD/MM/YYYY - HH:MI'));</v>
      </c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N225" s="90" t="str">
        <f t="shared" si="22"/>
        <v>INSERT INTO OperacaoCultura (idOperacao, nomeParcela, dataInicial, nomeComum, variedade) VALUES (224, 'Lameiro da ponte', TO_DATE('08/01/Sunday', 'DD/MM/YYYY'), 'Macieira', UPPER('Fuji') );</v>
      </c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</row>
    <row r="226" spans="1:59" ht="15" hidden="1" thickTop="1" thickBot="1">
      <c r="A226" s="40">
        <v>104</v>
      </c>
      <c r="B226" s="40" t="s">
        <v>220</v>
      </c>
      <c r="C226" s="40" t="s">
        <v>234</v>
      </c>
      <c r="D226" s="40"/>
      <c r="E226" s="37" t="s">
        <v>253</v>
      </c>
      <c r="F226" s="43">
        <v>44772</v>
      </c>
      <c r="G226" s="40">
        <v>5</v>
      </c>
      <c r="H226" s="40" t="s">
        <v>236</v>
      </c>
      <c r="I226" s="40"/>
      <c r="J226" s="40">
        <f>MATCH(E226,Culturas!$B$38:$B$54,0)</f>
        <v>5</v>
      </c>
      <c r="K226" s="142">
        <f>INDEX(Culturas!$E$2:$E$28,MATCH(Operações!E226,Culturas!$C$2:$C$29,0))</f>
        <v>42743</v>
      </c>
      <c r="L226" s="23">
        <f t="shared" si="23"/>
        <v>225</v>
      </c>
      <c r="M226" s="68" t="s">
        <v>266</v>
      </c>
      <c r="O226" s="23" t="str">
        <f t="shared" si="20"/>
        <v>Macieira</v>
      </c>
      <c r="R226" s="10" t="str">
        <f t="shared" si="25"/>
        <v>INSERT INTO Operacao (idOperacao, designacaoOperacaoAgricola, designacaoUnidade, quantidade, dataOperacao) VALUES (225, 'Rega', 'm3',   50.0,  TO_DATE('30/07/Saturday - 00:00', 'DD/MM/YYYY - HH:MI'));</v>
      </c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N226" s="90" t="str">
        <f t="shared" si="22"/>
        <v>INSERT INTO OperacaoCultura (idOperacao, nomeParcela, dataInicial, nomeComum, variedade) VALUES (225, 'Lameiro da ponte', TO_DATE('08/01/Sunday', 'DD/MM/YYYY'), 'Macieira', UPPER('Royal Gala') );</v>
      </c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</row>
    <row r="227" spans="1:59" ht="15" hidden="1" thickTop="1" thickBot="1">
      <c r="A227" s="40">
        <v>104</v>
      </c>
      <c r="B227" s="40" t="s">
        <v>220</v>
      </c>
      <c r="C227" s="40" t="s">
        <v>234</v>
      </c>
      <c r="D227" s="40"/>
      <c r="E227" s="37" t="s">
        <v>253</v>
      </c>
      <c r="F227" s="43">
        <v>44772</v>
      </c>
      <c r="G227" s="40">
        <v>5</v>
      </c>
      <c r="H227" s="40" t="s">
        <v>236</v>
      </c>
      <c r="I227" s="40"/>
      <c r="J227" s="40">
        <f>MATCH(E227,Culturas!$B$38:$B$54,0)</f>
        <v>5</v>
      </c>
      <c r="K227" s="54">
        <v>43444</v>
      </c>
      <c r="L227" s="23">
        <f t="shared" si="23"/>
        <v>226</v>
      </c>
      <c r="M227" s="68" t="s">
        <v>266</v>
      </c>
      <c r="O227" s="23" t="str">
        <f t="shared" si="20"/>
        <v>Macieira</v>
      </c>
      <c r="R227" s="10" t="str">
        <f t="shared" si="25"/>
        <v>INSERT INTO Operacao (idOperacao, designacaoOperacaoAgricola, designacaoUnidade, quantidade, dataOperacao) VALUES (226, 'Rega', 'm3',   50.0,  TO_DATE('30/07/Saturday - 00:00', 'DD/MM/YYYY - HH:MI'));</v>
      </c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N227" s="90" t="str">
        <f t="shared" si="22"/>
        <v>INSERT INTO OperacaoCultura (idOperacao, nomeParcela, dataInicial, nomeComum, variedade) VALUES (226, 'Lameiro da ponte', TO_DATE('10/12/Monday', 'DD/MM/YYYY'), 'Macieira', UPPER('Royal Gala') );</v>
      </c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</row>
    <row r="228" spans="1:59" ht="15" hidden="1" thickTop="1" thickBot="1">
      <c r="A228">
        <v>106</v>
      </c>
      <c r="B228" s="28" t="s">
        <v>223</v>
      </c>
      <c r="C228" t="s">
        <v>234</v>
      </c>
      <c r="E228" t="s">
        <v>246</v>
      </c>
      <c r="F228" s="1">
        <v>44772</v>
      </c>
      <c r="G228">
        <v>2.5</v>
      </c>
      <c r="H228" t="s">
        <v>236</v>
      </c>
      <c r="J228" s="23">
        <f>MATCH(E228,Culturas!$B$38:$B$54,0)</f>
        <v>10</v>
      </c>
      <c r="K228" s="35">
        <f>$F$206</f>
        <v>44711</v>
      </c>
      <c r="L228" s="23">
        <f t="shared" si="23"/>
        <v>227</v>
      </c>
      <c r="M228" s="68" t="s">
        <v>266</v>
      </c>
      <c r="O228" s="23" t="str">
        <f t="shared" si="20"/>
        <v>Cenoura</v>
      </c>
      <c r="R228" s="10" t="str">
        <f t="shared" si="25"/>
        <v>INSERT INTO Operacao (idOperacao, designacaoOperacaoAgricola, designacaoUnidade, quantidade, dataOperacao) VALUES (227, 'Rega', 'm3',   25.0,  TO_DATE('30/07/Saturday - 00:00', 'DD/MM/YYYY - HH:MI'));</v>
      </c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N228" s="90" t="str">
        <f t="shared" si="22"/>
        <v>INSERT INTO OperacaoCultura (idOperacao, nomeParcela, dataInicial, nomeComum, variedade) VALUES (227, 'Horta nova', TO_DATE('30/05/Monday', 'DD/MM/YYYY'), 'Cenoura', UPPER('Nelson Hybrid') );</v>
      </c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</row>
    <row r="229" spans="1:59" ht="15" hidden="1" thickTop="1" thickBot="1">
      <c r="A229" s="61">
        <v>103</v>
      </c>
      <c r="B229" s="61" t="s">
        <v>219</v>
      </c>
      <c r="C229" s="61" t="s">
        <v>234</v>
      </c>
      <c r="D229" s="61"/>
      <c r="E229" s="61" t="s">
        <v>242</v>
      </c>
      <c r="F229" s="62">
        <v>44780</v>
      </c>
      <c r="G229" s="61">
        <v>15</v>
      </c>
      <c r="H229" s="61" t="s">
        <v>236</v>
      </c>
      <c r="I229" s="61"/>
      <c r="J229" s="61">
        <f>MATCH(E229,Culturas!$B$38:$B$54,0)</f>
        <v>14</v>
      </c>
      <c r="K229" s="62">
        <f>$F$198</f>
        <v>44659</v>
      </c>
      <c r="L229" s="23">
        <f t="shared" si="23"/>
        <v>228</v>
      </c>
      <c r="M229" s="68" t="s">
        <v>266</v>
      </c>
      <c r="O229" s="23" t="str">
        <f t="shared" si="20"/>
        <v>Milho</v>
      </c>
      <c r="R229" s="10" t="str">
        <f t="shared" si="25"/>
        <v>INSERT INTO Operacao (idOperacao, designacaoOperacaoAgricola, designacaoUnidade, quantidade, dataOperacao) VALUES (228, 'Rega', 'm3',   150.0,  TO_DATE('07/08/Sunday - 00:00', 'DD/MM/YYYY - HH:MI'));</v>
      </c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N229" s="90" t="str">
        <f t="shared" si="22"/>
        <v>INSERT INTO OperacaoCultura (idOperacao, nomeParcela, dataInicial, nomeComum, variedade) VALUES (228, 'Campo do poço', TO_DATE('08/04/Friday', 'DD/MM/YYYY'), 'Milho', UPPER('MAS 24.C') );</v>
      </c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</row>
    <row r="230" spans="1:59" ht="15" hidden="1" thickTop="1" thickBot="1">
      <c r="A230">
        <v>102</v>
      </c>
      <c r="B230" t="s">
        <v>218</v>
      </c>
      <c r="C230" t="s">
        <v>234</v>
      </c>
      <c r="E230" t="s">
        <v>244</v>
      </c>
      <c r="F230" s="1">
        <v>44783</v>
      </c>
      <c r="G230">
        <v>0.8</v>
      </c>
      <c r="H230" t="s">
        <v>236</v>
      </c>
      <c r="J230" s="23">
        <f>MATCH(E230,Culturas!$B$38:$B$54,0)</f>
        <v>2</v>
      </c>
      <c r="K230" s="35">
        <f>INDEX(Culturas!$E$12:$E$13,MATCH(Operações!E230,Culturas!$C$12:$C$13,0))</f>
        <v>42653</v>
      </c>
      <c r="L230" s="23">
        <f t="shared" si="23"/>
        <v>229</v>
      </c>
      <c r="M230" s="68" t="s">
        <v>266</v>
      </c>
      <c r="O230" s="23" t="str">
        <f t="shared" si="20"/>
        <v>Oliveira</v>
      </c>
      <c r="R230" s="10" t="str">
        <f t="shared" si="25"/>
        <v>INSERT INTO Operacao (idOperacao, designacaoOperacaoAgricola, designacaoUnidade, quantidade, dataOperacao) VALUES (229, 'Rega', 'm3',   8.0,  TO_DATE('10/08/Wednesday - 00:00', 'DD/MM/YYYY - HH:MI'));</v>
      </c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N230" s="90" t="str">
        <f t="shared" si="22"/>
        <v>INSERT INTO OperacaoCultura (idOperacao, nomeParcela, dataInicial, nomeComum, variedade) VALUES (229, 'Campo Grande', TO_DATE('10/10/Monday', 'DD/MM/YYYY'), 'Oliveira', UPPER('Picual') );</v>
      </c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</row>
    <row r="231" spans="1:59" ht="15" hidden="1" thickTop="1" thickBot="1">
      <c r="A231">
        <v>102</v>
      </c>
      <c r="B231" t="s">
        <v>218</v>
      </c>
      <c r="C231" t="s">
        <v>234</v>
      </c>
      <c r="E231" t="s">
        <v>243</v>
      </c>
      <c r="F231" s="1">
        <v>44783</v>
      </c>
      <c r="G231">
        <v>1.5</v>
      </c>
      <c r="H231" t="s">
        <v>236</v>
      </c>
      <c r="J231" s="23">
        <f>MATCH(E231,Culturas!$B$38:$B$54,0)</f>
        <v>1</v>
      </c>
      <c r="K231" s="35">
        <f>INDEX(Culturas!$E$12:$E$13,MATCH(Operações!E231,Culturas!$C$12:$C$13,0))</f>
        <v>42649</v>
      </c>
      <c r="L231" s="23">
        <f t="shared" si="23"/>
        <v>230</v>
      </c>
      <c r="M231" s="68" t="s">
        <v>266</v>
      </c>
      <c r="O231" s="23" t="str">
        <f t="shared" si="20"/>
        <v>Oliveira</v>
      </c>
      <c r="R231" s="10" t="str">
        <f t="shared" si="25"/>
        <v>INSERT INTO Operacao (idOperacao, designacaoOperacaoAgricola, designacaoUnidade, quantidade, dataOperacao) VALUES (230, 'Rega', 'm3',   15.0,  TO_DATE('10/08/Wednesday - 00:00', 'DD/MM/YYYY - HH:MI'));</v>
      </c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N231" s="90" t="str">
        <f t="shared" si="22"/>
        <v>INSERT INTO OperacaoCultura (idOperacao, nomeParcela, dataInicial, nomeComum, variedade) VALUES (230, 'Campo Grande', TO_DATE('06/10/Thursday', 'DD/MM/YYYY'), 'Oliveira', UPPER('Galega') );</v>
      </c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</row>
    <row r="232" spans="1:59" ht="15" hidden="1" thickTop="1" thickBot="1">
      <c r="A232">
        <v>107</v>
      </c>
      <c r="B232" t="s">
        <v>225</v>
      </c>
      <c r="C232" t="s">
        <v>7</v>
      </c>
      <c r="E232" t="s">
        <v>255</v>
      </c>
      <c r="F232" s="1">
        <v>44785</v>
      </c>
      <c r="G232">
        <v>1200</v>
      </c>
      <c r="H232" t="s">
        <v>292</v>
      </c>
      <c r="J232" s="23">
        <f>MATCH(E232,Culturas!$B$38:$B$54,0)</f>
        <v>17</v>
      </c>
      <c r="K232" s="139">
        <f>INDEX(Culturas!$E$2:$E$28,MATCH(Operações!E232,Culturas!$C$2:$C$29,0))</f>
        <v>43111</v>
      </c>
      <c r="L232" s="23">
        <f t="shared" si="23"/>
        <v>231</v>
      </c>
      <c r="M232" s="68" t="s">
        <v>266</v>
      </c>
      <c r="O232" s="23" t="str">
        <f t="shared" si="20"/>
        <v>Videira</v>
      </c>
      <c r="R232" s="10" t="str">
        <f t="shared" si="21"/>
        <v>INSERT INTO Operacao (idOperacao, designacaoOperacaoAgricola, designacaoUnidade, quantidade, dataOperacao) VALUES (231, 'Colheita', 'kg',   12000.0,  TO_DATE('12/08/Friday', 'DD/MM/YYYY'));</v>
      </c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N232" s="90" t="str">
        <f t="shared" si="22"/>
        <v>INSERT INTO OperacaoCultura (idOperacao, nomeParcela, dataInicial, nomeComum, variedade) VALUES (231, 'Vinha', TO_DATE('11/01/Thursday', 'DD/MM/YYYY'), 'Videira', UPPER('Cardinal') );</v>
      </c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</row>
    <row r="233" spans="1:59" ht="15" hidden="1" thickTop="1" thickBot="1">
      <c r="A233">
        <v>107</v>
      </c>
      <c r="B233" t="s">
        <v>225</v>
      </c>
      <c r="C233" t="s">
        <v>7</v>
      </c>
      <c r="E233" t="s">
        <v>255</v>
      </c>
      <c r="F233" s="1">
        <v>44785</v>
      </c>
      <c r="G233">
        <v>600</v>
      </c>
      <c r="H233" t="s">
        <v>292</v>
      </c>
      <c r="J233" s="23">
        <f>MATCH(E233,Culturas!$B$38:$B$54,0)</f>
        <v>17</v>
      </c>
      <c r="K233" s="139">
        <f>INDEX(Culturas!$E$2:$E$28,MATCH(Operações!E233,Culturas!$C$2:$C$29,0))</f>
        <v>43111</v>
      </c>
      <c r="L233" s="23">
        <f t="shared" si="23"/>
        <v>232</v>
      </c>
      <c r="M233" s="68" t="s">
        <v>266</v>
      </c>
      <c r="O233" s="23" t="str">
        <f t="shared" si="20"/>
        <v>Videira</v>
      </c>
      <c r="R233" s="10" t="str">
        <f t="shared" si="21"/>
        <v>INSERT INTO Operacao (idOperacao, designacaoOperacaoAgricola, designacaoUnidade, quantidade, dataOperacao) VALUES (232, 'Colheita', 'kg',   6000.0,  TO_DATE('12/08/Friday', 'DD/MM/YYYY'));</v>
      </c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N233" s="90" t="str">
        <f t="shared" si="22"/>
        <v>INSERT INTO OperacaoCultura (idOperacao, nomeParcela, dataInicial, nomeComum, variedade) VALUES (232, 'Vinha', TO_DATE('11/01/Thursday', 'DD/MM/YYYY'), 'Videira', UPPER('Cardinal') );</v>
      </c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</row>
    <row r="234" spans="1:59" ht="15" hidden="1" thickTop="1" thickBot="1">
      <c r="A234">
        <v>101</v>
      </c>
      <c r="B234" t="s">
        <v>215</v>
      </c>
      <c r="C234" t="s">
        <v>7</v>
      </c>
      <c r="E234" t="s">
        <v>241</v>
      </c>
      <c r="F234" s="1">
        <v>44790</v>
      </c>
      <c r="G234">
        <v>3500</v>
      </c>
      <c r="H234" t="s">
        <v>292</v>
      </c>
      <c r="J234" s="23">
        <f>MATCH(E234,Culturas!$B$38:$B$54,0)</f>
        <v>7</v>
      </c>
      <c r="K234" s="35">
        <f>F199</f>
        <v>44666</v>
      </c>
      <c r="L234" s="23">
        <f t="shared" si="23"/>
        <v>233</v>
      </c>
      <c r="M234" s="68" t="s">
        <v>266</v>
      </c>
      <c r="O234" s="23" t="str">
        <f t="shared" si="20"/>
        <v>Milho</v>
      </c>
      <c r="R234" s="10" t="str">
        <f t="shared" si="21"/>
        <v>INSERT INTO Operacao (idOperacao, designacaoOperacaoAgricola, designacaoUnidade, quantidade, dataOperacao) VALUES (233, 'Colheita', 'kg',   35000.0,  TO_DATE('17/08/Wednesday', 'DD/MM/YYYY'));</v>
      </c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N234" s="90" t="str">
        <f t="shared" si="22"/>
        <v>INSERT INTO OperacaoCultura (idOperacao, nomeParcela, dataInicial, nomeComum, variedade) VALUES (233, 'Campo da bouça', TO_DATE('15/04/Friday', 'DD/MM/YYYY'), 'Milho', UPPER('Doce Golden Bantam') );</v>
      </c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</row>
    <row r="235" spans="1:59" ht="15" hidden="1" thickTop="1" thickBot="1">
      <c r="A235">
        <v>106</v>
      </c>
      <c r="B235" s="28" t="s">
        <v>223</v>
      </c>
      <c r="C235" t="s">
        <v>234</v>
      </c>
      <c r="E235" t="s">
        <v>246</v>
      </c>
      <c r="F235" s="1">
        <v>44790</v>
      </c>
      <c r="G235">
        <v>3</v>
      </c>
      <c r="H235" t="s">
        <v>236</v>
      </c>
      <c r="J235" s="23">
        <f>MATCH(E235,Culturas!$B$38:$B$54,0)</f>
        <v>10</v>
      </c>
      <c r="K235" s="35">
        <f>$F$206</f>
        <v>44711</v>
      </c>
      <c r="L235" s="23">
        <f t="shared" si="23"/>
        <v>234</v>
      </c>
      <c r="M235" s="68" t="s">
        <v>266</v>
      </c>
      <c r="O235" s="23" t="str">
        <f t="shared" si="20"/>
        <v>Cenoura</v>
      </c>
      <c r="R235" s="10" t="str">
        <f xml:space="preserve"> "INSERT INTO " &amp;$T$1&amp; " (idOperacao, designacaoOperacaoAgricola, designacaoUnidade, quantidade, dataOperacao) VALUES (" &amp;L235&amp; ", '" &amp;C235&amp; "', " &amp;IF(ISBLANK(H235), "null", "'" &amp;H235&amp; "'" )&amp; ",   "&amp;IF(ISBLANK(G235), "null",TEXT(SUBSTITUTE(G235, "%", "") * 10, "0.0"))&amp;",  TO_DATE('"&amp;TEXT(F235,"DD/MM/AAAA")&amp; " - " &amp;TEXT(N235,"hh:mm") &amp;"', 'DD/MM/YYYY - HH:MI'));"</f>
        <v>INSERT INTO Operacao (idOperacao, designacaoOperacaoAgricola, designacaoUnidade, quantidade, dataOperacao) VALUES (234, 'Rega', 'm3',   30.0,  TO_DATE('17/08/Wednesday - 00:00', 'DD/MM/YYYY - HH:MI'));</v>
      </c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N235" s="90" t="str">
        <f t="shared" si="22"/>
        <v>INSERT INTO OperacaoCultura (idOperacao, nomeParcela, dataInicial, nomeComum, variedade) VALUES (234, 'Horta nova', TO_DATE('30/05/Monday', 'DD/MM/YYYY'), 'Cenoura', UPPER('Nelson Hybrid') );</v>
      </c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</row>
    <row r="236" spans="1:59" ht="15" hidden="1" thickTop="1" thickBot="1">
      <c r="A236" s="61">
        <v>103</v>
      </c>
      <c r="B236" s="61" t="s">
        <v>219</v>
      </c>
      <c r="C236" s="61" t="s">
        <v>7</v>
      </c>
      <c r="D236" s="61"/>
      <c r="E236" s="61" t="s">
        <v>242</v>
      </c>
      <c r="F236" s="62">
        <v>44791</v>
      </c>
      <c r="G236" s="61">
        <v>3300</v>
      </c>
      <c r="H236" s="61" t="s">
        <v>292</v>
      </c>
      <c r="I236" s="61"/>
      <c r="J236" s="61">
        <f>MATCH(E236,Culturas!$B$38:$B$54,0)</f>
        <v>14</v>
      </c>
      <c r="K236" s="62">
        <f>$F$198</f>
        <v>44659</v>
      </c>
      <c r="L236" s="23">
        <f t="shared" si="23"/>
        <v>235</v>
      </c>
      <c r="M236" s="68" t="s">
        <v>266</v>
      </c>
      <c r="O236" s="23" t="str">
        <f t="shared" si="20"/>
        <v>Milho</v>
      </c>
      <c r="R236" s="10" t="str">
        <f t="shared" si="21"/>
        <v>INSERT INTO Operacao (idOperacao, designacaoOperacaoAgricola, designacaoUnidade, quantidade, dataOperacao) VALUES (235, 'Colheita', 'kg',   33000.0,  TO_DATE('18/08/Thursday', 'DD/MM/YYYY'));</v>
      </c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N236" s="90" t="str">
        <f t="shared" si="22"/>
        <v>INSERT INTO OperacaoCultura (idOperacao, nomeParcela, dataInicial, nomeComum, variedade) VALUES (235, 'Campo do poço', TO_DATE('08/04/Friday', 'DD/MM/YYYY'), 'Milho', UPPER('MAS 24.C') );</v>
      </c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</row>
    <row r="237" spans="1:59" ht="15" hidden="1" thickTop="1" thickBot="1">
      <c r="A237" s="51">
        <v>104</v>
      </c>
      <c r="B237" s="51" t="s">
        <v>220</v>
      </c>
      <c r="C237" s="51" t="s">
        <v>7</v>
      </c>
      <c r="D237" s="51"/>
      <c r="E237" s="103" t="s">
        <v>253</v>
      </c>
      <c r="F237" s="52">
        <v>44793</v>
      </c>
      <c r="G237" s="51">
        <v>950</v>
      </c>
      <c r="H237" s="51" t="s">
        <v>292</v>
      </c>
      <c r="I237" s="51"/>
      <c r="J237" s="51">
        <f>MATCH(E237,Culturas!$B$38:$B$54,0)</f>
        <v>5</v>
      </c>
      <c r="K237" s="144">
        <f>INDEX(Culturas!$E$2:$E$28,MATCH(Operações!E237,Culturas!$C$2:$C$29,0))</f>
        <v>42743</v>
      </c>
      <c r="L237" s="23">
        <f t="shared" si="23"/>
        <v>236</v>
      </c>
      <c r="M237" s="68" t="s">
        <v>266</v>
      </c>
      <c r="O237" s="23" t="str">
        <f t="shared" si="20"/>
        <v>Macieira</v>
      </c>
      <c r="R237" s="10" t="str">
        <f t="shared" si="21"/>
        <v>INSERT INTO Operacao (idOperacao, designacaoOperacaoAgricola, designacaoUnidade, quantidade, dataOperacao) VALUES (236, 'Colheita', 'kg',   9500.0,  TO_DATE('20/08/Saturday', 'DD/MM/YYYY'));</v>
      </c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N237" s="90" t="str">
        <f t="shared" si="22"/>
        <v>INSERT INTO OperacaoCultura (idOperacao, nomeParcela, dataInicial, nomeComum, variedade) VALUES (236, 'Lameiro da ponte', TO_DATE('08/01/Sunday', 'DD/MM/YYYY'), 'Macieira', UPPER('Royal Gala') );</v>
      </c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</row>
    <row r="238" spans="1:59" ht="15" hidden="1" thickTop="1" thickBot="1">
      <c r="A238" s="51">
        <v>104</v>
      </c>
      <c r="B238" s="51" t="s">
        <v>220</v>
      </c>
      <c r="C238" s="51" t="s">
        <v>7</v>
      </c>
      <c r="D238" s="51"/>
      <c r="E238" s="51" t="s">
        <v>253</v>
      </c>
      <c r="F238" s="52">
        <v>44793</v>
      </c>
      <c r="G238" s="51">
        <v>950</v>
      </c>
      <c r="H238" s="51" t="s">
        <v>292</v>
      </c>
      <c r="I238" s="51"/>
      <c r="J238" s="51">
        <f>MATCH(E238,Culturas!$B$38:$B$54,0)</f>
        <v>5</v>
      </c>
      <c r="K238" s="53">
        <v>43444</v>
      </c>
      <c r="L238" s="23">
        <f t="shared" si="23"/>
        <v>237</v>
      </c>
      <c r="M238" s="68" t="s">
        <v>266</v>
      </c>
      <c r="O238" s="23" t="str">
        <f t="shared" si="20"/>
        <v>Macieira</v>
      </c>
      <c r="R238" s="10" t="str">
        <f t="shared" si="21"/>
        <v>INSERT INTO Operacao (idOperacao, designacaoOperacaoAgricola, designacaoUnidade, quantidade, dataOperacao) VALUES (237, 'Colheita', 'kg',   9500.0,  TO_DATE('20/08/Saturday', 'DD/MM/YYYY'));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N238" s="90" t="str">
        <f t="shared" si="22"/>
        <v>INSERT INTO OperacaoCultura (idOperacao, nomeParcela, dataInicial, nomeComum, variedade) VALUES (237, 'Lameiro da ponte', TO_DATE('10/12/Monday', 'DD/MM/YYYY'), 'Macieira', UPPER('Royal Gala') );</v>
      </c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</row>
    <row r="239" spans="1:59" ht="15" hidden="1" thickTop="1" thickBot="1">
      <c r="A239">
        <v>106</v>
      </c>
      <c r="B239" s="28" t="s">
        <v>223</v>
      </c>
      <c r="C239" t="s">
        <v>7</v>
      </c>
      <c r="E239" t="s">
        <v>246</v>
      </c>
      <c r="F239" s="1">
        <v>44797</v>
      </c>
      <c r="G239">
        <v>650</v>
      </c>
      <c r="H239" t="s">
        <v>292</v>
      </c>
      <c r="J239" s="23">
        <f>MATCH(E239,Culturas!$B$38:$B$54,0)</f>
        <v>10</v>
      </c>
      <c r="K239" s="35">
        <f>$F$206</f>
        <v>44711</v>
      </c>
      <c r="L239" s="23">
        <f t="shared" si="23"/>
        <v>238</v>
      </c>
      <c r="M239" s="68" t="s">
        <v>266</v>
      </c>
      <c r="O239" s="23" t="str">
        <f t="shared" si="20"/>
        <v>Cenoura</v>
      </c>
      <c r="R239" s="10" t="str">
        <f t="shared" si="21"/>
        <v>INSERT INTO Operacao (idOperacao, designacaoOperacaoAgricola, designacaoUnidade, quantidade, dataOperacao) VALUES (238, 'Colheita', 'kg',   6500.0,  TO_DATE('24/08/Wednesday', 'DD/MM/YYYY'));</v>
      </c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N239" s="90" t="str">
        <f t="shared" si="22"/>
        <v>INSERT INTO OperacaoCultura (idOperacao, nomeParcela, dataInicial, nomeComum, variedade) VALUES (238, 'Horta nova', TO_DATE('30/05/Monday', 'DD/MM/YYYY'), 'Cenoura', UPPER('Nelson Hybrid') );</v>
      </c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</row>
    <row r="240" spans="1:59" ht="15" hidden="1" thickTop="1" thickBot="1">
      <c r="A240">
        <v>106</v>
      </c>
      <c r="B240" s="28" t="s">
        <v>223</v>
      </c>
      <c r="C240" t="s">
        <v>7</v>
      </c>
      <c r="E240" t="s">
        <v>246</v>
      </c>
      <c r="F240" s="1">
        <v>44809</v>
      </c>
      <c r="G240">
        <v>1900</v>
      </c>
      <c r="H240" t="s">
        <v>292</v>
      </c>
      <c r="J240" s="23">
        <f>MATCH(E240,Culturas!$B$38:$B$54,0)</f>
        <v>10</v>
      </c>
      <c r="K240" s="35">
        <f>$F$206</f>
        <v>44711</v>
      </c>
      <c r="L240" s="23">
        <f t="shared" si="23"/>
        <v>239</v>
      </c>
      <c r="M240" s="68" t="s">
        <v>266</v>
      </c>
      <c r="O240" s="23" t="str">
        <f t="shared" si="20"/>
        <v>Cenoura</v>
      </c>
      <c r="R240" s="10" t="str">
        <f t="shared" si="21"/>
        <v>INSERT INTO Operacao (idOperacao, designacaoOperacaoAgricola, designacaoUnidade, quantidade, dataOperacao) VALUES (239, 'Colheita', 'kg',   19000.0,  TO_DATE('05/09/Monday', 'DD/MM/YYYY'));</v>
      </c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N240" s="90" t="str">
        <f t="shared" si="22"/>
        <v>INSERT INTO OperacaoCultura (idOperacao, nomeParcela, dataInicial, nomeComum, variedade) VALUES (239, 'Horta nova', TO_DATE('30/05/Monday', 'DD/MM/YYYY'), 'Cenoura', UPPER('Nelson Hybrid') );</v>
      </c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</row>
    <row r="241" spans="1:59" ht="15" hidden="1" thickTop="1" thickBot="1">
      <c r="A241" s="51">
        <v>104</v>
      </c>
      <c r="B241" s="51" t="s">
        <v>220</v>
      </c>
      <c r="C241" s="51" t="s">
        <v>7</v>
      </c>
      <c r="D241" s="51"/>
      <c r="E241" s="51" t="s">
        <v>253</v>
      </c>
      <c r="F241" s="52">
        <v>44811</v>
      </c>
      <c r="G241" s="51">
        <v>830</v>
      </c>
      <c r="H241" s="51" t="s">
        <v>292</v>
      </c>
      <c r="I241" s="51"/>
      <c r="J241" s="51">
        <f>MATCH(E241,Culturas!$B$38:$B$54,0)</f>
        <v>5</v>
      </c>
      <c r="K241" s="144">
        <f>INDEX(Culturas!$E$2:$E$28,MATCH(Operações!E241,Culturas!$C$2:$C$29,0))</f>
        <v>42743</v>
      </c>
      <c r="L241" s="23">
        <f t="shared" si="23"/>
        <v>240</v>
      </c>
      <c r="M241" s="68" t="s">
        <v>266</v>
      </c>
      <c r="O241" s="23" t="str">
        <f t="shared" si="20"/>
        <v>Macieira</v>
      </c>
      <c r="R241" s="10" t="str">
        <f t="shared" si="21"/>
        <v>INSERT INTO Operacao (idOperacao, designacaoOperacaoAgricola, designacaoUnidade, quantidade, dataOperacao) VALUES (240, 'Colheita', 'kg',   8300.0,  TO_DATE('07/09/Wednesday', 'DD/MM/YYYY'));</v>
      </c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N241" s="90" t="str">
        <f t="shared" si="22"/>
        <v>INSERT INTO OperacaoCultura (idOperacao, nomeParcela, dataInicial, nomeComum, variedade) VALUES (240, 'Lameiro da ponte', TO_DATE('08/01/Sunday', 'DD/MM/YYYY'), 'Macieira', UPPER('Royal Gala') );</v>
      </c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</row>
    <row r="242" spans="1:59" ht="15" hidden="1" thickTop="1" thickBot="1">
      <c r="A242" s="51">
        <v>104</v>
      </c>
      <c r="B242" s="51" t="s">
        <v>220</v>
      </c>
      <c r="C242" s="51" t="s">
        <v>7</v>
      </c>
      <c r="D242" s="51"/>
      <c r="E242" s="51" t="s">
        <v>253</v>
      </c>
      <c r="F242" s="52">
        <v>44811</v>
      </c>
      <c r="G242" s="51">
        <v>830</v>
      </c>
      <c r="H242" s="51" t="s">
        <v>292</v>
      </c>
      <c r="I242" s="51"/>
      <c r="J242" s="51">
        <f>MATCH(E242,Culturas!$B$38:$B$54,0)</f>
        <v>5</v>
      </c>
      <c r="K242" s="53">
        <v>43444</v>
      </c>
      <c r="L242" s="23">
        <f t="shared" si="23"/>
        <v>241</v>
      </c>
      <c r="M242" s="68" t="s">
        <v>266</v>
      </c>
      <c r="O242" s="23" t="str">
        <f t="shared" si="20"/>
        <v>Macieira</v>
      </c>
      <c r="R242" s="10" t="str">
        <f t="shared" si="21"/>
        <v>INSERT INTO Operacao (idOperacao, designacaoOperacaoAgricola, designacaoUnidade, quantidade, dataOperacao) VALUES (241, 'Colheita', 'kg',   8300.0,  TO_DATE('07/09/Wednesday', 'DD/MM/YYYY'));</v>
      </c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N242" s="90" t="str">
        <f t="shared" si="22"/>
        <v>INSERT INTO OperacaoCultura (idOperacao, nomeParcela, dataInicial, nomeComum, variedade) VALUES (241, 'Lameiro da ponte', TO_DATE('10/12/Monday', 'DD/MM/YYYY'), 'Macieira', UPPER('Royal Gala') );</v>
      </c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</row>
    <row r="243" spans="1:59" ht="15" hidden="1" thickTop="1" thickBot="1">
      <c r="A243">
        <v>104</v>
      </c>
      <c r="B243" t="s">
        <v>220</v>
      </c>
      <c r="C243" t="s">
        <v>7</v>
      </c>
      <c r="E243" t="s">
        <v>251</v>
      </c>
      <c r="F243" s="1">
        <v>44815</v>
      </c>
      <c r="G243">
        <v>750</v>
      </c>
      <c r="H243" t="s">
        <v>292</v>
      </c>
      <c r="J243" s="23">
        <f>MATCH(E243,Culturas!$B$38:$B$54,0)</f>
        <v>3</v>
      </c>
      <c r="K243" s="139">
        <f>INDEX(Culturas!$E$2:$E$28,MATCH(Operações!E243,Culturas!$C$2:$C$29,0))</f>
        <v>42742</v>
      </c>
      <c r="L243" s="23">
        <f t="shared" si="23"/>
        <v>242</v>
      </c>
      <c r="M243" s="68" t="s">
        <v>266</v>
      </c>
      <c r="O243" s="23" t="str">
        <f t="shared" si="20"/>
        <v>Macieira</v>
      </c>
      <c r="R243" s="10" t="str">
        <f t="shared" si="21"/>
        <v>INSERT INTO Operacao (idOperacao, designacaoOperacaoAgricola, designacaoUnidade, quantidade, dataOperacao) VALUES (242, 'Colheita', 'kg',   7500.0,  TO_DATE('11/09/Sunday', 'DD/MM/YYYY'));</v>
      </c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N243" s="90" t="str">
        <f t="shared" si="22"/>
        <v>INSERT INTO OperacaoCultura (idOperacao, nomeParcela, dataInicial, nomeComum, variedade) VALUES (242, 'Lameiro da ponte', TO_DATE('07/01/Saturday', 'DD/MM/YYYY'), 'Macieira', UPPER('Jonagored') );</v>
      </c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</row>
    <row r="244" spans="1:59" ht="15" hidden="1" thickTop="1" thickBot="1">
      <c r="A244">
        <v>104</v>
      </c>
      <c r="B244" t="s">
        <v>220</v>
      </c>
      <c r="C244" t="s">
        <v>7</v>
      </c>
      <c r="E244" t="s">
        <v>251</v>
      </c>
      <c r="F244" s="1">
        <v>44824</v>
      </c>
      <c r="G244">
        <v>1150</v>
      </c>
      <c r="H244" t="s">
        <v>292</v>
      </c>
      <c r="J244" s="23">
        <f>MATCH(E244,Culturas!$B$38:$B$54,0)</f>
        <v>3</v>
      </c>
      <c r="K244" s="139">
        <f>INDEX(Culturas!$E$2:$E$28,MATCH(Operações!E244,Culturas!$C$2:$C$29,0))</f>
        <v>42742</v>
      </c>
      <c r="L244" s="23">
        <f t="shared" si="23"/>
        <v>243</v>
      </c>
      <c r="M244" s="68" t="s">
        <v>266</v>
      </c>
      <c r="O244" s="23" t="str">
        <f t="shared" si="20"/>
        <v>Macieira</v>
      </c>
      <c r="R244" s="10" t="str">
        <f t="shared" si="21"/>
        <v>INSERT INTO Operacao (idOperacao, designacaoOperacaoAgricola, designacaoUnidade, quantidade, dataOperacao) VALUES (243, 'Colheita', 'kg',   11500.0,  TO_DATE('20/09/Tuesday', 'DD/MM/YYYY'));</v>
      </c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N244" s="90" t="str">
        <f t="shared" si="22"/>
        <v>INSERT INTO OperacaoCultura (idOperacao, nomeParcela, dataInicial, nomeComum, variedade) VALUES (243, 'Lameiro da ponte', TO_DATE('07/01/Saturday', 'DD/MM/YYYY'), 'Macieira', UPPER('Jonagored') );</v>
      </c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</row>
    <row r="245" spans="1:59" ht="15" hidden="1" thickTop="1" thickBot="1">
      <c r="A245" s="28">
        <v>106</v>
      </c>
      <c r="B245" s="28" t="s">
        <v>223</v>
      </c>
      <c r="C245" s="73" t="s">
        <v>294</v>
      </c>
      <c r="D245" s="28"/>
      <c r="E245" s="28" t="s">
        <v>250</v>
      </c>
      <c r="F245" s="72">
        <v>44824</v>
      </c>
      <c r="G245" s="28">
        <v>0.6</v>
      </c>
      <c r="H245" s="28" t="s">
        <v>292</v>
      </c>
      <c r="I245" s="28"/>
      <c r="J245" s="28">
        <f>MATCH(E245,Culturas!$B$38:$B$54,0)</f>
        <v>15</v>
      </c>
      <c r="K245" s="72">
        <f>INDEX(Culturas!$E$14:$E$22,MATCH(Operações!E245,Culturas!$C$14:$C$22,0))</f>
        <v>44824</v>
      </c>
      <c r="L245" s="23">
        <f t="shared" si="23"/>
        <v>244</v>
      </c>
      <c r="M245" s="68" t="s">
        <v>266</v>
      </c>
      <c r="O245" s="23" t="str">
        <f t="shared" si="20"/>
        <v>Nabo</v>
      </c>
      <c r="R245" s="10" t="str">
        <f t="shared" si="21"/>
        <v>INSERT INTO Operacao (idOperacao, designacaoOperacaoAgricola, designacaoUnidade, quantidade, dataOperacao) VALUES (244, 'Sementeira', 'kg',   6.0,  TO_DATE('20/09/Tuesday', 'DD/MM/YYYY'));</v>
      </c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N245" s="90" t="str">
        <f t="shared" si="22"/>
        <v>INSERT INTO OperacaoCultura (idOperacao, nomeParcela, dataInicial, nomeComum, variedade) VALUES (244, 'Horta nova', TO_DATE('20/09/Tuesday', 'DD/MM/YYYY'), 'Nabo greleiro', UPPER('Senhora Conceição') );</v>
      </c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</row>
    <row r="246" spans="1:59" ht="15" hidden="1" thickTop="1" thickBot="1">
      <c r="A246" s="59">
        <v>103</v>
      </c>
      <c r="B246" s="59" t="s">
        <v>219</v>
      </c>
      <c r="C246" s="59" t="s">
        <v>294</v>
      </c>
      <c r="D246" s="59"/>
      <c r="E246" s="59" t="s">
        <v>240</v>
      </c>
      <c r="F246" s="60">
        <v>44846</v>
      </c>
      <c r="G246" s="59">
        <v>1.3</v>
      </c>
      <c r="H246" s="59" t="s">
        <v>216</v>
      </c>
      <c r="I246" s="59"/>
      <c r="J246" s="59">
        <f>MATCH(E246,Culturas!$B$38:$B$54,0)</f>
        <v>6</v>
      </c>
      <c r="K246" s="60">
        <f>F246</f>
        <v>44846</v>
      </c>
      <c r="L246" s="23">
        <f t="shared" si="23"/>
        <v>245</v>
      </c>
      <c r="M246" s="68" t="s">
        <v>266</v>
      </c>
      <c r="O246" s="23" t="str">
        <f t="shared" si="20"/>
        <v>Tremoço</v>
      </c>
      <c r="R246" s="10" t="str">
        <f t="shared" si="21"/>
        <v>INSERT INTO Operacao (idOperacao, designacaoOperacaoAgricola, designacaoUnidade, quantidade, dataOperacao) VALUES (245, 'Sementeira', 'ha',   13.0,  TO_DATE('12/10/Wednesday', 'DD/MM/YYYY'));</v>
      </c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N246" s="90" t="str">
        <f t="shared" si="22"/>
        <v>INSERT INTO OperacaoCultura (idOperacao, nomeParcela, dataInicial, nomeComum, variedade) VALUES (245, 'Campo do poço', TO_DATE('12/10/Wednesday', 'DD/MM/YYYY'), 'Tremoço', UPPER('Amarelo') );</v>
      </c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</row>
    <row r="247" spans="1:59" ht="15" hidden="1" thickTop="1" thickBot="1">
      <c r="A247">
        <v>104</v>
      </c>
      <c r="B247" t="s">
        <v>220</v>
      </c>
      <c r="C247" t="s">
        <v>7</v>
      </c>
      <c r="E247" t="s">
        <v>252</v>
      </c>
      <c r="F247" s="1">
        <v>44851</v>
      </c>
      <c r="G247">
        <v>850</v>
      </c>
      <c r="H247" t="s">
        <v>292</v>
      </c>
      <c r="J247" s="23">
        <f>MATCH(E247,Culturas!$B$38:$B$54,0)</f>
        <v>4</v>
      </c>
      <c r="K247" s="139">
        <f>INDEX(Culturas!$E$2:$E$28,MATCH(Operações!E247,Culturas!$C$2:$C$29,0))</f>
        <v>42743</v>
      </c>
      <c r="L247" s="23">
        <f t="shared" si="23"/>
        <v>246</v>
      </c>
      <c r="M247" s="68" t="s">
        <v>266</v>
      </c>
      <c r="O247" s="23" t="str">
        <f t="shared" si="20"/>
        <v>Macieira</v>
      </c>
      <c r="R247" s="10" t="str">
        <f t="shared" si="21"/>
        <v>INSERT INTO Operacao (idOperacao, designacaoOperacaoAgricola, designacaoUnidade, quantidade, dataOperacao) VALUES (246, 'Colheita', 'kg',   8500.0,  TO_DATE('17/10/Monday', 'DD/MM/YYYY'));</v>
      </c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N247" s="90" t="str">
        <f t="shared" si="22"/>
        <v>INSERT INTO OperacaoCultura (idOperacao, nomeParcela, dataInicial, nomeComum, variedade) VALUES (246, 'Lameiro da ponte', TO_DATE('08/01/Sunday', 'DD/MM/YYYY'), 'Macieira', UPPER('Fuji') );</v>
      </c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</row>
    <row r="248" spans="1:59" ht="15" hidden="1" thickTop="1" thickBot="1">
      <c r="A248">
        <v>104</v>
      </c>
      <c r="B248" t="s">
        <v>220</v>
      </c>
      <c r="C248" t="s">
        <v>7</v>
      </c>
      <c r="E248" t="s">
        <v>252</v>
      </c>
      <c r="F248" s="1">
        <v>44871</v>
      </c>
      <c r="G248">
        <v>900</v>
      </c>
      <c r="H248" t="s">
        <v>292</v>
      </c>
      <c r="J248" s="23">
        <f>MATCH(E248,Culturas!$B$38:$B$54,0)</f>
        <v>4</v>
      </c>
      <c r="K248" s="139">
        <f>INDEX(Culturas!$E$2:$E$28,MATCH(Operações!E248,Culturas!$C$2:$C$29,0))</f>
        <v>42743</v>
      </c>
      <c r="L248" s="23">
        <f t="shared" si="23"/>
        <v>247</v>
      </c>
      <c r="M248" s="68" t="s">
        <v>266</v>
      </c>
      <c r="O248" s="23" t="str">
        <f t="shared" si="20"/>
        <v>Macieira</v>
      </c>
      <c r="R248" s="10" t="str">
        <f t="shared" si="21"/>
        <v>INSERT INTO Operacao (idOperacao, designacaoOperacaoAgricola, designacaoUnidade, quantidade, dataOperacao) VALUES (247, 'Colheita', 'kg',   9000.0,  TO_DATE('06/11/Sunday', 'DD/MM/YYYY'));</v>
      </c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N248" s="90" t="str">
        <f t="shared" si="22"/>
        <v>INSERT INTO OperacaoCultura (idOperacao, nomeParcela, dataInicial, nomeComum, variedade) VALUES (247, 'Lameiro da ponte', TO_DATE('08/01/Sunday', 'DD/MM/YYYY'), 'Macieira', UPPER('Fuji') );</v>
      </c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</row>
    <row r="249" spans="1:59" ht="15" hidden="1" thickTop="1" thickBot="1">
      <c r="A249">
        <v>102</v>
      </c>
      <c r="B249" t="s">
        <v>218</v>
      </c>
      <c r="C249" t="s">
        <v>5</v>
      </c>
      <c r="E249" t="s">
        <v>243</v>
      </c>
      <c r="F249" s="1">
        <v>44875</v>
      </c>
      <c r="G249">
        <v>30</v>
      </c>
      <c r="H249" t="s">
        <v>267</v>
      </c>
      <c r="J249" s="23">
        <f>MATCH(E249,Culturas!$B$38:$B$54,0)</f>
        <v>1</v>
      </c>
      <c r="K249" s="35">
        <f>INDEX(Culturas!$E$12:$E$13,MATCH(Operações!E249,Culturas!$C$12:$C$13,0))</f>
        <v>42649</v>
      </c>
      <c r="L249" s="23">
        <f t="shared" si="23"/>
        <v>248</v>
      </c>
      <c r="M249" s="68" t="s">
        <v>266</v>
      </c>
      <c r="O249" s="23" t="str">
        <f t="shared" si="20"/>
        <v>Oliveira</v>
      </c>
      <c r="R249" s="10" t="str">
        <f t="shared" si="21"/>
        <v>INSERT INTO Operacao (idOperacao, designacaoOperacaoAgricola, designacaoUnidade, quantidade, dataOperacao) VALUES (248, 'Poda', 'un',   300.0,  TO_DATE('10/11/Thursday', 'DD/MM/YYYY'));</v>
      </c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N249" s="90" t="str">
        <f t="shared" si="22"/>
        <v>INSERT INTO OperacaoCultura (idOperacao, nomeParcela, dataInicial, nomeComum, variedade) VALUES (248, 'Campo Grande', TO_DATE('06/10/Thursday', 'DD/MM/YYYY'), 'Oliveira', UPPER('Galega') );</v>
      </c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</row>
    <row r="250" spans="1:59" ht="15" hidden="1" thickTop="1" thickBot="1">
      <c r="A250">
        <v>102</v>
      </c>
      <c r="B250" t="s">
        <v>218</v>
      </c>
      <c r="C250" t="s">
        <v>5</v>
      </c>
      <c r="E250" t="s">
        <v>244</v>
      </c>
      <c r="F250" s="1">
        <v>44875</v>
      </c>
      <c r="G250">
        <v>20</v>
      </c>
      <c r="H250" t="s">
        <v>267</v>
      </c>
      <c r="J250" s="23">
        <f>MATCH(E250,Culturas!$B$38:$B$54,0)</f>
        <v>2</v>
      </c>
      <c r="K250" s="35">
        <f>INDEX(Culturas!$E$12:$E$13,MATCH(Operações!E250,Culturas!$C$12:$C$13,0))</f>
        <v>42653</v>
      </c>
      <c r="L250" s="23">
        <f t="shared" si="23"/>
        <v>249</v>
      </c>
      <c r="M250" s="68" t="s">
        <v>266</v>
      </c>
      <c r="O250" s="23" t="str">
        <f t="shared" si="20"/>
        <v>Oliveira</v>
      </c>
      <c r="R250" s="10" t="str">
        <f t="shared" si="21"/>
        <v>INSERT INTO Operacao (idOperacao, designacaoOperacaoAgricola, designacaoUnidade, quantidade, dataOperacao) VALUES (249, 'Poda', 'un',   200.0,  TO_DATE('10/11/Thursday', 'DD/MM/YYYY'));</v>
      </c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N250" s="90" t="str">
        <f t="shared" si="22"/>
        <v>INSERT INTO OperacaoCultura (idOperacao, nomeParcela, dataInicial, nomeComum, variedade) VALUES (249, 'Campo Grande', TO_DATE('10/10/Monday', 'DD/MM/YYYY'), 'Oliveira', UPPER('Picual') );</v>
      </c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</row>
    <row r="251" spans="1:59" ht="15" hidden="1" thickTop="1" thickBot="1">
      <c r="A251">
        <v>102</v>
      </c>
      <c r="B251" t="s">
        <v>218</v>
      </c>
      <c r="C251" t="s">
        <v>7</v>
      </c>
      <c r="E251" t="s">
        <v>243</v>
      </c>
      <c r="F251" s="1">
        <v>44877</v>
      </c>
      <c r="G251">
        <v>300</v>
      </c>
      <c r="H251" t="s">
        <v>292</v>
      </c>
      <c r="J251" s="23">
        <f>MATCH(E251,Culturas!$B$38:$B$54,0)</f>
        <v>1</v>
      </c>
      <c r="K251" s="35">
        <f>INDEX(Culturas!$E$12:$E$13,MATCH(Operações!E251,Culturas!$C$12:$C$13,0))</f>
        <v>42649</v>
      </c>
      <c r="L251" s="23">
        <f t="shared" si="23"/>
        <v>250</v>
      </c>
      <c r="M251" s="68" t="s">
        <v>266</v>
      </c>
      <c r="O251" s="23" t="str">
        <f t="shared" si="20"/>
        <v>Oliveira</v>
      </c>
      <c r="R251" s="10" t="str">
        <f t="shared" si="21"/>
        <v>INSERT INTO Operacao (idOperacao, designacaoOperacaoAgricola, designacaoUnidade, quantidade, dataOperacao) VALUES (250, 'Colheita', 'kg',   3000.0,  TO_DATE('12/11/Saturday', 'DD/MM/YYYY'));</v>
      </c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N251" s="90" t="str">
        <f t="shared" si="22"/>
        <v>INSERT INTO OperacaoCultura (idOperacao, nomeParcela, dataInicial, nomeComum, variedade) VALUES (250, 'Campo Grande', TO_DATE('06/10/Thursday', 'DD/MM/YYYY'), 'Oliveira', UPPER('Galega') );</v>
      </c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</row>
    <row r="252" spans="1:59" ht="15" hidden="1" thickTop="1" thickBot="1">
      <c r="A252">
        <v>102</v>
      </c>
      <c r="B252" t="s">
        <v>218</v>
      </c>
      <c r="C252" t="s">
        <v>7</v>
      </c>
      <c r="E252" t="s">
        <v>244</v>
      </c>
      <c r="F252" s="1">
        <v>44877</v>
      </c>
      <c r="G252">
        <v>200</v>
      </c>
      <c r="H252" t="s">
        <v>292</v>
      </c>
      <c r="J252" s="23">
        <f>MATCH(E252,Culturas!$B$38:$B$54,0)</f>
        <v>2</v>
      </c>
      <c r="K252" s="35">
        <f>INDEX(Culturas!$E$12:$E$13,MATCH(Operações!E252,Culturas!$C$12:$C$13,0))</f>
        <v>42653</v>
      </c>
      <c r="L252" s="23">
        <f t="shared" si="23"/>
        <v>251</v>
      </c>
      <c r="M252" s="68" t="s">
        <v>266</v>
      </c>
      <c r="O252" s="23" t="str">
        <f t="shared" si="20"/>
        <v>Oliveira</v>
      </c>
      <c r="R252" s="10" t="str">
        <f t="shared" si="21"/>
        <v>INSERT INTO Operacao (idOperacao, designacaoOperacaoAgricola, designacaoUnidade, quantidade, dataOperacao) VALUES (251, 'Colheita', 'kg',   2000.0,  TO_DATE('12/11/Saturday', 'DD/MM/YYYY'));</v>
      </c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N252" s="90" t="str">
        <f t="shared" si="22"/>
        <v>INSERT INTO OperacaoCultura (idOperacao, nomeParcela, dataInicial, nomeComum, variedade) VALUES (251, 'Campo Grande', TO_DATE('10/10/Monday', 'DD/MM/YYYY'), 'Oliveira', UPPER('Picual') );</v>
      </c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90"/>
      <c r="BC252" s="90"/>
      <c r="BD252" s="90"/>
      <c r="BE252" s="90"/>
      <c r="BF252" s="90"/>
      <c r="BG252" s="90"/>
    </row>
    <row r="253" spans="1:59" ht="15" hidden="1" thickTop="1" thickBot="1">
      <c r="A253">
        <v>106</v>
      </c>
      <c r="B253" s="28" t="s">
        <v>223</v>
      </c>
      <c r="C253" t="s">
        <v>7</v>
      </c>
      <c r="E253" t="s">
        <v>250</v>
      </c>
      <c r="F253" s="1">
        <v>44880</v>
      </c>
      <c r="G253">
        <v>50</v>
      </c>
      <c r="H253" t="s">
        <v>292</v>
      </c>
      <c r="J253" s="23">
        <f>MATCH(E253,Culturas!$B$38:$B$54,0)</f>
        <v>15</v>
      </c>
      <c r="K253" s="35">
        <f>INDEX(Culturas!$E$14:$E$22,MATCH(Operações!E253,Culturas!$C$14:$C$22,0))</f>
        <v>44824</v>
      </c>
      <c r="L253" s="23">
        <f t="shared" si="23"/>
        <v>252</v>
      </c>
      <c r="M253" s="68" t="s">
        <v>266</v>
      </c>
      <c r="O253" s="23" t="str">
        <f t="shared" si="20"/>
        <v>Nabo</v>
      </c>
      <c r="R253" s="10" t="str">
        <f t="shared" si="21"/>
        <v>INSERT INTO Operacao (idOperacao, designacaoOperacaoAgricola, designacaoUnidade, quantidade, dataOperacao) VALUES (252, 'Colheita', 'kg',   500.0,  TO_DATE('15/11/Tuesday', 'DD/MM/YYYY'));</v>
      </c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N253" s="90" t="str">
        <f t="shared" si="22"/>
        <v>INSERT INTO OperacaoCultura (idOperacao, nomeParcela, dataInicial, nomeComum, variedade) VALUES (252, 'Horta nova', TO_DATE('20/09/Tuesday', 'DD/MM/YYYY'), 'Nabo greleiro', UPPER('Senhora Conceição') );</v>
      </c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90"/>
      <c r="BC253" s="90"/>
      <c r="BD253" s="90"/>
      <c r="BE253" s="90"/>
      <c r="BF253" s="90"/>
      <c r="BG253" s="90"/>
    </row>
    <row r="254" spans="1:59" ht="15" hidden="1" thickTop="1" thickBot="1">
      <c r="A254" s="51">
        <v>104</v>
      </c>
      <c r="B254" s="51" t="s">
        <v>220</v>
      </c>
      <c r="C254" s="51" t="s">
        <v>5</v>
      </c>
      <c r="D254" s="51"/>
      <c r="E254" s="51" t="s">
        <v>253</v>
      </c>
      <c r="F254" s="52">
        <v>44899</v>
      </c>
      <c r="G254" s="51">
        <v>70</v>
      </c>
      <c r="H254" s="51" t="s">
        <v>267</v>
      </c>
      <c r="I254" s="51"/>
      <c r="J254" s="51">
        <f>MATCH(E254,Culturas!$B$38:$B$54,0)</f>
        <v>5</v>
      </c>
      <c r="K254" s="144">
        <f>INDEX(Culturas!$E$2:$E$28,MATCH(Operações!E254,Culturas!$C$2:$C$29,0))</f>
        <v>42743</v>
      </c>
      <c r="L254" s="23">
        <f t="shared" si="23"/>
        <v>253</v>
      </c>
      <c r="M254" s="68" t="s">
        <v>266</v>
      </c>
      <c r="O254" s="23" t="str">
        <f t="shared" si="20"/>
        <v>Macieira</v>
      </c>
      <c r="R254" s="10" t="str">
        <f t="shared" si="21"/>
        <v>INSERT INTO Operacao (idOperacao, designacaoOperacaoAgricola, designacaoUnidade, quantidade, dataOperacao) VALUES (253, 'Poda', 'un',   700.0,  TO_DATE('04/12/Sunday', 'DD/MM/YYYY'));</v>
      </c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N254" s="90" t="str">
        <f t="shared" si="22"/>
        <v>INSERT INTO OperacaoCultura (idOperacao, nomeParcela, dataInicial, nomeComum, variedade) VALUES (253, 'Lameiro da ponte', TO_DATE('08/01/Sunday', 'DD/MM/YYYY'), 'Macieira', UPPER('Royal Gala') );</v>
      </c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90"/>
      <c r="BC254" s="90"/>
      <c r="BD254" s="90"/>
      <c r="BE254" s="90"/>
      <c r="BF254" s="90"/>
      <c r="BG254" s="90"/>
    </row>
    <row r="255" spans="1:59" ht="15" hidden="1" thickTop="1" thickBot="1">
      <c r="A255" s="51">
        <v>104</v>
      </c>
      <c r="B255" s="51" t="s">
        <v>220</v>
      </c>
      <c r="C255" s="51" t="s">
        <v>5</v>
      </c>
      <c r="D255" s="51"/>
      <c r="E255" s="51" t="s">
        <v>253</v>
      </c>
      <c r="F255" s="52">
        <v>44899</v>
      </c>
      <c r="G255" s="51">
        <v>70</v>
      </c>
      <c r="H255" s="51" t="s">
        <v>267</v>
      </c>
      <c r="I255" s="51"/>
      <c r="J255" s="51">
        <f>MATCH(E255,Culturas!$B$38:$B$54,0)</f>
        <v>5</v>
      </c>
      <c r="K255" s="53">
        <v>43444</v>
      </c>
      <c r="L255" s="23">
        <f t="shared" si="23"/>
        <v>254</v>
      </c>
      <c r="M255" s="68" t="s">
        <v>266</v>
      </c>
      <c r="O255" s="23" t="str">
        <f t="shared" si="20"/>
        <v>Macieira</v>
      </c>
      <c r="R255" s="10" t="str">
        <f t="shared" si="21"/>
        <v>INSERT INTO Operacao (idOperacao, designacaoOperacaoAgricola, designacaoUnidade, quantidade, dataOperacao) VALUES (254, 'Poda', 'un',   700.0,  TO_DATE('04/12/Sunday', 'DD/MM/YYYY'));</v>
      </c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N255" s="90" t="str">
        <f t="shared" si="22"/>
        <v>INSERT INTO OperacaoCultura (idOperacao, nomeParcela, dataInicial, nomeComum, variedade) VALUES (254, 'Lameiro da ponte', TO_DATE('10/12/Monday', 'DD/MM/YYYY'), 'Macieira', UPPER('Royal Gala') );</v>
      </c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90"/>
      <c r="BC255" s="90"/>
      <c r="BD255" s="90"/>
      <c r="BE255" s="90"/>
      <c r="BF255" s="90"/>
      <c r="BG255" s="90"/>
    </row>
    <row r="256" spans="1:59" ht="15" hidden="1" thickTop="1" thickBot="1">
      <c r="A256">
        <v>104</v>
      </c>
      <c r="B256" t="s">
        <v>220</v>
      </c>
      <c r="C256" t="s">
        <v>5</v>
      </c>
      <c r="E256" t="s">
        <v>251</v>
      </c>
      <c r="F256" s="1">
        <v>44902</v>
      </c>
      <c r="G256">
        <v>90</v>
      </c>
      <c r="H256" t="s">
        <v>267</v>
      </c>
      <c r="J256" s="23">
        <f>MATCH(E256,Culturas!$B$38:$B$54,0)</f>
        <v>3</v>
      </c>
      <c r="K256" s="139">
        <f>INDEX(Culturas!$E$2:$E$28,MATCH(Operações!E256,Culturas!$C$2:$C$29,0))</f>
        <v>42742</v>
      </c>
      <c r="L256" s="23">
        <f t="shared" si="23"/>
        <v>255</v>
      </c>
      <c r="M256" s="68" t="s">
        <v>266</v>
      </c>
      <c r="O256" s="23" t="str">
        <f t="shared" si="20"/>
        <v>Macieira</v>
      </c>
      <c r="R256" s="10" t="str">
        <f t="shared" si="21"/>
        <v>INSERT INTO Operacao (idOperacao, designacaoOperacaoAgricola, designacaoUnidade, quantidade, dataOperacao) VALUES (255, 'Poda', 'un',   900.0,  TO_DATE('07/12/Wednesday', 'DD/MM/YYYY'));</v>
      </c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N256" s="90" t="str">
        <f t="shared" si="22"/>
        <v>INSERT INTO OperacaoCultura (idOperacao, nomeParcela, dataInicial, nomeComum, variedade) VALUES (255, 'Lameiro da ponte', TO_DATE('07/01/Saturday', 'DD/MM/YYYY'), 'Macieira', UPPER('Jonagored') );</v>
      </c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90"/>
      <c r="BC256" s="90"/>
      <c r="BD256" s="90"/>
      <c r="BE256" s="90"/>
      <c r="BF256" s="90"/>
      <c r="BG256" s="90"/>
    </row>
    <row r="257" spans="1:59" ht="15" hidden="1" thickTop="1" thickBot="1">
      <c r="A257">
        <v>102</v>
      </c>
      <c r="B257" t="s">
        <v>218</v>
      </c>
      <c r="C257" t="s">
        <v>290</v>
      </c>
      <c r="D257" t="s">
        <v>291</v>
      </c>
      <c r="E257" t="s">
        <v>243</v>
      </c>
      <c r="F257" s="1">
        <v>44906</v>
      </c>
      <c r="G257">
        <v>15</v>
      </c>
      <c r="H257" t="s">
        <v>292</v>
      </c>
      <c r="I257" t="s">
        <v>172</v>
      </c>
      <c r="J257" s="23">
        <f>MATCH(E257,Culturas!$B$38:$B$54,0)</f>
        <v>1</v>
      </c>
      <c r="K257" s="35">
        <f>INDEX(Culturas!$E$12:$E$13,MATCH(Operações!E257,Culturas!$C$12:$C$13,0))</f>
        <v>42649</v>
      </c>
      <c r="L257" s="84">
        <f t="shared" si="23"/>
        <v>256</v>
      </c>
      <c r="M257" s="68" t="s">
        <v>266</v>
      </c>
      <c r="O257" s="23" t="str">
        <f t="shared" si="20"/>
        <v>Oliveira</v>
      </c>
      <c r="R257" s="10" t="str">
        <f t="shared" si="21"/>
        <v>INSERT INTO Operacao (idOperacao, designacaoOperacaoAgricola, designacaoUnidade, quantidade, dataOperacao) VALUES (256, 'Fertilização', 'kg',   150.0,  TO_DATE('11/12/Sunday', 'DD/MM/YYYY'));</v>
      </c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N257" s="90" t="str">
        <f t="shared" si="22"/>
        <v>INSERT INTO OperacaoCultura (idOperacao, nomeParcela, dataInicial, nomeComum, variedade) VALUES (256, 'Campo Grande', TO_DATE('06/10/Thursday', 'DD/MM/YYYY'), 'Oliveira', UPPER('Galega') );</v>
      </c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90"/>
      <c r="BC257" s="90"/>
      <c r="BD257" s="90"/>
      <c r="BE257" s="90"/>
      <c r="BF257" s="90"/>
      <c r="BG257" s="90"/>
    </row>
    <row r="258" spans="1:59" ht="15" hidden="1" thickTop="1" thickBot="1">
      <c r="A258">
        <v>102</v>
      </c>
      <c r="B258" t="s">
        <v>218</v>
      </c>
      <c r="C258" t="s">
        <v>290</v>
      </c>
      <c r="D258" t="s">
        <v>291</v>
      </c>
      <c r="E258" t="s">
        <v>244</v>
      </c>
      <c r="F258" s="1">
        <v>44906</v>
      </c>
      <c r="G258">
        <v>10</v>
      </c>
      <c r="H258" t="s">
        <v>292</v>
      </c>
      <c r="I258" t="s">
        <v>172</v>
      </c>
      <c r="J258" s="23">
        <f>MATCH(E258,Culturas!$B$38:$B$54,0)</f>
        <v>2</v>
      </c>
      <c r="K258" s="35">
        <f>INDEX(Culturas!$E$12:$E$13,MATCH(Operações!E258,Culturas!$C$12:$C$13,0))</f>
        <v>42653</v>
      </c>
      <c r="L258" s="84">
        <f t="shared" si="23"/>
        <v>257</v>
      </c>
      <c r="M258" s="68" t="s">
        <v>266</v>
      </c>
      <c r="O258" s="23" t="str">
        <f t="shared" si="20"/>
        <v>Oliveira</v>
      </c>
      <c r="R258" s="10" t="str">
        <f t="shared" si="21"/>
        <v>INSERT INTO Operacao (idOperacao, designacaoOperacaoAgricola, designacaoUnidade, quantidade, dataOperacao) VALUES (257, 'Fertilização', 'kg',   100.0,  TO_DATE('11/12/Sunday', 'DD/MM/YYYY'));</v>
      </c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N258" s="90" t="str">
        <f t="shared" si="22"/>
        <v>INSERT INTO OperacaoCultura (idOperacao, nomeParcela, dataInicial, nomeComum, variedade) VALUES (257, 'Campo Grande', TO_DATE('10/10/Monday', 'DD/MM/YYYY'), 'Oliveira', UPPER('Picual') );</v>
      </c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90"/>
      <c r="BC258" s="90"/>
      <c r="BD258" s="90"/>
      <c r="BE258" s="90"/>
      <c r="BF258" s="90"/>
      <c r="BG258" s="90"/>
    </row>
    <row r="259" spans="1:59" ht="15" hidden="1" thickTop="1" thickBot="1">
      <c r="A259">
        <v>107</v>
      </c>
      <c r="B259" t="s">
        <v>225</v>
      </c>
      <c r="C259" t="s">
        <v>5</v>
      </c>
      <c r="E259" t="s">
        <v>254</v>
      </c>
      <c r="F259" s="1">
        <v>44911</v>
      </c>
      <c r="G259">
        <v>500</v>
      </c>
      <c r="H259" t="s">
        <v>267</v>
      </c>
      <c r="J259" s="23">
        <f>MATCH(E259,Culturas!$B$38:$B$54,0)</f>
        <v>16</v>
      </c>
      <c r="K259" s="139">
        <f>INDEX(Culturas!$E$2:$E$28,MATCH(Operações!E259,Culturas!$C$2:$C$29,0))</f>
        <v>43110</v>
      </c>
      <c r="L259" s="23">
        <f t="shared" si="23"/>
        <v>258</v>
      </c>
      <c r="M259" s="68" t="s">
        <v>266</v>
      </c>
      <c r="O259" s="23" t="str">
        <f t="shared" ref="O259:O266" si="26">_xlfn.TEXTBEFORE(E259, " ")</f>
        <v>Videira</v>
      </c>
      <c r="R259" s="10" t="str">
        <f t="shared" ref="R259:R266" si="27" xml:space="preserve"> "INSERT INTO " &amp;$T$1&amp; " (idOperacao, designacaoOperacaoAgricola, designacaoUnidade, quantidade, dataOperacao) VALUES (" &amp;L259&amp; ", '" &amp;C259&amp; "', " &amp;IF(ISBLANK(H259), "null", "'" &amp;H259&amp; "'" )&amp; ",   "&amp;IF(ISBLANK(G259), "null",TEXT(SUBSTITUTE(G259, "%", "") * 10, "0.0"))&amp;",  TO_DATE('"&amp;TEXT(F259,"DD/MM/AAAA")&amp;"', 'DD/MM/YYYY'));"</f>
        <v>INSERT INTO Operacao (idOperacao, designacaoOperacaoAgricola, designacaoUnidade, quantidade, dataOperacao) VALUES (258, 'Poda', 'un',   5000.0,  TO_DATE('16/12/Friday', 'DD/MM/YYYY'));</v>
      </c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N259" s="90" t="str">
        <f t="shared" ref="AN259:AN266" si="28" xml:space="preserve"> "INSERT INTO " &amp;$AO$1&amp; " (idOperacao, nomeParcela, dataInicial, nomeComum, variedade) VALUES (" &amp;L259&amp; ", '" &amp;B259&amp; "', TO_DATE('"&amp;TEXT(K259,"DD/MM/AAAA")&amp;"', 'DD/MM/YYYY'), '"  &amp;INDEX($D$270:$D$286,MATCH(J259,$B$270:$B$286,0))&amp; "', UPPER('" &amp;INDEX($E$270:$E$286,MATCH(J259,$B$270:$B$286,0))&amp;  "') );"</f>
        <v>INSERT INTO OperacaoCultura (idOperacao, nomeParcela, dataInicial, nomeComum, variedade) VALUES (258, 'Vinha', TO_DATE('10/01/Wednesday', 'DD/MM/YYYY'), 'Videira', UPPER('Dona Maria') );</v>
      </c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90"/>
      <c r="BC259" s="90"/>
      <c r="BD259" s="90"/>
      <c r="BE259" s="90"/>
      <c r="BF259" s="90"/>
      <c r="BG259" s="90"/>
    </row>
    <row r="260" spans="1:59" ht="15" hidden="1" thickTop="1" thickBot="1">
      <c r="A260">
        <v>106</v>
      </c>
      <c r="B260" s="28" t="s">
        <v>223</v>
      </c>
      <c r="C260" t="s">
        <v>7</v>
      </c>
      <c r="E260" t="s">
        <v>250</v>
      </c>
      <c r="F260" s="1">
        <v>44913</v>
      </c>
      <c r="G260">
        <v>200</v>
      </c>
      <c r="H260" t="s">
        <v>292</v>
      </c>
      <c r="J260" s="23">
        <f>MATCH(E260,Culturas!$B$38:$B$54,0)</f>
        <v>15</v>
      </c>
      <c r="K260" s="35">
        <f>INDEX(Culturas!$E$14:$E$22,MATCH(Operações!E260,Culturas!$C$14:$C$22,0))</f>
        <v>44824</v>
      </c>
      <c r="L260" s="23">
        <f t="shared" ref="L260:L266" si="29">L259+1</f>
        <v>259</v>
      </c>
      <c r="M260" s="68" t="s">
        <v>266</v>
      </c>
      <c r="O260" s="23" t="str">
        <f t="shared" si="26"/>
        <v>Nabo</v>
      </c>
      <c r="R260" s="10" t="str">
        <f t="shared" si="27"/>
        <v>INSERT INTO Operacao (idOperacao, designacaoOperacaoAgricola, designacaoUnidade, quantidade, dataOperacao) VALUES (259, 'Colheita', 'kg',   2000.0,  TO_DATE('18/12/Sunday', 'DD/MM/YYYY'));</v>
      </c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N260" s="90" t="str">
        <f t="shared" si="28"/>
        <v>INSERT INTO OperacaoCultura (idOperacao, nomeParcela, dataInicial, nomeComum, variedade) VALUES (259, 'Horta nova', TO_DATE('20/09/Tuesday', 'DD/MM/YYYY'), 'Nabo greleiro', UPPER('Senhora Conceição') );</v>
      </c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90"/>
      <c r="BC260" s="90"/>
      <c r="BD260" s="90"/>
      <c r="BE260" s="90"/>
      <c r="BF260" s="90"/>
      <c r="BG260" s="90"/>
    </row>
    <row r="261" spans="1:59" ht="15" hidden="1" thickTop="1" thickBot="1">
      <c r="A261">
        <v>107</v>
      </c>
      <c r="B261" t="s">
        <v>225</v>
      </c>
      <c r="C261" t="s">
        <v>5</v>
      </c>
      <c r="E261" t="s">
        <v>255</v>
      </c>
      <c r="F261" s="1">
        <v>44913</v>
      </c>
      <c r="G261">
        <v>700</v>
      </c>
      <c r="H261" t="s">
        <v>267</v>
      </c>
      <c r="J261" s="23">
        <f>MATCH(E261,Culturas!$B$38:$B$54,0)</f>
        <v>17</v>
      </c>
      <c r="K261" s="139">
        <f>INDEX(Culturas!$E$2:$E$28,MATCH(Operações!E261,Culturas!$C$2:$C$29,0))</f>
        <v>43111</v>
      </c>
      <c r="L261" s="23">
        <f t="shared" si="29"/>
        <v>260</v>
      </c>
      <c r="M261" s="68" t="s">
        <v>266</v>
      </c>
      <c r="O261" s="23" t="str">
        <f t="shared" si="26"/>
        <v>Videira</v>
      </c>
      <c r="R261" s="10" t="str">
        <f t="shared" si="27"/>
        <v>INSERT INTO Operacao (idOperacao, designacaoOperacaoAgricola, designacaoUnidade, quantidade, dataOperacao) VALUES (260, 'Poda', 'un',   7000.0,  TO_DATE('18/12/Sunday', 'DD/MM/YYYY'));</v>
      </c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N261" s="90" t="str">
        <f t="shared" si="28"/>
        <v>INSERT INTO OperacaoCultura (idOperacao, nomeParcela, dataInicial, nomeComum, variedade) VALUES (260, 'Vinha', TO_DATE('11/01/Thursday', 'DD/MM/YYYY'), 'Videira', UPPER('Cardinal') );</v>
      </c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90"/>
      <c r="BC261" s="90"/>
      <c r="BD261" s="90"/>
      <c r="BE261" s="90"/>
      <c r="BF261" s="90"/>
      <c r="BG261" s="90"/>
    </row>
    <row r="262" spans="1:59" ht="15" hidden="1" thickTop="1" thickBot="1">
      <c r="A262">
        <v>104</v>
      </c>
      <c r="B262" t="s">
        <v>220</v>
      </c>
      <c r="C262" t="s">
        <v>5</v>
      </c>
      <c r="E262" t="s">
        <v>252</v>
      </c>
      <c r="F262" s="1">
        <v>44938</v>
      </c>
      <c r="G262">
        <v>60</v>
      </c>
      <c r="H262" t="s">
        <v>267</v>
      </c>
      <c r="J262" s="23">
        <f>MATCH(E262,Culturas!$B$38:$B$54,0)</f>
        <v>4</v>
      </c>
      <c r="K262" s="139">
        <f>INDEX(Culturas!$E$2:$E$28,MATCH(Operações!E262,Culturas!$C$2:$C$29,0))</f>
        <v>42743</v>
      </c>
      <c r="L262" s="23">
        <f t="shared" si="29"/>
        <v>261</v>
      </c>
      <c r="M262" s="68" t="s">
        <v>266</v>
      </c>
      <c r="O262" s="23" t="str">
        <f t="shared" si="26"/>
        <v>Macieira</v>
      </c>
      <c r="R262" s="10" t="str">
        <f t="shared" si="27"/>
        <v>INSERT INTO Operacao (idOperacao, designacaoOperacaoAgricola, designacaoUnidade, quantidade, dataOperacao) VALUES (261, 'Poda', 'un',   600.0,  TO_DATE('12/01/Thursday', 'DD/MM/YYYY'));</v>
      </c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N262" s="90" t="str">
        <f t="shared" si="28"/>
        <v>INSERT INTO OperacaoCultura (idOperacao, nomeParcela, dataInicial, nomeComum, variedade) VALUES (261, 'Lameiro da ponte', TO_DATE('08/01/Sunday', 'DD/MM/YYYY'), 'Macieira', UPPER('Fuji') );</v>
      </c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90"/>
      <c r="BC262" s="90"/>
      <c r="BD262" s="90"/>
      <c r="BE262" s="90"/>
      <c r="BF262" s="90"/>
      <c r="BG262" s="90"/>
    </row>
    <row r="263" spans="1:59" ht="15" hidden="1" thickTop="1" thickBot="1">
      <c r="A263">
        <v>106</v>
      </c>
      <c r="B263" s="28" t="s">
        <v>223</v>
      </c>
      <c r="C263" t="s">
        <v>7</v>
      </c>
      <c r="E263" t="s">
        <v>250</v>
      </c>
      <c r="F263" s="1">
        <v>44940</v>
      </c>
      <c r="G263">
        <v>250</v>
      </c>
      <c r="H263" t="s">
        <v>292</v>
      </c>
      <c r="J263" s="23">
        <f>MATCH(E263,Culturas!$B$38:$B$54,0)</f>
        <v>15</v>
      </c>
      <c r="K263" s="35">
        <f>INDEX(Culturas!$E$14:$E$22,MATCH(Operações!E263,Culturas!$C$14:$C$22,0))</f>
        <v>44824</v>
      </c>
      <c r="L263" s="23">
        <f t="shared" si="29"/>
        <v>262</v>
      </c>
      <c r="M263" s="68" t="s">
        <v>266</v>
      </c>
      <c r="O263" s="23" t="str">
        <f t="shared" si="26"/>
        <v>Nabo</v>
      </c>
      <c r="R263" s="10" t="str">
        <f t="shared" si="27"/>
        <v>INSERT INTO Operacao (idOperacao, designacaoOperacaoAgricola, designacaoUnidade, quantidade, dataOperacao) VALUES (262, 'Colheita', 'kg',   2500.0,  TO_DATE('14/01/Saturday', 'DD/MM/YYYY'));</v>
      </c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N263" s="90" t="str">
        <f xml:space="preserve"> "INSERT INTO " &amp;$AO$1&amp; " (idOperacao, nomeParcela, dataInicial, nomeComum, variedade) VALUES (" &amp;L263&amp; ", '" &amp;B263&amp; "', TO_DATE('"&amp;TEXT(K263,"DD/MM/AAAA")&amp;"', 'DD/MM/YYYY'), '"  &amp;INDEX($D$270:$D$286,MATCH(J263,$B$270:$B$286,0))&amp; "', UPPER('" &amp;INDEX($E$270:$E$286,MATCH(J263,$B$270:$B$286,0))&amp;  "') );"</f>
        <v>INSERT INTO OperacaoCultura (idOperacao, nomeParcela, dataInicial, nomeComum, variedade) VALUES (262, 'Horta nova', TO_DATE('20/09/Tuesday', 'DD/MM/YYYY'), 'Nabo greleiro', UPPER('Senhora Conceição') );</v>
      </c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90"/>
      <c r="BC263" s="90"/>
      <c r="BD263" s="90"/>
      <c r="BE263" s="90"/>
      <c r="BF263" s="90"/>
      <c r="BG263" s="90"/>
    </row>
    <row r="264" spans="1:59" ht="15" thickTop="1" thickBot="1">
      <c r="A264">
        <v>107</v>
      </c>
      <c r="B264" t="s">
        <v>225</v>
      </c>
      <c r="C264" t="s">
        <v>293</v>
      </c>
      <c r="E264" t="s">
        <v>254</v>
      </c>
      <c r="F264" s="1">
        <v>44946</v>
      </c>
      <c r="G264">
        <v>4</v>
      </c>
      <c r="H264" t="s">
        <v>292</v>
      </c>
      <c r="I264" t="s">
        <v>163</v>
      </c>
      <c r="J264" s="23">
        <f>MATCH(E264,Culturas!$B$38:$B$54,0)</f>
        <v>16</v>
      </c>
      <c r="K264" s="139">
        <f>INDEX(Culturas!$E$2:$E$28,MATCH(Operações!E264,Culturas!$C$2:$C$29,0))</f>
        <v>43110</v>
      </c>
      <c r="L264" s="84">
        <f t="shared" si="29"/>
        <v>263</v>
      </c>
      <c r="M264" s="68" t="s">
        <v>266</v>
      </c>
      <c r="O264" s="23" t="str">
        <f t="shared" si="26"/>
        <v>Videira</v>
      </c>
      <c r="R264" s="10" t="str">
        <f t="shared" si="27"/>
        <v>INSERT INTO Operacao (idOperacao, designacaoOperacaoAgricola, designacaoUnidade, quantidade, dataOperacao) VALUES (263, 'Aplicação fitofármaco', 'kg',   40.0,  TO_DATE('20/01/Friday', 'DD/MM/YYYY'));</v>
      </c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N264" s="90" t="str">
        <f t="shared" si="28"/>
        <v>INSERT INTO OperacaoCultura (idOperacao, nomeParcela, dataInicial, nomeComum, variedade) VALUES (263, 'Vinha', TO_DATE('10/01/Wednesday', 'DD/MM/YYYY'), 'Videira', UPPER('Dona Maria') );</v>
      </c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90"/>
      <c r="BC264" s="90"/>
      <c r="BD264" s="90"/>
      <c r="BE264" s="90"/>
      <c r="BF264" s="90"/>
      <c r="BG264" s="90"/>
    </row>
    <row r="265" spans="1:59" ht="15" thickTop="1" thickBot="1">
      <c r="A265">
        <v>107</v>
      </c>
      <c r="B265" t="s">
        <v>225</v>
      </c>
      <c r="C265" t="s">
        <v>293</v>
      </c>
      <c r="E265" t="s">
        <v>255</v>
      </c>
      <c r="F265" s="1">
        <v>44946</v>
      </c>
      <c r="G265">
        <v>5</v>
      </c>
      <c r="H265" t="s">
        <v>292</v>
      </c>
      <c r="I265" t="s">
        <v>163</v>
      </c>
      <c r="J265" s="23">
        <f>MATCH(E265,Culturas!$B$38:$B$54,0)</f>
        <v>17</v>
      </c>
      <c r="K265" s="139">
        <f>INDEX(Culturas!$E$2:$E$28,MATCH(Operações!E265,Culturas!$C$2:$C$29,0))</f>
        <v>43111</v>
      </c>
      <c r="L265" s="84">
        <f t="shared" si="29"/>
        <v>264</v>
      </c>
      <c r="M265" s="68" t="s">
        <v>266</v>
      </c>
      <c r="O265" s="23" t="str">
        <f t="shared" si="26"/>
        <v>Videira</v>
      </c>
      <c r="R265" s="10" t="str">
        <f t="shared" si="27"/>
        <v>INSERT INTO Operacao (idOperacao, designacaoOperacaoAgricola, designacaoUnidade, quantidade, dataOperacao) VALUES (264, 'Aplicação fitofármaco', 'kg',   50.0,  TO_DATE('20/01/Friday', 'DD/MM/YYYY'));</v>
      </c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N265" s="90" t="str">
        <f t="shared" si="28"/>
        <v>INSERT INTO OperacaoCultura (idOperacao, nomeParcela, dataInicial, nomeComum, variedade) VALUES (264, 'Vinha', TO_DATE('11/01/Thursday', 'DD/MM/YYYY'), 'Videira', UPPER('Cardinal') );</v>
      </c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90"/>
      <c r="BC265" s="90"/>
      <c r="BD265" s="90"/>
      <c r="BE265" s="90"/>
      <c r="BF265" s="90"/>
      <c r="BG265" s="90"/>
    </row>
    <row r="266" spans="1:59" ht="15" hidden="1" thickTop="1" thickBot="1">
      <c r="A266" s="61">
        <v>103</v>
      </c>
      <c r="B266" s="61" t="s">
        <v>219</v>
      </c>
      <c r="C266" s="61" t="s">
        <v>296</v>
      </c>
      <c r="D266" s="61"/>
      <c r="E266" s="61" t="s">
        <v>240</v>
      </c>
      <c r="F266" s="62">
        <v>45005</v>
      </c>
      <c r="G266" s="61">
        <v>1.3</v>
      </c>
      <c r="H266" s="61" t="s">
        <v>216</v>
      </c>
      <c r="I266" s="61"/>
      <c r="J266" s="61">
        <f>MATCH(E266,Culturas!$B$38:$B$54,0)</f>
        <v>6</v>
      </c>
      <c r="K266" s="62">
        <f>$F$246</f>
        <v>44846</v>
      </c>
      <c r="L266" s="23">
        <f t="shared" si="29"/>
        <v>265</v>
      </c>
      <c r="M266" s="68" t="s">
        <v>266</v>
      </c>
      <c r="O266" s="23" t="str">
        <f t="shared" si="26"/>
        <v>Tremoço</v>
      </c>
      <c r="R266" s="10" t="str">
        <f t="shared" si="27"/>
        <v>INSERT INTO Operacao (idOperacao, designacaoOperacaoAgricola, designacaoUnidade, quantidade, dataOperacao) VALUES (265, 'Incorporação no solo', 'ha',   13.0,  TO_DATE('20/03/Monday', 'DD/MM/YYYY'));</v>
      </c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N266" s="90" t="str">
        <f t="shared" si="28"/>
        <v>INSERT INTO OperacaoCultura (idOperacao, nomeParcela, dataInicial, nomeComum, variedade) VALUES (265, 'Campo do poço', TO_DATE('12/10/Wednesday', 'DD/MM/YYYY'), 'Tremoço', UPPER('Amarelo') );</v>
      </c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90"/>
      <c r="BC266" s="90"/>
      <c r="BD266" s="90"/>
      <c r="BE266" s="90"/>
      <c r="BF266" s="90"/>
      <c r="BG266" s="90"/>
    </row>
    <row r="267" spans="1:59" ht="14.65" thickTop="1">
      <c r="K267" s="1"/>
    </row>
    <row r="268" spans="1:59">
      <c r="K268" s="1"/>
    </row>
    <row r="269" spans="1:59">
      <c r="B269" s="24" t="s">
        <v>269</v>
      </c>
      <c r="C269" s="24" t="s">
        <v>239</v>
      </c>
      <c r="D269" s="24" t="s">
        <v>270</v>
      </c>
      <c r="E269" s="24" t="s">
        <v>2</v>
      </c>
      <c r="F269" s="24" t="s">
        <v>271</v>
      </c>
      <c r="K269" s="1"/>
    </row>
    <row r="270" spans="1:59">
      <c r="B270" s="23">
        <f>1</f>
        <v>1</v>
      </c>
      <c r="C270" s="23" t="s">
        <v>243</v>
      </c>
      <c r="D270" s="23" t="str">
        <f t="shared" ref="D270:D286" si="30">_xlfn.TEXTBEFORE(C270," ")</f>
        <v>Oliveira</v>
      </c>
      <c r="E270" s="23" t="str">
        <f t="shared" ref="E270:E286" si="31">_xlfn.TEXTAFTER(C270," ")</f>
        <v>Galega</v>
      </c>
      <c r="F270" s="23" t="s">
        <v>272</v>
      </c>
      <c r="K270" s="1"/>
    </row>
    <row r="271" spans="1:59">
      <c r="B271" s="23">
        <f t="shared" ref="B271:B287" si="32">B270+1</f>
        <v>2</v>
      </c>
      <c r="C271" s="23" t="s">
        <v>244</v>
      </c>
      <c r="D271" s="23" t="str">
        <f t="shared" si="30"/>
        <v>Oliveira</v>
      </c>
      <c r="E271" s="23" t="str">
        <f t="shared" si="31"/>
        <v>Picual</v>
      </c>
      <c r="F271" s="23" t="s">
        <v>272</v>
      </c>
      <c r="K271" s="1"/>
    </row>
    <row r="272" spans="1:59">
      <c r="B272" s="23">
        <f t="shared" si="32"/>
        <v>3</v>
      </c>
      <c r="C272" s="23" t="s">
        <v>251</v>
      </c>
      <c r="D272" s="23" t="str">
        <f t="shared" si="30"/>
        <v>Macieira</v>
      </c>
      <c r="E272" s="23" t="str">
        <f t="shared" si="31"/>
        <v>Jonagored</v>
      </c>
      <c r="F272" s="23" t="s">
        <v>273</v>
      </c>
      <c r="K272" s="1"/>
      <c r="Q272" s="106"/>
      <c r="R272" s="16" t="s">
        <v>8</v>
      </c>
      <c r="S272" s="16" t="s">
        <v>9</v>
      </c>
      <c r="T272" s="16" t="s">
        <v>298</v>
      </c>
      <c r="U272" s="16"/>
      <c r="V272" s="16"/>
      <c r="W272" s="16"/>
      <c r="X272" s="16"/>
      <c r="Y272" s="16"/>
      <c r="Z272" s="16"/>
      <c r="AA272" s="16"/>
      <c r="AD272" s="106"/>
      <c r="AE272" s="19" t="s">
        <v>8</v>
      </c>
      <c r="AF272" s="19" t="s">
        <v>277</v>
      </c>
      <c r="AG272" s="19" t="s">
        <v>7</v>
      </c>
      <c r="AH272" s="19"/>
      <c r="AI272" s="19"/>
      <c r="AJ272" s="19"/>
      <c r="AK272" s="19"/>
      <c r="AL272" s="19"/>
      <c r="AM272" s="19"/>
    </row>
    <row r="273" spans="2:39">
      <c r="B273" s="23">
        <f t="shared" si="32"/>
        <v>4</v>
      </c>
      <c r="C273" s="23" t="s">
        <v>252</v>
      </c>
      <c r="D273" s="23" t="str">
        <f t="shared" si="30"/>
        <v>Macieira</v>
      </c>
      <c r="E273" s="23" t="str">
        <f t="shared" si="31"/>
        <v>Fuji</v>
      </c>
      <c r="F273" s="23" t="s">
        <v>273</v>
      </c>
      <c r="K273" s="1"/>
      <c r="R273" s="46" t="str">
        <f xml:space="preserve"> "INSERT INTO " &amp;$T$272&amp;  "(designacaoOperacaoAgricola) VALUES ('" &amp;C2&amp; "');"</f>
        <v>INSERT INTO TipoOperacaoAgricola(designacaoOperacaoAgricola) VALUES ('Plantação');</v>
      </c>
      <c r="S273" s="46"/>
      <c r="T273" s="46"/>
      <c r="U273" s="46"/>
      <c r="V273" s="46"/>
      <c r="W273" s="46"/>
      <c r="X273" s="46"/>
      <c r="Y273" s="46"/>
      <c r="Z273" s="46"/>
      <c r="AA273" s="46"/>
      <c r="AE273" s="15" t="str">
        <f>"INSERT INTO "&amp;$AG$272&amp;"(idOperacao, nomeProduto) VALUES (" &amp;L92&amp; ", '"&amp;INDEX($F$270:$F$286,MATCH(J92,$B$270:$B$286,0))&amp;"');"</f>
        <v>INSERT INTO Colheita(idOperacao, nomeProduto) VALUES (91, 'Cenoura');</v>
      </c>
      <c r="AF273" s="15"/>
      <c r="AG273" s="15"/>
      <c r="AH273" s="15"/>
      <c r="AI273" s="15"/>
      <c r="AJ273" s="15"/>
      <c r="AK273" s="15"/>
      <c r="AL273" s="15"/>
      <c r="AM273" s="15"/>
    </row>
    <row r="274" spans="2:39">
      <c r="B274" s="23">
        <f t="shared" si="32"/>
        <v>5</v>
      </c>
      <c r="C274" s="23" t="s">
        <v>253</v>
      </c>
      <c r="D274" s="23" t="str">
        <f t="shared" si="30"/>
        <v>Macieira</v>
      </c>
      <c r="E274" s="23" t="str">
        <f t="shared" si="31"/>
        <v>Royal Gala</v>
      </c>
      <c r="F274" s="23" t="s">
        <v>273</v>
      </c>
      <c r="K274" s="1"/>
      <c r="R274" s="46" t="str">
        <f xml:space="preserve"> "INSERT INTO " &amp;$T$272&amp;  "(designacaoOperacaoAgricola) VALUES ('" &amp;C7&amp; "');"</f>
        <v>INSERT INTO TipoOperacaoAgricola(designacaoOperacaoAgricola) VALUES ('Rega');</v>
      </c>
      <c r="S274" s="46"/>
      <c r="T274" s="46"/>
      <c r="U274" s="46"/>
      <c r="V274" s="46"/>
      <c r="W274" s="46"/>
      <c r="X274" s="46"/>
      <c r="Y274" s="46"/>
      <c r="Z274" s="46"/>
      <c r="AA274" s="46"/>
      <c r="AE274" s="15" t="str">
        <f>"INSERT INTO "&amp;$AG$272&amp;"(idOperacao, nomeProduto) VALUES (" &amp;L93&amp; ", '"&amp;INDEX($F$270:$F$286,MATCH(J93,$B$270:$B$286,0))&amp;"');"</f>
        <v>INSERT INTO Colheita(idOperacao, nomeProduto) VALUES (92, 'Cenoura');</v>
      </c>
      <c r="AF274" s="15"/>
      <c r="AG274" s="15"/>
      <c r="AH274" s="15"/>
      <c r="AI274" s="15"/>
      <c r="AJ274" s="15"/>
      <c r="AK274" s="15"/>
      <c r="AL274" s="15"/>
      <c r="AM274" s="15"/>
    </row>
    <row r="275" spans="2:39">
      <c r="B275" s="23">
        <f t="shared" si="32"/>
        <v>6</v>
      </c>
      <c r="C275" s="23" t="s">
        <v>240</v>
      </c>
      <c r="D275" s="23" t="str">
        <f t="shared" si="30"/>
        <v>Tremoço</v>
      </c>
      <c r="E275" s="23" t="str">
        <f t="shared" si="31"/>
        <v>Amarelo</v>
      </c>
      <c r="F275" s="23" t="s">
        <v>116</v>
      </c>
      <c r="K275" s="1"/>
      <c r="R275" s="46" t="str">
        <f xml:space="preserve"> "INSERT INTO " &amp;$T$272&amp;  "(designacaoOperacaoAgricola) VALUES ('" &amp;C20&amp; "');"</f>
        <v>INSERT INTO TipoOperacaoAgricola(designacaoOperacaoAgricola) VALUES ('Poda');</v>
      </c>
      <c r="S275" s="46"/>
      <c r="T275" s="46"/>
      <c r="U275" s="46"/>
      <c r="V275" s="46"/>
      <c r="W275" s="46"/>
      <c r="X275" s="46"/>
      <c r="Y275" s="46"/>
      <c r="Z275" s="46"/>
      <c r="AA275" s="46"/>
      <c r="AE275" s="15" t="str">
        <f>"INSERT INTO "&amp;$AG$272&amp;"(idOperacao, nomeProduto) VALUES (" &amp;L108&amp; ", '"&amp;INDEX($F$270:$F$286,MATCH(J108,$B$270:$B$286,0))&amp;"');"</f>
        <v>INSERT INTO Colheita(idOperacao, nomeProduto) VALUES (107, 'Milho');</v>
      </c>
      <c r="AF275" s="15"/>
      <c r="AG275" s="15"/>
      <c r="AH275" s="15"/>
      <c r="AI275" s="15"/>
      <c r="AJ275" s="15"/>
      <c r="AK275" s="15"/>
      <c r="AL275" s="15"/>
      <c r="AM275" s="15"/>
    </row>
    <row r="276" spans="2:39">
      <c r="B276" s="23">
        <f t="shared" si="32"/>
        <v>7</v>
      </c>
      <c r="C276" s="23" t="s">
        <v>241</v>
      </c>
      <c r="D276" s="23" t="str">
        <f t="shared" si="30"/>
        <v>Milho</v>
      </c>
      <c r="E276" s="23" t="str">
        <f t="shared" si="31"/>
        <v>Doce Golden Bantam</v>
      </c>
      <c r="F276" s="23" t="s">
        <v>100</v>
      </c>
      <c r="K276" s="1"/>
      <c r="R276" s="46" t="str">
        <f xml:space="preserve"> "INSERT INTO " &amp;$T$272&amp;  "(designacaoOperacaoAgricola) VALUES ('" &amp;C22&amp; "');"</f>
        <v>INSERT INTO TipoOperacaoAgricola(designacaoOperacaoAgricola) VALUES ('Fertilização');</v>
      </c>
      <c r="S276" s="46"/>
      <c r="T276" s="46"/>
      <c r="U276" s="46"/>
      <c r="V276" s="46"/>
      <c r="W276" s="46"/>
      <c r="X276" s="46"/>
      <c r="Y276" s="46"/>
      <c r="Z276" s="46"/>
      <c r="AA276" s="46"/>
      <c r="AE276" s="15" t="str">
        <f>"INSERT INTO "&amp;$AG$272&amp;"(idOperacao, nomeProduto) VALUES (" &amp;L109&amp; ", '"&amp;INDEX($F$270:$F$286,MATCH(J109,$B$270:$B$286,0))&amp;"');"</f>
        <v>INSERT INTO Colheita(idOperacao, nomeProduto) VALUES (108, 'Cenoura');</v>
      </c>
      <c r="AF276" s="15"/>
      <c r="AG276" s="15"/>
      <c r="AH276" s="15"/>
      <c r="AI276" s="15"/>
      <c r="AJ276" s="15"/>
      <c r="AK276" s="15"/>
      <c r="AL276" s="15"/>
      <c r="AM276" s="15"/>
    </row>
    <row r="277" spans="2:39">
      <c r="B277" s="23">
        <f t="shared" si="32"/>
        <v>8</v>
      </c>
      <c r="C277" s="23" t="s">
        <v>240</v>
      </c>
      <c r="D277" s="23" t="str">
        <f t="shared" si="30"/>
        <v>Tremoço</v>
      </c>
      <c r="E277" s="23" t="str">
        <f t="shared" si="31"/>
        <v>Amarelo</v>
      </c>
      <c r="F277" s="23" t="s">
        <v>137</v>
      </c>
      <c r="K277" s="1"/>
      <c r="R277" s="46" t="str">
        <f xml:space="preserve"> "INSERT INTO " &amp;$T$272&amp;  "(designacaoOperacaoAgricola) VALUES ('" &amp;C61&amp; "');"</f>
        <v>INSERT INTO TipoOperacaoAgricola(designacaoOperacaoAgricola) VALUES ('Aplicação fitofármaco');</v>
      </c>
      <c r="S277" s="46"/>
      <c r="T277" s="46"/>
      <c r="U277" s="46"/>
      <c r="V277" s="46"/>
      <c r="W277" s="46"/>
      <c r="X277" s="46"/>
      <c r="Y277" s="46"/>
      <c r="Z277" s="46"/>
      <c r="AA277" s="46"/>
      <c r="AE277" s="15" t="str">
        <f>"INSERT INTO "&amp;$AG$272&amp;"(idOperacao, nomeProduto) VALUES (" &amp;L110&amp; ", '"&amp;INDEX($F$270:$F$286,MATCH(J110,$B$270:$B$286,0))&amp;"');"</f>
        <v>INSERT INTO Colheita(idOperacao, nomeProduto) VALUES (109, 'Cenoura');</v>
      </c>
      <c r="AF277" s="15"/>
      <c r="AG277" s="15"/>
      <c r="AH277" s="15"/>
      <c r="AI277" s="15"/>
      <c r="AJ277" s="15"/>
      <c r="AK277" s="15"/>
      <c r="AL277" s="15"/>
      <c r="AM277" s="15"/>
    </row>
    <row r="278" spans="2:39">
      <c r="B278" s="23">
        <f t="shared" si="32"/>
        <v>9</v>
      </c>
      <c r="C278" s="23" t="s">
        <v>245</v>
      </c>
      <c r="D278" s="23" t="str">
        <f t="shared" si="30"/>
        <v>Cenoura</v>
      </c>
      <c r="E278" s="23" t="str">
        <f t="shared" si="31"/>
        <v>Scarlet Nantes</v>
      </c>
      <c r="F278" s="23" t="s">
        <v>100</v>
      </c>
      <c r="K278" s="1"/>
      <c r="R278" s="46" t="str">
        <f xml:space="preserve"> "INSERT INTO " &amp;$T$272&amp;  "(designacaoOperacaoAgricola) VALUES ('" &amp;C89&amp; "');"</f>
        <v>INSERT INTO TipoOperacaoAgricola(designacaoOperacaoAgricola) VALUES ('Sementeira');</v>
      </c>
      <c r="S278" s="46"/>
      <c r="T278" s="46"/>
      <c r="U278" s="46"/>
      <c r="V278" s="46"/>
      <c r="W278" s="46"/>
      <c r="X278" s="46"/>
      <c r="Y278" s="46"/>
      <c r="Z278" s="46"/>
      <c r="AA278" s="46"/>
      <c r="AE278" s="15" t="str">
        <f>"INSERT INTO "&amp;$AG$272&amp;"(idOperacao, nomeProduto) VALUES (" &amp;L116&amp; ", '"&amp;INDEX($F$270:$F$286,MATCH(J116,$B$270:$B$286,0))&amp;"');"</f>
        <v>INSERT INTO Colheita(idOperacao, nomeProduto) VALUES (115, 'Maçã');</v>
      </c>
      <c r="AF278" s="15"/>
      <c r="AG278" s="15"/>
      <c r="AH278" s="15"/>
      <c r="AI278" s="15"/>
      <c r="AJ278" s="15"/>
      <c r="AK278" s="15"/>
      <c r="AL278" s="15"/>
      <c r="AM278" s="15"/>
    </row>
    <row r="279" spans="2:39">
      <c r="B279" s="23">
        <f t="shared" si="32"/>
        <v>10</v>
      </c>
      <c r="C279" s="23" t="s">
        <v>246</v>
      </c>
      <c r="D279" s="23" t="str">
        <f t="shared" si="30"/>
        <v>Cenoura</v>
      </c>
      <c r="E279" s="23" t="str">
        <f t="shared" si="31"/>
        <v>Nelson Hybrid</v>
      </c>
      <c r="F279" s="23" t="s">
        <v>100</v>
      </c>
      <c r="K279" s="1"/>
      <c r="R279" s="46" t="str">
        <f xml:space="preserve"> "INSERT INTO " &amp;$T$272&amp;  "(designacaoOperacaoAgricola) VALUES ('" &amp;C92&amp; "');"</f>
        <v>INSERT INTO TipoOperacaoAgricola(designacaoOperacaoAgricola) VALUES ('Colheita');</v>
      </c>
      <c r="S279" s="46"/>
      <c r="T279" s="46"/>
      <c r="U279" s="46"/>
      <c r="V279" s="46"/>
      <c r="W279" s="46"/>
      <c r="X279" s="46"/>
      <c r="Y279" s="46"/>
      <c r="Z279" s="46"/>
      <c r="AA279" s="46"/>
      <c r="AE279" s="15" t="str">
        <f>"INSERT INTO "&amp;$AG$272&amp;"(idOperacao, nomeProduto) VALUES (" &amp;L125&amp; ", '"&amp;INDEX($F$270:$F$286,MATCH(J125,$B$270:$B$286,0))&amp;"');"</f>
        <v>INSERT INTO Colheita(idOperacao, nomeProduto) VALUES (124, 'Maçã');</v>
      </c>
      <c r="AF279" s="15"/>
      <c r="AG279" s="15"/>
      <c r="AH279" s="15"/>
      <c r="AI279" s="15"/>
      <c r="AJ279" s="15"/>
      <c r="AK279" s="15"/>
      <c r="AL279" s="15"/>
      <c r="AM279" s="15"/>
    </row>
    <row r="280" spans="2:39">
      <c r="B280" s="23">
        <f t="shared" si="32"/>
        <v>11</v>
      </c>
      <c r="C280" s="23" t="s">
        <v>247</v>
      </c>
      <c r="D280" s="23" t="str">
        <f t="shared" si="30"/>
        <v>Nabo</v>
      </c>
      <c r="E280" s="23" t="str">
        <f t="shared" si="31"/>
        <v>S. Cosme</v>
      </c>
      <c r="F280" s="23" t="s">
        <v>273</v>
      </c>
      <c r="K280" s="1"/>
      <c r="R280" s="46" t="str">
        <f xml:space="preserve"> "INSERT INTO " &amp;$T$272&amp;  "(designacaoOperacaoAgricola) VALUES ('" &amp;C131&amp; "');"</f>
        <v>INSERT INTO TipoOperacaoAgricola(designacaoOperacaoAgricola) VALUES ('Incorporação no solo');</v>
      </c>
      <c r="S280" s="46"/>
      <c r="T280" s="46"/>
      <c r="U280" s="46"/>
      <c r="V280" s="46"/>
      <c r="W280" s="46"/>
      <c r="X280" s="46"/>
      <c r="Y280" s="46"/>
      <c r="Z280" s="46"/>
      <c r="AA280" s="46"/>
      <c r="AE280" s="15" t="str">
        <f>"INSERT INTO "&amp;$AG$272&amp;"(idOperacao, nomeProduto) VALUES (" &amp;L127&amp; ", '"&amp;INDEX($F$270:$F$286,MATCH(J127,$B$270:$B$286,0))&amp;"');"</f>
        <v>INSERT INTO Colheita(idOperacao, nomeProduto) VALUES (126, 'Maçã');</v>
      </c>
      <c r="AF280" s="15"/>
      <c r="AG280" s="15"/>
      <c r="AH280" s="15"/>
      <c r="AI280" s="15"/>
      <c r="AJ280" s="15"/>
      <c r="AK280" s="15"/>
      <c r="AL280" s="15"/>
      <c r="AM280" s="15"/>
    </row>
    <row r="281" spans="2:39">
      <c r="B281" s="23">
        <f t="shared" si="32"/>
        <v>12</v>
      </c>
      <c r="C281" s="23" t="s">
        <v>248</v>
      </c>
      <c r="D281" s="23" t="str">
        <f t="shared" si="30"/>
        <v>Cenoura</v>
      </c>
      <c r="E281" s="23" t="str">
        <f t="shared" si="31"/>
        <v>Sugarsnax Hybrid</v>
      </c>
      <c r="F281" s="23" t="s">
        <v>100</v>
      </c>
      <c r="K281" s="1"/>
      <c r="AE281" s="15" t="str">
        <f>"INSERT INTO "&amp;$AG$272&amp;"(idOperacao, nomeProduto) VALUES (" &amp;L139&amp; ", '"&amp;INDEX($F$270:$F$286,MATCH(J139,$B$270:$B$286,0))&amp;"');"</f>
        <v>INSERT INTO Colheita(idOperacao, nomeProduto) VALUES (138, 'Cenoura');</v>
      </c>
      <c r="AF281" s="15"/>
      <c r="AG281" s="15"/>
      <c r="AH281" s="15"/>
      <c r="AI281" s="15"/>
      <c r="AJ281" s="15"/>
      <c r="AK281" s="15"/>
      <c r="AL281" s="15"/>
      <c r="AM281" s="15"/>
    </row>
    <row r="282" spans="2:39">
      <c r="B282" s="23">
        <f t="shared" si="32"/>
        <v>13</v>
      </c>
      <c r="C282" s="23" t="s">
        <v>249</v>
      </c>
      <c r="D282" s="23" t="str">
        <f t="shared" si="30"/>
        <v>Cenoura</v>
      </c>
      <c r="E282" s="23" t="str">
        <f t="shared" si="31"/>
        <v>Danvers Half Long</v>
      </c>
      <c r="F282" s="23" t="s">
        <v>100</v>
      </c>
      <c r="K282" s="1"/>
      <c r="Q282" s="106"/>
      <c r="R282" s="11" t="s">
        <v>8</v>
      </c>
      <c r="S282" s="11" t="s">
        <v>9</v>
      </c>
      <c r="T282" s="11" t="s">
        <v>299</v>
      </c>
      <c r="U282" s="11"/>
      <c r="V282" s="47"/>
      <c r="W282" s="47"/>
      <c r="X282" s="47"/>
      <c r="Y282" s="48"/>
      <c r="Z282" s="11"/>
      <c r="AA282" s="11"/>
      <c r="AB282" s="11"/>
      <c r="AE282" s="15" t="str">
        <f>"INSERT INTO "&amp;$AG$272&amp;"(idOperacao, nomeProduto) VALUES (" &amp;L140&amp; ", '"&amp;INDEX($F$270:$F$286,MATCH(J140,$B$270:$B$286,0))&amp;"');"</f>
        <v>INSERT INTO Colheita(idOperacao, nomeProduto) VALUES (139, 'Cenoura');</v>
      </c>
      <c r="AF282" s="15"/>
      <c r="AG282" s="15"/>
      <c r="AH282" s="15"/>
      <c r="AI282" s="15"/>
      <c r="AJ282" s="15"/>
      <c r="AK282" s="15"/>
      <c r="AL282" s="15"/>
      <c r="AM282" s="15"/>
    </row>
    <row r="283" spans="2:39">
      <c r="B283" s="23">
        <f t="shared" si="32"/>
        <v>14</v>
      </c>
      <c r="C283" s="23" t="s">
        <v>242</v>
      </c>
      <c r="D283" s="23" t="str">
        <f t="shared" si="30"/>
        <v>Milho</v>
      </c>
      <c r="E283" s="23" t="str">
        <f t="shared" si="31"/>
        <v>MAS 24.C</v>
      </c>
      <c r="F283" s="23" t="s">
        <v>116</v>
      </c>
      <c r="K283" s="1"/>
      <c r="R283" s="85" t="str">
        <f>"INSERT INTO "&amp;$T$282&amp;"(nomeComercial, idOperacao) VALUES ('"&amp;IF(ISBLANK($I$22),"NONE",$I$22)&amp;"' ,"&amp;$L$22&amp;");"</f>
        <v>INSERT INTO AplicacaoFatorProducao(nomeComercial, idOperacao) VALUES ('Patentkali' ,21);</v>
      </c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E283" s="15" t="str">
        <f>"INSERT INTO "&amp;$AG$272&amp;"(idOperacao, nomeProduto) VALUES (" &amp;L153&amp; ", '"&amp;INDEX($F$270:$F$286,MATCH(J153,$B$270:$B$286,0))&amp;"');"</f>
        <v>INSERT INTO Colheita(idOperacao, nomeProduto) VALUES (152, 'Uvas');</v>
      </c>
      <c r="AF283" s="15"/>
      <c r="AG283" s="15"/>
      <c r="AH283" s="15"/>
      <c r="AI283" s="15"/>
      <c r="AJ283" s="15"/>
      <c r="AK283" s="15"/>
      <c r="AL283" s="15"/>
      <c r="AM283" s="15"/>
    </row>
    <row r="284" spans="2:39">
      <c r="B284" s="23">
        <f t="shared" si="32"/>
        <v>15</v>
      </c>
      <c r="C284" s="23" t="s">
        <v>250</v>
      </c>
      <c r="D284" s="23" t="str">
        <f>_xlfn.TEXTBEFORE(C284," ") &amp; " " &amp; _xlfn.TEXTBEFORE(_xlfn.TEXTAFTER(C284," "), " ")</f>
        <v>Nabo greleiro</v>
      </c>
      <c r="E284" s="23" t="str">
        <f>_xlfn.TEXTAFTER(_xlfn.TEXTAFTER(C284," ")," ")</f>
        <v>Senhora Conceição</v>
      </c>
      <c r="F284" s="23" t="s">
        <v>137</v>
      </c>
      <c r="K284" s="1"/>
      <c r="R284" s="85" t="str">
        <f>"INSERT INTO "&amp;$T$282&amp;"(nomeComercial, idOperacao) VALUES ('"&amp;IF(ISBLANK($I$23),"NONE",$I$23)&amp;"' ,"&amp;$L$23&amp;");"</f>
        <v>INSERT INTO AplicacaoFatorProducao(nomeComercial, idOperacao) VALUES ('Patentkali' ,22);</v>
      </c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E284" s="15" t="str">
        <f>"INSERT INTO "&amp;$AG$272&amp;"(idOperacao, nomeProduto) VALUES (" &amp;L154&amp; ", '"&amp;INDEX($F$270:$F$286,MATCH(J154,$B$270:$B$286,0))&amp;"');"</f>
        <v>INSERT INTO Colheita(idOperacao, nomeProduto) VALUES (153, 'Uvas');</v>
      </c>
      <c r="AF284" s="15"/>
      <c r="AG284" s="15"/>
      <c r="AH284" s="15"/>
      <c r="AI284" s="15"/>
      <c r="AJ284" s="15"/>
      <c r="AK284" s="15"/>
      <c r="AL284" s="15"/>
      <c r="AM284" s="15"/>
    </row>
    <row r="285" spans="2:39">
      <c r="B285" s="23">
        <f t="shared" si="32"/>
        <v>16</v>
      </c>
      <c r="C285" s="23" t="s">
        <v>254</v>
      </c>
      <c r="D285" s="23" t="str">
        <f t="shared" si="30"/>
        <v>Videira</v>
      </c>
      <c r="E285" s="23" t="str">
        <f t="shared" si="31"/>
        <v>Dona Maria</v>
      </c>
      <c r="F285" s="23" t="s">
        <v>274</v>
      </c>
      <c r="K285" s="1"/>
      <c r="R285" s="85" t="str">
        <f>"INSERT INTO "&amp;$T$282&amp;"(nomeComercial, idOperacao) VALUES ('"&amp;IF(ISBLANK($I$29),"NONE",$I$29)&amp;"' ,"&amp;$L$29&amp;");"</f>
        <v>INSERT INTO AplicacaoFatorProducao(nomeComercial, idOperacao) VALUES ('ESTA Kieserit' ,28);</v>
      </c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E285" s="15" t="str">
        <f>"INSERT INTO "&amp;$AG$272&amp;"(idOperacao, nomeProduto) VALUES (" &amp;L164&amp; ", '"&amp;INDEX($F$270:$F$286,MATCH(J164,$B$270:$B$286,0))&amp;"');"</f>
        <v>INSERT INTO Colheita(idOperacao, nomeProduto) VALUES (163, 'Cenoura');</v>
      </c>
      <c r="AF285" s="15"/>
      <c r="AG285" s="15"/>
      <c r="AH285" s="15"/>
      <c r="AI285" s="15"/>
      <c r="AJ285" s="15"/>
      <c r="AK285" s="15"/>
      <c r="AL285" s="15"/>
      <c r="AM285" s="15"/>
    </row>
    <row r="286" spans="2:39">
      <c r="B286" s="23">
        <f t="shared" si="32"/>
        <v>17</v>
      </c>
      <c r="C286" s="23" t="s">
        <v>255</v>
      </c>
      <c r="D286" s="23" t="str">
        <f t="shared" si="30"/>
        <v>Videira</v>
      </c>
      <c r="E286" s="23" t="str">
        <f t="shared" si="31"/>
        <v>Cardinal</v>
      </c>
      <c r="F286" s="23" t="s">
        <v>274</v>
      </c>
      <c r="K286" s="1"/>
      <c r="R286" s="85" t="str">
        <f>"INSERT INTO "&amp;$T$282&amp;"(nomeComercial, idOperacao) VALUES ('"&amp;IF(ISBLANK($I$30),"NONE",$I$30)&amp;"' ,"&amp;$L$30&amp;");"</f>
        <v>INSERT INTO AplicacaoFatorProducao(nomeComercial, idOperacao) VALUES ('ESTA Kieserit' ,29);</v>
      </c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E286" s="15" t="str">
        <f t="shared" ref="AE286:AE293" si="33">"INSERT INTO "&amp;$AG$272&amp;"(idOperacao, nomeProduto) VALUES (" &amp;L166&amp; ", '"&amp;INDEX($F$270:$F$286,MATCH(J166,$B$270:$B$286,0))&amp;"');"</f>
        <v>INSERT INTO Colheita(idOperacao, nomeProduto) VALUES (165, 'Maçã');</v>
      </c>
      <c r="AF286" s="15"/>
      <c r="AG286" s="15"/>
      <c r="AH286" s="15"/>
      <c r="AI286" s="15"/>
      <c r="AJ286" s="15"/>
      <c r="AK286" s="15"/>
      <c r="AL286" s="15"/>
      <c r="AM286" s="15"/>
    </row>
    <row r="287" spans="2:39">
      <c r="B287" s="23">
        <f t="shared" si="32"/>
        <v>18</v>
      </c>
      <c r="C287" s="23" t="s">
        <v>268</v>
      </c>
      <c r="D287" s="23" t="s">
        <v>268</v>
      </c>
      <c r="E287" s="23" t="s">
        <v>275</v>
      </c>
      <c r="F287" s="23" t="s">
        <v>276</v>
      </c>
      <c r="K287" s="1"/>
      <c r="R287" s="85" t="str">
        <f>"INSERT INTO "&amp;$T$282&amp;"(nomeComercial, idOperacao) VALUES ('"&amp;IF(ISBLANK($I$31),"NONE",$I$31)&amp;"' ,"&amp;L31&amp;");"</f>
        <v>INSERT INTO AplicacaoFatorProducao(nomeComercial, idOperacao) VALUES ('ESTA Kieserit' ,30);</v>
      </c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E287" s="15" t="str">
        <f t="shared" si="33"/>
        <v>INSERT INTO Colheita(idOperacao, nomeProduto) VALUES (166, 'Maçã');</v>
      </c>
      <c r="AF287" s="15"/>
      <c r="AG287" s="15"/>
      <c r="AH287" s="15"/>
      <c r="AI287" s="15"/>
      <c r="AJ287" s="15"/>
      <c r="AK287" s="15"/>
      <c r="AL287" s="15"/>
      <c r="AM287" s="15"/>
    </row>
    <row r="288" spans="2:39">
      <c r="K288" s="1"/>
      <c r="R288" s="85" t="str">
        <f>"INSERT INTO "&amp;$T$282&amp;"(nomeComercial, idOperacao) VALUES ('"&amp;IF(ISBLANK($I$61),"NONE",$I$61)&amp;"' ,"&amp;$L$61&amp;");"</f>
        <v>INSERT INTO AplicacaoFatorProducao(nomeComercial, idOperacao) VALUES ('Calda Bordalesa ASCENZA' ,60);</v>
      </c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E288" s="15" t="str">
        <f t="shared" si="33"/>
        <v>INSERT INTO Colheita(idOperacao, nomeProduto) VALUES (167, 'Milho');</v>
      </c>
      <c r="AF288" s="15"/>
      <c r="AG288" s="15"/>
      <c r="AH288" s="15"/>
      <c r="AI288" s="15"/>
      <c r="AJ288" s="15"/>
      <c r="AK288" s="15"/>
      <c r="AL288" s="15"/>
      <c r="AM288" s="15"/>
    </row>
    <row r="289" spans="2:39">
      <c r="L289" s="92"/>
      <c r="R289" s="85" t="str">
        <f>"INSERT INTO "&amp;$T$282&amp;"(nomeComercial, idOperacao) VALUES ('"&amp;IF(ISBLANK($I$62),"NONE",$I$62)&amp;"' ,"&amp;$L$62&amp;");"</f>
        <v>INSERT INTO AplicacaoFatorProducao(nomeComercial, idOperacao) VALUES ('Calda Bordalesa ASCENZA' ,61);</v>
      </c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E289" s="15" t="str">
        <f t="shared" si="33"/>
        <v>INSERT INTO Colheita(idOperacao, nomeProduto) VALUES (168, 'Cenoura');</v>
      </c>
      <c r="AF289" s="15"/>
      <c r="AG289" s="15"/>
      <c r="AH289" s="15"/>
      <c r="AI289" s="15"/>
      <c r="AJ289" s="15"/>
      <c r="AK289" s="15"/>
      <c r="AL289" s="15"/>
      <c r="AM289" s="15"/>
    </row>
    <row r="290" spans="2:39">
      <c r="K290" s="1"/>
      <c r="R290" s="85" t="str">
        <f>"INSERT INTO "&amp;$T$282&amp;"(nomeComercial, idOperacao) VALUES ('"&amp;IF(ISBLANK($I$63),"NONE",$I$63)&amp;"' ,"&amp;$L$63&amp;");"</f>
        <v>INSERT INTO AplicacaoFatorProducao(nomeComercial, idOperacao) VALUES ('ESTA Kieserit' ,62);</v>
      </c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E290" s="15" t="str">
        <f t="shared" si="33"/>
        <v>INSERT INTO Colheita(idOperacao, nomeProduto) VALUES (169, 'Maçã');</v>
      </c>
      <c r="AF290" s="15"/>
      <c r="AG290" s="15"/>
      <c r="AH290" s="15"/>
      <c r="AI290" s="15"/>
      <c r="AJ290" s="15"/>
      <c r="AK290" s="15"/>
      <c r="AL290" s="15"/>
      <c r="AM290" s="15"/>
    </row>
    <row r="291" spans="2:39">
      <c r="K291" s="91"/>
      <c r="R291" s="85" t="str">
        <f>"INSERT INTO "&amp;$T$282&amp;"(nomeComercial, idOperacao) VALUES ('"&amp;IF(ISBLANK($I$64),"NONE",$I$64)&amp;"' ,"&amp;$L$64&amp;");"</f>
        <v>INSERT INTO AplicacaoFatorProducao(nomeComercial, idOperacao) VALUES ('ESTA Kieserit' ,63);</v>
      </c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E291" s="15" t="str">
        <f t="shared" si="33"/>
        <v>INSERT INTO Colheita(idOperacao, nomeProduto) VALUES (170, 'Maçã');</v>
      </c>
      <c r="AF291" s="15"/>
      <c r="AG291" s="15"/>
      <c r="AH291" s="15"/>
      <c r="AI291" s="15"/>
      <c r="AJ291" s="15"/>
      <c r="AK291" s="15"/>
      <c r="AL291" s="15"/>
      <c r="AM291" s="15"/>
    </row>
    <row r="292" spans="2:39">
      <c r="K292" s="1"/>
      <c r="R292" s="85" t="str">
        <f>"INSERT INTO "&amp;$T$282&amp;"(nomeComercial, idOperacao) VALUES ('"&amp;IF(ISBLANK($I$65),"NONE",$I$65)&amp;"' ,"&amp;$L$65&amp;");"</f>
        <v>INSERT INTO AplicacaoFatorProducao(nomeComercial, idOperacao) VALUES ('ESTA Kieserit' ,64);</v>
      </c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E292" s="15" t="str">
        <f t="shared" si="33"/>
        <v>INSERT INTO Colheita(idOperacao, nomeProduto) VALUES (171, 'Cenoura');</v>
      </c>
      <c r="AF292" s="15"/>
      <c r="AG292" s="15"/>
      <c r="AH292" s="15"/>
      <c r="AI292" s="15"/>
      <c r="AJ292" s="15"/>
      <c r="AK292" s="15"/>
      <c r="AL292" s="15"/>
      <c r="AM292" s="15"/>
    </row>
    <row r="293" spans="2:39">
      <c r="B293" s="23" t="s">
        <v>286</v>
      </c>
      <c r="C293" s="97" t="s">
        <v>271</v>
      </c>
      <c r="D293" s="97" t="s">
        <v>259</v>
      </c>
      <c r="E293" s="97" t="s">
        <v>300</v>
      </c>
      <c r="F293" s="99" t="s">
        <v>8</v>
      </c>
      <c r="G293" s="99" t="s">
        <v>277</v>
      </c>
      <c r="H293" s="99" t="s">
        <v>301</v>
      </c>
      <c r="I293" s="99"/>
      <c r="J293" s="99"/>
      <c r="K293" s="99"/>
      <c r="L293" s="100"/>
      <c r="M293" s="101"/>
      <c r="N293" s="101"/>
      <c r="O293" s="101"/>
      <c r="P293" s="106"/>
      <c r="R293" s="85" t="str">
        <f>"INSERT INTO "&amp;$T$282&amp;"(nomeComercial, idOperacao) VALUES ('"&amp;IF(ISBLANK($I$66),"NONE",$I$66)&amp;"' ,"&amp;$L$66&amp;");"</f>
        <v>INSERT INTO AplicacaoFatorProducao(nomeComercial, idOperacao) VALUES ('ESTA Kieserit' ,65);</v>
      </c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E293" s="15" t="str">
        <f t="shared" si="33"/>
        <v>INSERT INTO Colheita(idOperacao, nomeProduto) VALUES (172, 'Maçã');</v>
      </c>
      <c r="AF293" s="15"/>
      <c r="AG293" s="15"/>
      <c r="AH293" s="15"/>
      <c r="AI293" s="15"/>
      <c r="AJ293" s="15"/>
      <c r="AK293" s="15"/>
      <c r="AL293" s="15"/>
      <c r="AM293" s="15"/>
    </row>
    <row r="294" spans="2:39">
      <c r="B294" s="23" t="s">
        <v>127</v>
      </c>
      <c r="C294" s="23" t="s">
        <v>272</v>
      </c>
      <c r="D294" s="95">
        <f t="shared" ref="D294:D300" si="34">SUMIFS($G$2:$G$266, $O$2:$O$266, B294, $C$2:$C$266, "Colheita")</f>
        <v>830</v>
      </c>
      <c r="E294" s="23">
        <v>1</v>
      </c>
      <c r="F294" s="94" t="str">
        <f>"INSERT INTO "&amp;$H$293&amp;"(idStock,nomeEdificio,designacaoUnidade,quantidade) VALUES ("&amp;E294&amp;", '"&amp;'Exploração agrícola'!$C$10&amp;"', '"&amp;Operações!$H$92&amp;"',"&amp;D294&amp;");"</f>
        <v>INSERT INTO Stock(idStock,nomeEdificio,designacaoUnidade,quantidade) VALUES (1, 'Armazém novo', 'kg',830);</v>
      </c>
      <c r="G294" s="94"/>
      <c r="H294" s="94"/>
      <c r="I294" s="94"/>
      <c r="J294" s="94"/>
      <c r="K294" s="94"/>
      <c r="L294" s="94"/>
      <c r="M294" s="14"/>
      <c r="N294" s="14"/>
      <c r="O294" s="14"/>
      <c r="R294" s="85" t="str">
        <f>"INSERT INTO "&amp;$T$282&amp;"(nomeComercial, idOperacao) VALUES ('"&amp;IF(ISBLANK($I$87),"NONE",$I$87)&amp;"' ,"&amp;$L$87&amp;");"</f>
        <v>INSERT INTO AplicacaoFatorProducao(nomeComercial, idOperacao) VALUES ('Calda Bordalesa ASCENZA' ,86);</v>
      </c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E294" s="15" t="str">
        <f>"INSERT INTO "&amp;$AG$272&amp;"(idOperacao, nomeProduto) VALUES (" &amp;L175&amp; ", '"&amp;INDEX($F$270:$F$286,MATCH(J175,$B$270:$B$286,0))&amp;"');"</f>
        <v>INSERT INTO Colheita(idOperacao, nomeProduto) VALUES (174, 'Maçã');</v>
      </c>
      <c r="AF294" s="15"/>
      <c r="AG294" s="15"/>
      <c r="AH294" s="15"/>
      <c r="AI294" s="15"/>
      <c r="AJ294" s="15"/>
      <c r="AK294" s="15"/>
      <c r="AL294" s="15"/>
      <c r="AM294" s="15"/>
    </row>
    <row r="295" spans="2:39">
      <c r="B295" s="23" t="s">
        <v>51</v>
      </c>
      <c r="C295" s="23" t="s">
        <v>273</v>
      </c>
      <c r="D295" s="95">
        <f t="shared" si="34"/>
        <v>14309</v>
      </c>
      <c r="E295" s="23">
        <f t="shared" ref="E295:E300" si="35">E294 + 1</f>
        <v>2</v>
      </c>
      <c r="F295" s="94" t="str">
        <f>"INSERT INTO "&amp;$H$293&amp;"(idStock,nomeEdificio,designacaoUnidade,quantidade) VALUES ("&amp;E295&amp;", '"&amp;'Exploração agrícola'!$C$10&amp;"', '"&amp;Operações!$H$92&amp;"',"&amp;D295&amp;");"</f>
        <v>INSERT INTO Stock(idStock,nomeEdificio,designacaoUnidade,quantidade) VALUES (2, 'Armazém novo', 'kg',14309);</v>
      </c>
      <c r="G295" s="14"/>
      <c r="H295" s="14"/>
      <c r="I295" s="14"/>
      <c r="J295" s="14"/>
      <c r="K295" s="14"/>
      <c r="L295" s="14"/>
      <c r="M295" s="14"/>
      <c r="N295" s="14"/>
      <c r="O295" s="14"/>
      <c r="R295" s="85" t="str">
        <f>"INSERT INTO "&amp;$T$282&amp;"(nomeComercial, idOperacao) VALUES ('"&amp;IF(ISBLANK(I88),"NONE",I88)&amp;"' ,"&amp;L88&amp;");"</f>
        <v>INSERT INTO AplicacaoFatorProducao(nomeComercial, idOperacao) VALUES ('Calda Bordalesa ASCENZA' ,87);</v>
      </c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E295" s="15" t="str">
        <f>"INSERT INTO "&amp;$AG$272&amp;"(idOperacao, nomeProduto) VALUES (" &amp;L178&amp; ", '"&amp;INDEX($F$270:$F$286,MATCH(J178,$B$270:$B$286,0))&amp;"');"</f>
        <v>INSERT INTO Colheita(idOperacao, nomeProduto) VALUES (177, 'Maçã');</v>
      </c>
      <c r="AF295" s="15"/>
      <c r="AG295" s="15"/>
      <c r="AH295" s="15"/>
      <c r="AI295" s="15"/>
      <c r="AJ295" s="15"/>
      <c r="AK295" s="15"/>
      <c r="AL295" s="15"/>
      <c r="AM295" s="15"/>
    </row>
    <row r="296" spans="2:39">
      <c r="B296" s="23" t="s">
        <v>111</v>
      </c>
      <c r="C296" s="23" t="s">
        <v>111</v>
      </c>
      <c r="D296" s="95">
        <f t="shared" si="34"/>
        <v>0</v>
      </c>
      <c r="E296" s="23">
        <f t="shared" si="35"/>
        <v>3</v>
      </c>
      <c r="F296" s="94" t="str">
        <f>"INSERT INTO "&amp;$H$293&amp;"(idStock,nomeEdificio,designacaoUnidade,quantidade) VALUES ("&amp;E296&amp;", '"&amp;'Exploração agrícola'!$C$10&amp;"', '"&amp;Operações!$H$92&amp;"',"&amp;D296&amp;");"</f>
        <v>INSERT INTO Stock(idStock,nomeEdificio,designacaoUnidade,quantidade) VALUES (3, 'Armazém novo', 'kg',0);</v>
      </c>
      <c r="G296" s="14"/>
      <c r="H296" s="14"/>
      <c r="I296" s="14"/>
      <c r="J296" s="14"/>
      <c r="K296" s="14"/>
      <c r="L296" s="14"/>
      <c r="M296" s="14"/>
      <c r="N296" s="14"/>
      <c r="O296" s="14"/>
      <c r="R296" s="85" t="str">
        <f>"INSERT INTO "&amp;$T$282&amp;"(nomeComercial, idOperacao) VALUES ('"&amp;IF(ISBLANK($I$90),"NONE",$I$90)&amp;"' ,"&amp;$L$90&amp;");"</f>
        <v>INSERT INTO AplicacaoFatorProducao(nomeComercial, idOperacao) VALUES ('Biocal Composto' ,89);</v>
      </c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E296" s="15" t="str">
        <f>"INSERT INTO "&amp;$AG$272&amp;"(idOperacao, nomeProduto) VALUES (" &amp;L179&amp; ", '"&amp;INDEX($F$270:$F$286,MATCH(J179,$B$270:$B$286,0))&amp;"');"</f>
        <v>INSERT INTO Colheita(idOperacao, nomeProduto) VALUES (178, 'Maçã');</v>
      </c>
      <c r="AF296" s="15"/>
      <c r="AG296" s="15"/>
      <c r="AH296" s="15"/>
      <c r="AI296" s="15"/>
      <c r="AJ296" s="15"/>
      <c r="AK296" s="15"/>
      <c r="AL296" s="15"/>
      <c r="AM296" s="15"/>
    </row>
    <row r="297" spans="2:39">
      <c r="B297" s="23" t="s">
        <v>116</v>
      </c>
      <c r="C297" s="23" t="s">
        <v>116</v>
      </c>
      <c r="D297" s="95">
        <f t="shared" si="34"/>
        <v>16700</v>
      </c>
      <c r="E297" s="23">
        <f t="shared" si="35"/>
        <v>4</v>
      </c>
      <c r="F297" s="94" t="str">
        <f>"INSERT INTO "&amp;$H$293&amp;"(idStock,nomeEdificio,designacaoUnidade,quantidade) VALUES ("&amp;E297&amp;", '"&amp;'Exploração agrícola'!$C$10&amp;"', '"&amp;Operações!$H$92&amp;"',"&amp;D297&amp;");"</f>
        <v>INSERT INTO Stock(idStock,nomeEdificio,designacaoUnidade,quantidade) VALUES (4, 'Armazém novo', 'kg',16700);</v>
      </c>
      <c r="G297" s="14"/>
      <c r="H297" s="14"/>
      <c r="I297" s="14"/>
      <c r="J297" s="14"/>
      <c r="K297" s="14"/>
      <c r="L297" s="14"/>
      <c r="M297" s="14"/>
      <c r="N297" s="14"/>
      <c r="O297" s="14"/>
      <c r="R297" s="85" t="str">
        <f>"INSERT INTO "&amp;$T$282&amp;"(nomeComercial, idOperacao) VALUES ('"&amp;IF(ISBLANK($I$120),"NONE",$I$120)&amp;"' ,"&amp;$L$120&amp;");"</f>
        <v>INSERT INTO AplicacaoFatorProducao(nomeComercial, idOperacao) VALUES ('Patentkali' ,119);</v>
      </c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E297" s="15" t="str">
        <f>"INSERT INTO "&amp;$AG$272&amp;"(idOperacao, nomeProduto) VALUES (" &amp;L180&amp; ", '"&amp;INDEX($F$270:$F$286,MATCH(J180,$B$270:$B$286,0))&amp;"');"</f>
        <v>INSERT INTO Colheita(idOperacao, nomeProduto) VALUES (179, 'Azeitona');</v>
      </c>
      <c r="AF297" s="15"/>
      <c r="AG297" s="15"/>
      <c r="AH297" s="15"/>
      <c r="AI297" s="15"/>
      <c r="AJ297" s="15"/>
      <c r="AK297" s="15"/>
      <c r="AL297" s="15"/>
      <c r="AM297" s="15"/>
    </row>
    <row r="298" spans="2:39">
      <c r="B298" s="23" t="s">
        <v>100</v>
      </c>
      <c r="C298" s="23" t="s">
        <v>100</v>
      </c>
      <c r="D298" s="95">
        <f t="shared" si="34"/>
        <v>18100</v>
      </c>
      <c r="E298" s="23">
        <f t="shared" si="35"/>
        <v>5</v>
      </c>
      <c r="F298" s="94" t="str">
        <f>"INSERT INTO "&amp;$H$293&amp;"(idStock,nomeEdificio,designacaoUnidade,quantidade) VALUES ("&amp;E298&amp;", '"&amp;'Exploração agrícola'!$C$10&amp;"', '"&amp;Operações!$H$92&amp;"',"&amp;D298&amp;");"</f>
        <v>INSERT INTO Stock(idStock,nomeEdificio,designacaoUnidade,quantidade) VALUES (5, 'Armazém novo', 'kg',18100);</v>
      </c>
      <c r="G298" s="14"/>
      <c r="H298" s="14"/>
      <c r="I298" s="14"/>
      <c r="J298" s="14"/>
      <c r="K298" s="14"/>
      <c r="L298" s="14"/>
      <c r="M298" s="14"/>
      <c r="N298" s="14"/>
      <c r="O298" s="14"/>
      <c r="R298" s="85" t="str">
        <f>"INSERT INTO "&amp;$T$282&amp;"(nomeComercial, idOperacao) VALUES ('"&amp;IF(ISBLANK($I$121),"NONE",$I$121)&amp;"' ,"&amp;$L$121&amp;");"</f>
        <v>INSERT INTO AplicacaoFatorProducao(nomeComercial, idOperacao) VALUES ('Patentkali' ,120);</v>
      </c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E298" s="15" t="str">
        <f>"INSERT INTO "&amp;$AG$272&amp;"(idOperacao, nomeProduto) VALUES (" &amp;L181&amp; ", '"&amp;INDEX($F$270:$F$286,MATCH(J181,$B$270:$B$286,0))&amp;"');"</f>
        <v>INSERT INTO Colheita(idOperacao, nomeProduto) VALUES (180, 'Azeitona');</v>
      </c>
      <c r="AF298" s="15"/>
      <c r="AG298" s="15"/>
      <c r="AH298" s="15"/>
      <c r="AI298" s="15"/>
      <c r="AJ298" s="15"/>
      <c r="AK298" s="15"/>
      <c r="AL298" s="15"/>
      <c r="AM298" s="15"/>
    </row>
    <row r="299" spans="2:39">
      <c r="B299" s="23" t="s">
        <v>137</v>
      </c>
      <c r="C299" s="23" t="s">
        <v>137</v>
      </c>
      <c r="D299" s="95">
        <f t="shared" si="34"/>
        <v>12500</v>
      </c>
      <c r="E299" s="23">
        <f t="shared" si="35"/>
        <v>6</v>
      </c>
      <c r="F299" s="94" t="str">
        <f>"INSERT INTO "&amp;$H$293&amp;"(idStock,nomeEdificio,designacaoUnidade,quantidade) VALUES ("&amp;E299&amp;", '"&amp;'Exploração agrícola'!$C$10&amp;"', '"&amp;Operações!$H$92&amp;"',"&amp;D299&amp;");"</f>
        <v>INSERT INTO Stock(idStock,nomeEdificio,designacaoUnidade,quantidade) VALUES (6, 'Armazém novo', 'kg',12500);</v>
      </c>
      <c r="G299" s="14"/>
      <c r="H299" s="14"/>
      <c r="I299" s="14"/>
      <c r="J299" s="14"/>
      <c r="K299" s="14"/>
      <c r="L299" s="14"/>
      <c r="M299" s="14"/>
      <c r="N299" s="14"/>
      <c r="O299" s="14"/>
      <c r="R299" s="85" t="str">
        <f>"INSERT INTO "&amp;$T$282&amp;"(nomeComercial, idOperacao) VALUES ('"&amp;IF(ISBLANK($I$128),"NONE",$I$128)&amp;"' ,"&amp;$L$128&amp;");"</f>
        <v>INSERT INTO AplicacaoFatorProducao(nomeComercial, idOperacao) VALUES ('Calda Bordalesa ASCENZA' ,127);</v>
      </c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E299" s="15" t="str">
        <f>"INSERT INTO "&amp;$AG$272&amp;"(idOperacao, nomeProduto) VALUES (" &amp;L182&amp; ", '"&amp;INDEX($F$270:$F$286,MATCH(J182,$B$270:$B$286,0))&amp;"');"</f>
        <v>INSERT INTO Colheita(idOperacao, nomeProduto) VALUES (181, 'Maçã');</v>
      </c>
      <c r="AF299" s="15"/>
      <c r="AG299" s="15"/>
      <c r="AH299" s="15"/>
      <c r="AI299" s="15"/>
      <c r="AJ299" s="15"/>
      <c r="AK299" s="15"/>
      <c r="AL299" s="15"/>
      <c r="AM299" s="15"/>
    </row>
    <row r="300" spans="2:39">
      <c r="B300" s="23" t="s">
        <v>142</v>
      </c>
      <c r="C300" s="23" t="s">
        <v>274</v>
      </c>
      <c r="D300" s="95">
        <f t="shared" si="34"/>
        <v>3600</v>
      </c>
      <c r="E300" s="23">
        <f t="shared" si="35"/>
        <v>7</v>
      </c>
      <c r="F300" s="94" t="str">
        <f>"INSERT INTO "&amp;$H$293&amp;"(idStock,nomeEdificio,designacaoUnidade,quantidade) VALUES ("&amp;E300&amp;", '"&amp;'Exploração agrícola'!$C$10&amp;"', '"&amp;Operações!$H$92&amp;"',"&amp;D300&amp;");"</f>
        <v>INSERT INTO Stock(idStock,nomeEdificio,designacaoUnidade,quantidade) VALUES (7, 'Armazém novo', 'kg',3600);</v>
      </c>
      <c r="G300" s="14"/>
      <c r="H300" s="14"/>
      <c r="I300" s="14"/>
      <c r="J300" s="14"/>
      <c r="K300" s="14"/>
      <c r="L300" s="14"/>
      <c r="M300" s="14"/>
      <c r="N300" s="14"/>
      <c r="O300" s="14"/>
      <c r="R300" s="85" t="str">
        <f>"INSERT INTO "&amp;$T$282&amp;"(nomeComercial, idOperacao) VALUES ('"&amp;IF(ISBLANK($I$129),"NONE",$I$129)&amp;"' ,"&amp;$L$129&amp;");"</f>
        <v>INSERT INTO AplicacaoFatorProducao(nomeComercial, idOperacao) VALUES ('Calda Bordalesa ASCENZA' ,128);</v>
      </c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E300" s="15" t="str">
        <f>"INSERT INTO "&amp;$AG$272&amp;"(idOperacao, nomeProduto) VALUES (" &amp;L190&amp; ", '"&amp;INDEX($F$270:$F$286,MATCH(J190,$B$270:$B$286,0))&amp;"');"</f>
        <v>INSERT INTO Colheita(idOperacao, nomeProduto) VALUES (189, 'Maçã');</v>
      </c>
      <c r="AF300" s="15"/>
      <c r="AG300" s="15"/>
      <c r="AH300" s="15"/>
      <c r="AI300" s="15"/>
      <c r="AJ300" s="15"/>
      <c r="AK300" s="15"/>
      <c r="AL300" s="15"/>
      <c r="AM300" s="15"/>
    </row>
    <row r="301" spans="2:39">
      <c r="C301" s="44" t="s">
        <v>302</v>
      </c>
      <c r="D301" s="44" t="s">
        <v>259</v>
      </c>
      <c r="E301" s="44" t="s">
        <v>300</v>
      </c>
      <c r="F301" s="98" t="s">
        <v>8</v>
      </c>
      <c r="G301" s="98" t="s">
        <v>9</v>
      </c>
      <c r="H301" s="98" t="s">
        <v>301</v>
      </c>
      <c r="I301" s="98"/>
      <c r="J301" s="98"/>
      <c r="K301" s="98"/>
      <c r="L301" s="98"/>
      <c r="M301" s="98"/>
      <c r="N301" s="98"/>
      <c r="O301" s="98"/>
      <c r="P301" s="106"/>
      <c r="R301" s="85" t="str">
        <f>"INSERT INTO "&amp;$T$282&amp;"(nomeComercial, idOperacao) VALUES ('"&amp;IF(ISBLANK($I$135),"NONE",$I$135)&amp;"' ,"&amp;$L$135&amp;");"</f>
        <v>INSERT INTO AplicacaoFatorProducao(nomeComercial, idOperacao) VALUES ('EPSO Microtop' ,134);</v>
      </c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E301" s="15" t="str">
        <f>"INSERT INTO "&amp;$AG$272&amp;"(idOperacao, nomeProduto) VALUES (" &amp;L192&amp; ", '"&amp;INDEX($F$270:$F$286,MATCH(J192,$B$270:$B$286,0))&amp;"');"</f>
        <v>INSERT INTO Colheita(idOperacao, nomeProduto) VALUES (191, 'Maçã');</v>
      </c>
      <c r="AF301" s="15"/>
      <c r="AG301" s="15"/>
      <c r="AH301" s="15"/>
      <c r="AI301" s="15"/>
      <c r="AJ301" s="15"/>
      <c r="AK301" s="15"/>
      <c r="AL301" s="15"/>
      <c r="AM301" s="15"/>
    </row>
    <row r="302" spans="2:39">
      <c r="C302" s="24" t="s">
        <v>163</v>
      </c>
      <c r="D302" s="24">
        <v>0</v>
      </c>
      <c r="E302" s="24">
        <f>Operações!E300 + 1</f>
        <v>8</v>
      </c>
      <c r="F302" s="96" t="str">
        <f>"INSERT INTO "&amp;Operações!$H$293&amp;"(idStock,nomeEdificio,designacaoUnidade,quantidade) VALUES ("&amp;E302&amp;", '"&amp;'Exploração agrícola'!$C$10&amp;"', '"&amp;Operações!$H$92&amp;"',"&amp;0&amp;");"</f>
        <v>INSERT INTO Stock(idStock,nomeEdificio,designacaoUnidade,quantidade) VALUES (8, 'Armazém novo', 'kg',0);</v>
      </c>
      <c r="G302" s="96"/>
      <c r="H302" s="96"/>
      <c r="I302" s="96"/>
      <c r="J302" s="96"/>
      <c r="K302" s="96"/>
      <c r="L302" s="96"/>
      <c r="M302" s="96"/>
      <c r="N302" s="96"/>
      <c r="O302" s="96"/>
      <c r="R302" s="85" t="str">
        <f>"INSERT INTO "&amp;$T$282&amp;"(nomeComercial, idOperacao) VALUES ('"&amp;IF(ISBLANK($I$136),"NONE",$I$136)&amp;"' ,"&amp;$L$136&amp;");"</f>
        <v>INSERT INTO AplicacaoFatorProducao(nomeComercial, idOperacao) VALUES ('EPSO Microtop' ,135);</v>
      </c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E302" s="15" t="str">
        <f>"INSERT INTO "&amp;$AG$272&amp;"(idOperacao, nomeProduto) VALUES (" &amp;L200&amp; ", '"&amp;INDEX($F$270:$F$286,MATCH(J200,$B$270:$B$286,0))&amp;"');"</f>
        <v>INSERT INTO Colheita(idOperacao, nomeProduto) VALUES (199, 'Cenoura');</v>
      </c>
      <c r="AF302" s="15"/>
      <c r="AG302" s="15"/>
      <c r="AH302" s="15"/>
      <c r="AI302" s="15"/>
      <c r="AJ302" s="15"/>
      <c r="AK302" s="15"/>
      <c r="AL302" s="15"/>
      <c r="AM302" s="15"/>
    </row>
    <row r="303" spans="2:39">
      <c r="C303" s="24" t="s">
        <v>169</v>
      </c>
      <c r="D303" s="24">
        <v>0</v>
      </c>
      <c r="E303" s="24">
        <f t="shared" ref="E303:E313" si="36">E302 + 1</f>
        <v>9</v>
      </c>
      <c r="F303" s="96" t="str">
        <f>"INSERT INTO "&amp;Operações!$H$293&amp;"(idStock,nomeEdificio,designacaoUnidade,quantidade) VALUES ("&amp;E303&amp;", '"&amp;'Exploração agrícola'!$C$10&amp;"', '"&amp;Operações!$H$92&amp;"',"&amp;0&amp;");"</f>
        <v>INSERT INTO Stock(idStock,nomeEdificio,designacaoUnidade,quantidade) VALUES (9, 'Armazém novo', 'kg',0);</v>
      </c>
      <c r="G303" s="96"/>
      <c r="H303" s="96"/>
      <c r="I303" s="96"/>
      <c r="J303" s="96"/>
      <c r="K303" s="96"/>
      <c r="L303" s="96"/>
      <c r="M303" s="96"/>
      <c r="N303" s="96"/>
      <c r="O303" s="96"/>
      <c r="R303" s="85" t="str">
        <f>"INSERT INTO "&amp;$T$282&amp;"(nomeComercial, idOperacao) VALUES ('"&amp;IF(ISBLANK($I$137),"NONE",$I$137)&amp;"' ,"&amp;$L$137&amp;");"</f>
        <v>INSERT INTO AplicacaoFatorProducao(nomeComercial, idOperacao) VALUES ('EPSO Microtop' ,136);</v>
      </c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E303" s="15" t="str">
        <f>"INSERT INTO "&amp;$AG$272&amp;"(idOperacao, nomeProduto) VALUES (" &amp;L205&amp; ", '"&amp;INDEX($F$270:$F$286,MATCH(J205,$B$270:$B$286,0))&amp;"');"</f>
        <v>INSERT INTO Colheita(idOperacao, nomeProduto) VALUES (204, 'Cenoura');</v>
      </c>
      <c r="AF303" s="15"/>
      <c r="AG303" s="15"/>
      <c r="AH303" s="15"/>
      <c r="AI303" s="15"/>
      <c r="AJ303" s="15"/>
      <c r="AK303" s="15"/>
      <c r="AL303" s="15"/>
      <c r="AM303" s="15"/>
    </row>
    <row r="304" spans="2:39">
      <c r="C304" s="24" t="s">
        <v>172</v>
      </c>
      <c r="D304" s="24">
        <v>0</v>
      </c>
      <c r="E304" s="24">
        <f t="shared" si="36"/>
        <v>10</v>
      </c>
      <c r="F304" s="96" t="str">
        <f>"INSERT INTO "&amp;Operações!$H$293&amp;"(idStock,nomeEdificio,designacaoUnidade,quantidade) VALUES ("&amp;E304&amp;", '"&amp;'Exploração agrícola'!$C$10&amp;"', '"&amp;Operações!$H$92&amp;"',"&amp;0&amp;");"</f>
        <v>INSERT INTO Stock(idStock,nomeEdificio,designacaoUnidade,quantidade) VALUES (10, 'Armazém novo', 'kg',0);</v>
      </c>
      <c r="G304" s="96"/>
      <c r="H304" s="96"/>
      <c r="I304" s="96"/>
      <c r="J304" s="96"/>
      <c r="K304" s="96"/>
      <c r="L304" s="96"/>
      <c r="M304" s="96"/>
      <c r="N304" s="96"/>
      <c r="O304" s="96"/>
      <c r="R304" s="85" t="str">
        <f>"INSERT INTO "&amp;$T$282&amp;"(nomeComercial, idOperacao) VALUES ('"&amp;IF(ISBLANK($I$138),"NONE",$I$138)&amp;"' ,"&amp;$L$138&amp;");"</f>
        <v>INSERT INTO AplicacaoFatorProducao(nomeComercial, idOperacao) VALUES ('EPSO Microtop' ,137);</v>
      </c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E304" s="15" t="str">
        <f>"INSERT INTO "&amp;$AG$272&amp;"(idOperacao, nomeProduto) VALUES (" &amp;L221&amp; ", '"&amp;INDEX($F$270:$F$286,MATCH(J221,$B$270:$B$286,0))&amp;"');"</f>
        <v>INSERT INTO Colheita(idOperacao, nomeProduto) VALUES (220, 'Uvas');</v>
      </c>
      <c r="AF304" s="15"/>
      <c r="AG304" s="15"/>
      <c r="AH304" s="15"/>
      <c r="AI304" s="15"/>
      <c r="AJ304" s="15"/>
      <c r="AK304" s="15"/>
      <c r="AL304" s="15"/>
      <c r="AM304" s="15"/>
    </row>
    <row r="305" spans="2:39">
      <c r="C305" s="24" t="s">
        <v>179</v>
      </c>
      <c r="D305" s="24">
        <v>0</v>
      </c>
      <c r="E305" s="24">
        <f t="shared" si="36"/>
        <v>11</v>
      </c>
      <c r="F305" s="96" t="str">
        <f>"INSERT INTO "&amp;Operações!$H$293&amp;"(idStock,nomeEdificio,designacaoUnidade,quantidade) VALUES ("&amp;E305&amp;", '"&amp;'Exploração agrícola'!$C$10&amp;"', '"&amp;Operações!$H$92&amp;"',"&amp;0&amp;");"</f>
        <v>INSERT INTO Stock(idStock,nomeEdificio,designacaoUnidade,quantidade) VALUES (11, 'Armazém novo', 'kg',0);</v>
      </c>
      <c r="G305" s="96"/>
      <c r="H305" s="96"/>
      <c r="I305" s="96"/>
      <c r="J305" s="96"/>
      <c r="K305" s="96"/>
      <c r="L305" s="96"/>
      <c r="M305" s="96"/>
      <c r="N305" s="96"/>
      <c r="O305" s="96"/>
      <c r="R305" s="85" t="str">
        <f>"INSERT INTO "&amp;$T$282&amp;"(nomeComercial, idOperacao) VALUES ('"&amp;IF(ISBLANK($I$193),"NONE",$I$193)&amp;"' ,"&amp;$L$193&amp;");"</f>
        <v>INSERT INTO AplicacaoFatorProducao(nomeComercial, idOperacao) VALUES ('Calda Bordalesa ASCENZA' ,192);</v>
      </c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E305" s="15" t="str">
        <f>"INSERT INTO "&amp;$AG$272&amp;"(idOperacao, nomeProduto) VALUES (" &amp;L222&amp; ", '"&amp;INDEX($F$270:$F$286,MATCH(J222,$B$270:$B$286,0))&amp;"');"</f>
        <v>INSERT INTO Colheita(idOperacao, nomeProduto) VALUES (221, 'Uvas');</v>
      </c>
      <c r="AF305" s="15"/>
      <c r="AG305" s="15"/>
      <c r="AH305" s="15"/>
      <c r="AI305" s="15"/>
      <c r="AJ305" s="15"/>
      <c r="AK305" s="15"/>
      <c r="AL305" s="15"/>
      <c r="AM305" s="15"/>
    </row>
    <row r="306" spans="2:39">
      <c r="C306" s="24" t="s">
        <v>180</v>
      </c>
      <c r="D306" s="24">
        <v>0</v>
      </c>
      <c r="E306" s="24">
        <f t="shared" si="36"/>
        <v>12</v>
      </c>
      <c r="F306" s="96" t="str">
        <f>"INSERT INTO "&amp;Operações!$H$293&amp;"(idStock,nomeEdificio,designacaoUnidade,quantidade) VALUES ("&amp;E306&amp;", '"&amp;'Exploração agrícola'!$C$10&amp;"', '"&amp;Operações!$H$92&amp;"',"&amp;0&amp;");"</f>
        <v>INSERT INTO Stock(idStock,nomeEdificio,designacaoUnidade,quantidade) VALUES (12, 'Armazém novo', 'kg',0);</v>
      </c>
      <c r="G306" s="96"/>
      <c r="H306" s="96"/>
      <c r="I306" s="96"/>
      <c r="J306" s="96"/>
      <c r="K306" s="96"/>
      <c r="L306" s="96"/>
      <c r="M306" s="96"/>
      <c r="N306" s="96"/>
      <c r="O306" s="96"/>
      <c r="R306" s="85" t="str">
        <f>"INSERT INTO "&amp;$T$282&amp;"(nomeComercial, idOperacao) VALUES ('"&amp;IF(ISBLANK($I$194),"NONE",$I$194)&amp;"' ,"&amp;$L$194&amp;");"</f>
        <v>INSERT INTO AplicacaoFatorProducao(nomeComercial, idOperacao) VALUES ('Calda Bordalesa ASCENZA' ,193);</v>
      </c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E306" s="15" t="str">
        <f>"INSERT INTO "&amp;$AG$272&amp;"(idOperacao, nomeProduto) VALUES (" &amp;L232&amp; ", '"&amp;INDEX($F$270:$F$286,MATCH(J232,$B$270:$B$286,0))&amp;"');"</f>
        <v>INSERT INTO Colheita(idOperacao, nomeProduto) VALUES (231, 'Uvas');</v>
      </c>
      <c r="AF306" s="15"/>
      <c r="AG306" s="15"/>
      <c r="AH306" s="15"/>
      <c r="AI306" s="15"/>
      <c r="AJ306" s="15"/>
      <c r="AK306" s="15"/>
      <c r="AL306" s="15"/>
      <c r="AM306" s="15"/>
    </row>
    <row r="307" spans="2:39">
      <c r="C307" s="24" t="s">
        <v>184</v>
      </c>
      <c r="D307" s="24">
        <v>0</v>
      </c>
      <c r="E307" s="24">
        <f t="shared" si="36"/>
        <v>13</v>
      </c>
      <c r="F307" s="96" t="str">
        <f>"INSERT INTO "&amp;Operações!$H$293&amp;"(idStock,nomeEdificio,designacaoUnidade,quantidade) VALUES ("&amp;E307&amp;", '"&amp;'Exploração agrícola'!$C$10&amp;"', '"&amp;Operações!$H$92&amp;"',"&amp;0&amp;");"</f>
        <v>INSERT INTO Stock(idStock,nomeEdificio,designacaoUnidade,quantidade) VALUES (13, 'Armazém novo', 'kg',0);</v>
      </c>
      <c r="G307" s="96"/>
      <c r="H307" s="96"/>
      <c r="I307" s="96"/>
      <c r="J307" s="96"/>
      <c r="K307" s="96"/>
      <c r="L307" s="96"/>
      <c r="M307" s="96"/>
      <c r="N307" s="96"/>
      <c r="O307" s="96"/>
      <c r="R307" s="85" t="str">
        <f>"INSERT INTO "&amp;$T$282&amp;"(nomeComercial, idOperacao) VALUES ('"&amp;IF(ISBLANK($I$201),"NONE",$I$201)&amp;"' ,"&amp;$L$201&amp;");"</f>
        <v>INSERT INTO AplicacaoFatorProducao(nomeComercial, idOperacao) VALUES ('EPSO Microtop' ,200);</v>
      </c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E307" s="15" t="str">
        <f>"INSERT INTO "&amp;$AG$272&amp;"(idOperacao, nomeProduto) VALUES (" &amp;L233&amp; ", '"&amp;INDEX($F$270:$F$286,MATCH(J233,$B$270:$B$286,0))&amp;"');"</f>
        <v>INSERT INTO Colheita(idOperacao, nomeProduto) VALUES (232, 'Uvas');</v>
      </c>
      <c r="AF307" s="15"/>
      <c r="AG307" s="15"/>
      <c r="AH307" s="15"/>
      <c r="AI307" s="15"/>
      <c r="AJ307" s="15"/>
      <c r="AK307" s="15"/>
      <c r="AL307" s="15"/>
      <c r="AM307" s="15"/>
    </row>
    <row r="308" spans="2:39">
      <c r="C308" s="24" t="s">
        <v>186</v>
      </c>
      <c r="D308" s="24">
        <v>0</v>
      </c>
      <c r="E308" s="24">
        <f t="shared" si="36"/>
        <v>14</v>
      </c>
      <c r="F308" s="96" t="str">
        <f>"INSERT INTO "&amp;Operações!$H$293&amp;"(idStock,nomeEdificio,designacaoUnidade,quantidade) VALUES ("&amp;E308&amp;", '"&amp;'Exploração agrícola'!$C$10&amp;"', '"&amp;Operações!$H$92&amp;"',"&amp;0&amp;");"</f>
        <v>INSERT INTO Stock(idStock,nomeEdificio,designacaoUnidade,quantidade) VALUES (14, 'Armazém novo', 'kg',0);</v>
      </c>
      <c r="G308" s="96"/>
      <c r="H308" s="96"/>
      <c r="I308" s="96"/>
      <c r="J308" s="96"/>
      <c r="K308" s="96"/>
      <c r="L308" s="96"/>
      <c r="M308" s="96"/>
      <c r="N308" s="96"/>
      <c r="O308" s="96"/>
      <c r="R308" s="85" t="str">
        <f>"INSERT INTO "&amp;$T$282&amp;"(nomeComercial, idOperacao) VALUES ('"&amp;IF(ISBLANK($I$202),"NONE",$I$202)&amp;"' ,"&amp;$L$202&amp;");"</f>
        <v>INSERT INTO AplicacaoFatorProducao(nomeComercial, idOperacao) VALUES ('EPSO Microtop' ,201);</v>
      </c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E308" s="15" t="str">
        <f>"INSERT INTO "&amp;$AG$272&amp;"(idOperacao, nomeProduto) VALUES (" &amp;L234&amp; ", '"&amp;INDEX($F$270:$F$286,MATCH(J234,$B$270:$B$286,0))&amp;"');"</f>
        <v>INSERT INTO Colheita(idOperacao, nomeProduto) VALUES (233, 'Cenoura');</v>
      </c>
      <c r="AF308" s="15"/>
      <c r="AG308" s="15"/>
      <c r="AH308" s="15"/>
      <c r="AI308" s="15"/>
      <c r="AJ308" s="15"/>
      <c r="AK308" s="15"/>
      <c r="AL308" s="15"/>
      <c r="AM308" s="15"/>
    </row>
    <row r="309" spans="2:39">
      <c r="C309" s="24" t="s">
        <v>192</v>
      </c>
      <c r="D309" s="24">
        <v>0</v>
      </c>
      <c r="E309" s="24">
        <f t="shared" si="36"/>
        <v>15</v>
      </c>
      <c r="F309" s="96" t="str">
        <f>"INSERT INTO "&amp;Operações!$H$293&amp;"(idStock,nomeEdificio,designacaoUnidade,quantidade) VALUES ("&amp;E309&amp;", '"&amp;'Exploração agrícola'!$C$10&amp;"', '"&amp;Operações!$H$92&amp;"',"&amp;0&amp;");"</f>
        <v>INSERT INTO Stock(idStock,nomeEdificio,designacaoUnidade,quantidade) VALUES (15, 'Armazém novo', 'kg',0);</v>
      </c>
      <c r="G309" s="96"/>
      <c r="H309" s="96"/>
      <c r="I309" s="96"/>
      <c r="J309" s="96"/>
      <c r="K309" s="96"/>
      <c r="L309" s="96"/>
      <c r="M309" s="96"/>
      <c r="N309" s="96"/>
      <c r="O309" s="96"/>
      <c r="R309" s="85" t="str">
        <f>"INSERT INTO "&amp;$T$282&amp;"(nomeComercial, idOperacao) VALUES ('"&amp;IF(ISBLANK($I$203),"NONE",$I$203)&amp;"' ,"&amp;$L$203&amp;");"</f>
        <v>INSERT INTO AplicacaoFatorProducao(nomeComercial, idOperacao) VALUES ('EPSO Microtop' ,202);</v>
      </c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E309" s="15" t="str">
        <f t="shared" ref="AE309:AE317" si="37">"INSERT INTO "&amp;$AG$272&amp;"(idOperacao, nomeProduto) VALUES (" &amp;L236&amp; ", '"&amp;INDEX($F$270:$F$286,MATCH(J236,$B$270:$B$286,0))&amp;"');"</f>
        <v>INSERT INTO Colheita(idOperacao, nomeProduto) VALUES (235, 'Milho');</v>
      </c>
      <c r="AF309" s="15"/>
      <c r="AG309" s="15"/>
      <c r="AH309" s="15"/>
      <c r="AI309" s="15"/>
      <c r="AJ309" s="15"/>
      <c r="AK309" s="15"/>
      <c r="AL309" s="15"/>
      <c r="AM309" s="15"/>
    </row>
    <row r="310" spans="2:39">
      <c r="C310" s="24" t="s">
        <v>195</v>
      </c>
      <c r="D310" s="24">
        <v>0</v>
      </c>
      <c r="E310" s="24">
        <f t="shared" si="36"/>
        <v>16</v>
      </c>
      <c r="F310" s="96" t="str">
        <f>"INSERT INTO "&amp;Operações!$H$293&amp;"(idStock,nomeEdificio,designacaoUnidade,quantidade) VALUES ("&amp;E310&amp;", '"&amp;'Exploração agrícola'!$C$10&amp;"', '"&amp;Operações!$H$92&amp;"',"&amp;0&amp;");"</f>
        <v>INSERT INTO Stock(idStock,nomeEdificio,designacaoUnidade,quantidade) VALUES (16, 'Armazém novo', 'kg',0);</v>
      </c>
      <c r="G310" s="96"/>
      <c r="H310" s="96"/>
      <c r="I310" s="96"/>
      <c r="J310" s="96"/>
      <c r="K310" s="96"/>
      <c r="L310" s="96"/>
      <c r="M310" s="96"/>
      <c r="N310" s="96"/>
      <c r="O310" s="96"/>
      <c r="R310" s="85" t="str">
        <f>"INSERT INTO "&amp;$T$282&amp;"(nomeComercial, idOperacao) VALUES ('"&amp;IF(ISBLANK($I$204),"NONE",$I$204)&amp;"' ,"&amp;$L$204&amp;");"</f>
        <v>INSERT INTO AplicacaoFatorProducao(nomeComercial, idOperacao) VALUES ('EPSO Microtop' ,203);</v>
      </c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E310" s="15" t="str">
        <f t="shared" si="37"/>
        <v>INSERT INTO Colheita(idOperacao, nomeProduto) VALUES (236, 'Maçã');</v>
      </c>
      <c r="AF310" s="15"/>
      <c r="AG310" s="15"/>
      <c r="AH310" s="15"/>
      <c r="AI310" s="15"/>
      <c r="AJ310" s="15"/>
      <c r="AK310" s="15"/>
      <c r="AL310" s="15"/>
      <c r="AM310" s="15"/>
    </row>
    <row r="311" spans="2:39">
      <c r="C311" s="24" t="s">
        <v>198</v>
      </c>
      <c r="D311" s="24">
        <v>0</v>
      </c>
      <c r="E311" s="24">
        <f t="shared" si="36"/>
        <v>17</v>
      </c>
      <c r="F311" s="96" t="str">
        <f>"INSERT INTO "&amp;Operações!$H$293&amp;"(idStock,nomeEdificio,designacaoUnidade,quantidade) VALUES ("&amp;E311&amp;", '"&amp;'Exploração agrícola'!$C$10&amp;"', '"&amp;Operações!$H$92&amp;"',"&amp;0&amp;");"</f>
        <v>INSERT INTO Stock(idStock,nomeEdificio,designacaoUnidade,quantidade) VALUES (17, 'Armazém novo', 'kg',0);</v>
      </c>
      <c r="G311" s="96"/>
      <c r="H311" s="96"/>
      <c r="I311" s="96"/>
      <c r="J311" s="96"/>
      <c r="K311" s="96"/>
      <c r="L311" s="96"/>
      <c r="M311" s="96"/>
      <c r="N311" s="96"/>
      <c r="O311" s="96"/>
      <c r="R311" s="85" t="str">
        <f>"INSERT INTO "&amp;$T$282&amp;"(nomeComercial, idOperacao) VALUES ('"&amp;IF(ISBLANK($I$257),"NONE",$I$257)&amp;"' ,"&amp;$L$257&amp;");"</f>
        <v>INSERT INTO AplicacaoFatorProducao(nomeComercial, idOperacao) VALUES ('Patentkali' ,256);</v>
      </c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E311" s="15" t="str">
        <f t="shared" si="37"/>
        <v>INSERT INTO Colheita(idOperacao, nomeProduto) VALUES (237, 'Maçã');</v>
      </c>
      <c r="AF311" s="15"/>
      <c r="AG311" s="15"/>
      <c r="AH311" s="15"/>
      <c r="AI311" s="15"/>
      <c r="AJ311" s="15"/>
      <c r="AK311" s="15"/>
      <c r="AL311" s="15"/>
      <c r="AM311" s="15"/>
    </row>
    <row r="312" spans="2:39">
      <c r="C312" s="24" t="s">
        <v>202</v>
      </c>
      <c r="D312" s="24">
        <v>0</v>
      </c>
      <c r="E312" s="24">
        <f t="shared" si="36"/>
        <v>18</v>
      </c>
      <c r="F312" s="96" t="str">
        <f>"INSERT INTO "&amp;Operações!$H$293&amp;"(idStock,nomeEdificio,designacaoUnidade,quantidade) VALUES ("&amp;E312&amp;", '"&amp;'Exploração agrícola'!$C$10&amp;"', '"&amp;Operações!$H$92&amp;"',"&amp;0&amp;");"</f>
        <v>INSERT INTO Stock(idStock,nomeEdificio,designacaoUnidade,quantidade) VALUES (18, 'Armazém novo', 'kg',0);</v>
      </c>
      <c r="G312" s="96"/>
      <c r="H312" s="96"/>
      <c r="I312" s="96"/>
      <c r="J312" s="96"/>
      <c r="K312" s="96"/>
      <c r="L312" s="96"/>
      <c r="M312" s="96"/>
      <c r="N312" s="96"/>
      <c r="O312" s="96"/>
      <c r="R312" s="85" t="str">
        <f>"INSERT INTO "&amp;$T$282&amp;"(nomeComercial, idOperacao) VALUES ('"&amp;IF(ISBLANK($I$258),"NONE",$I$258)&amp;"' ,"&amp;$L$258&amp;");"</f>
        <v>INSERT INTO AplicacaoFatorProducao(nomeComercial, idOperacao) VALUES ('Patentkali' ,257);</v>
      </c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E312" s="15" t="str">
        <f t="shared" si="37"/>
        <v>INSERT INTO Colheita(idOperacao, nomeProduto) VALUES (238, 'Cenoura');</v>
      </c>
      <c r="AF312" s="15"/>
      <c r="AG312" s="15"/>
      <c r="AH312" s="15"/>
      <c r="AI312" s="15"/>
      <c r="AJ312" s="15"/>
      <c r="AK312" s="15"/>
      <c r="AL312" s="15"/>
      <c r="AM312" s="15"/>
    </row>
    <row r="313" spans="2:39">
      <c r="C313" s="24" t="s">
        <v>303</v>
      </c>
      <c r="D313" s="24">
        <v>0</v>
      </c>
      <c r="E313" s="24">
        <f t="shared" si="36"/>
        <v>19</v>
      </c>
      <c r="F313" s="96" t="str">
        <f>"INSERT INTO "&amp;Operações!$H$293&amp;"(idStock,nomeEdificio,designacaoUnidade,quantidade) VALUES ("&amp;E313&amp;", '"&amp;'Exploração agrícola'!$C$10&amp;"', '"&amp;Operações!$H$92&amp;"',"&amp;0&amp;");"</f>
        <v>INSERT INTO Stock(idStock,nomeEdificio,designacaoUnidade,quantidade) VALUES (19, 'Armazém novo', 'kg',0);</v>
      </c>
      <c r="G313" s="96"/>
      <c r="H313" s="96"/>
      <c r="I313" s="96"/>
      <c r="J313" s="96"/>
      <c r="K313" s="96"/>
      <c r="L313" s="96"/>
      <c r="M313" s="96"/>
      <c r="N313" s="96"/>
      <c r="O313" s="96"/>
      <c r="R313" s="85" t="str">
        <f>"INSERT INTO "&amp;$T$282&amp;"(nomeComercial, idOperacao) VALUES ('"&amp;IF(ISBLANK($I$264),"NONE",$I$264)&amp;"' ,"&amp;$L$264&amp;");"</f>
        <v>INSERT INTO AplicacaoFatorProducao(nomeComercial, idOperacao) VALUES ('Calda Bordalesa ASCENZA' ,263);</v>
      </c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E313" s="15" t="str">
        <f t="shared" si="37"/>
        <v>INSERT INTO Colheita(idOperacao, nomeProduto) VALUES (239, 'Cenoura');</v>
      </c>
      <c r="AF313" s="15"/>
      <c r="AG313" s="15"/>
      <c r="AH313" s="15"/>
      <c r="AI313" s="15"/>
      <c r="AJ313" s="15"/>
      <c r="AK313" s="15"/>
      <c r="AL313" s="15"/>
      <c r="AM313" s="15"/>
    </row>
    <row r="314" spans="2:39">
      <c r="C314" s="24" t="s">
        <v>304</v>
      </c>
      <c r="D314" s="24">
        <v>0</v>
      </c>
      <c r="E314" s="24">
        <f>E313 + 1</f>
        <v>20</v>
      </c>
      <c r="F314" s="96" t="str">
        <f>"INSERT INTO "&amp;Operações!$H$293&amp;"(idStock,nomeEdificio,designacaoUnidade,quantidade) VALUES ("&amp;E314&amp;", '"&amp;'Exploração agrícola'!$C$10&amp;"', '"&amp;Operações!$H$92&amp;"',"&amp;0&amp;");"</f>
        <v>INSERT INTO Stock(idStock,nomeEdificio,designacaoUnidade,quantidade) VALUES (20, 'Armazém novo', 'kg',0);</v>
      </c>
      <c r="G314" s="96"/>
      <c r="H314" s="96"/>
      <c r="I314" s="96"/>
      <c r="J314" s="96"/>
      <c r="K314" s="96"/>
      <c r="L314" s="96"/>
      <c r="M314" s="96"/>
      <c r="N314" s="96"/>
      <c r="O314" s="96"/>
      <c r="R314" s="85" t="str">
        <f>"INSERT INTO "&amp;$T$282&amp;"(nomeComercial, idOperacao) VALUES ('"&amp;IF(ISBLANK($I$265),"NONE",$I$265)&amp;"' ,"&amp;$L$265&amp;");"</f>
        <v>INSERT INTO AplicacaoFatorProducao(nomeComercial, idOperacao) VALUES ('Calda Bordalesa ASCENZA' ,264);</v>
      </c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E314" s="15" t="str">
        <f t="shared" si="37"/>
        <v>INSERT INTO Colheita(idOperacao, nomeProduto) VALUES (240, 'Maçã');</v>
      </c>
      <c r="AF314" s="15"/>
      <c r="AG314" s="15"/>
      <c r="AH314" s="15"/>
      <c r="AI314" s="15"/>
      <c r="AJ314" s="15"/>
      <c r="AK314" s="15"/>
      <c r="AL314" s="15"/>
      <c r="AM314" s="15"/>
    </row>
    <row r="315" spans="2:39">
      <c r="AE315" s="15" t="str">
        <f t="shared" si="37"/>
        <v>INSERT INTO Colheita(idOperacao, nomeProduto) VALUES (241, 'Maçã');</v>
      </c>
      <c r="AF315" s="15"/>
      <c r="AG315" s="15"/>
      <c r="AH315" s="15"/>
      <c r="AI315" s="15"/>
      <c r="AJ315" s="15"/>
      <c r="AK315" s="15"/>
      <c r="AL315" s="15"/>
      <c r="AM315" s="15"/>
    </row>
    <row r="316" spans="2:39">
      <c r="AE316" s="15" t="str">
        <f t="shared" si="37"/>
        <v>INSERT INTO Colheita(idOperacao, nomeProduto) VALUES (242, 'Maçã');</v>
      </c>
      <c r="AF316" s="15"/>
      <c r="AG316" s="15"/>
      <c r="AH316" s="15"/>
      <c r="AI316" s="15"/>
      <c r="AJ316" s="15"/>
      <c r="AK316" s="15"/>
      <c r="AL316" s="15"/>
      <c r="AM316" s="15"/>
    </row>
    <row r="317" spans="2:39">
      <c r="B317" s="23" t="s">
        <v>276</v>
      </c>
      <c r="C317" s="23" t="s">
        <v>276</v>
      </c>
      <c r="D317" s="95">
        <f t="shared" ref="D317" si="38">SUMIFS($G$2:$G$266, $O$2:$O$266, B317, $C$2:$C$266, "Colheita")</f>
        <v>0</v>
      </c>
      <c r="E317" s="130">
        <f>E314 + 1</f>
        <v>21</v>
      </c>
      <c r="F317" s="94" t="str">
        <f>"INSERT INTO "&amp;$H$293&amp;"(idStock,nomeEdificio,designacaoUnidade,quantidade) VALUES ("&amp;E317&amp;", '"&amp;'Exploração agrícola'!$C$10&amp;"', '"&amp;Operações!$H$92&amp;"',"&amp;D317&amp;");"</f>
        <v>INSERT INTO Stock(idStock,nomeEdificio,designacaoUnidade,quantidade) VALUES (21, 'Armazém novo', 'kg',0);</v>
      </c>
      <c r="G317" s="14"/>
      <c r="H317" s="14"/>
      <c r="I317" s="14"/>
      <c r="J317" s="14"/>
      <c r="K317" s="14"/>
      <c r="L317" s="14"/>
      <c r="M317" s="14"/>
      <c r="N317" s="14"/>
      <c r="O317" s="14"/>
      <c r="AE317" s="15" t="str">
        <f t="shared" si="37"/>
        <v>INSERT INTO Colheita(idOperacao, nomeProduto) VALUES (243, 'Maçã');</v>
      </c>
      <c r="AF317" s="15"/>
      <c r="AG317" s="15"/>
      <c r="AH317" s="15"/>
      <c r="AI317" s="15"/>
      <c r="AJ317" s="15"/>
      <c r="AK317" s="15"/>
      <c r="AL317" s="15"/>
      <c r="AM317" s="15"/>
    </row>
    <row r="318" spans="2:39">
      <c r="AE318" s="15" t="str">
        <f>"INSERT INTO "&amp;$AG$272&amp;"(idOperacao, nomeProduto) VALUES (" &amp;L247&amp; ", '"&amp;INDEX($F$270:$F$286,MATCH(J247,$B$270:$B$286,0))&amp;"');"</f>
        <v>INSERT INTO Colheita(idOperacao, nomeProduto) VALUES (246, 'Maçã');</v>
      </c>
      <c r="AF318" s="15"/>
      <c r="AG318" s="15"/>
      <c r="AH318" s="15"/>
      <c r="AI318" s="15"/>
      <c r="AJ318" s="15"/>
      <c r="AK318" s="15"/>
      <c r="AL318" s="15"/>
      <c r="AM318" s="15"/>
    </row>
    <row r="319" spans="2:39">
      <c r="AE319" s="15" t="str">
        <f>"INSERT INTO "&amp;$AG$272&amp;"(idOperacao, nomeProduto) VALUES (" &amp;L248&amp; ", '"&amp;INDEX($F$270:$F$286,MATCH(J248,$B$270:$B$286,0))&amp;"');"</f>
        <v>INSERT INTO Colheita(idOperacao, nomeProduto) VALUES (247, 'Maçã');</v>
      </c>
      <c r="AF319" s="15"/>
      <c r="AG319" s="15"/>
      <c r="AH319" s="15"/>
      <c r="AI319" s="15"/>
      <c r="AJ319" s="15"/>
      <c r="AK319" s="15"/>
      <c r="AL319" s="15"/>
      <c r="AM319" s="15"/>
    </row>
    <row r="320" spans="2:39">
      <c r="AE320" s="15" t="str">
        <f>"INSERT INTO "&amp;$AG$272&amp;"(idOperacao, nomeProduto) VALUES (" &amp;L251&amp; ", '"&amp;INDEX($F$270:$F$286,MATCH(J251,$B$270:$B$286,0))&amp;"');"</f>
        <v>INSERT INTO Colheita(idOperacao, nomeProduto) VALUES (250, 'Azeitona');</v>
      </c>
      <c r="AF320" s="15"/>
      <c r="AG320" s="15"/>
      <c r="AH320" s="15"/>
      <c r="AI320" s="15"/>
      <c r="AJ320" s="15"/>
      <c r="AK320" s="15"/>
      <c r="AL320" s="15"/>
      <c r="AM320" s="15"/>
    </row>
    <row r="321" spans="31:39">
      <c r="AE321" s="15" t="str">
        <f>"INSERT INTO "&amp;$AG$272&amp;"(idOperacao, nomeProduto) VALUES (" &amp;L252&amp; ", '"&amp;INDEX($F$270:$F$286,MATCH(J252,$B$270:$B$286,0))&amp;"');"</f>
        <v>INSERT INTO Colheita(idOperacao, nomeProduto) VALUES (251, 'Azeitona');</v>
      </c>
      <c r="AF321" s="15"/>
      <c r="AG321" s="15"/>
      <c r="AH321" s="15"/>
      <c r="AI321" s="15"/>
      <c r="AJ321" s="15"/>
      <c r="AK321" s="15"/>
      <c r="AL321" s="15"/>
      <c r="AM321" s="15"/>
    </row>
    <row r="322" spans="31:39">
      <c r="AE322" s="15" t="str">
        <f>"INSERT INTO "&amp;$AG$272&amp;"(idOperacao, nomeProduto) VALUES (" &amp;L253&amp; ", '"&amp;INDEX($F$270:$F$286,MATCH(J253,$B$270:$B$286,0))&amp;"');"</f>
        <v>INSERT INTO Colheita(idOperacao, nomeProduto) VALUES (252, 'Nabo');</v>
      </c>
      <c r="AF322" s="15"/>
      <c r="AG322" s="15"/>
      <c r="AH322" s="15"/>
      <c r="AI322" s="15"/>
      <c r="AJ322" s="15"/>
      <c r="AK322" s="15"/>
      <c r="AL322" s="15"/>
      <c r="AM322" s="15"/>
    </row>
    <row r="323" spans="31:39">
      <c r="AE323" s="15" t="str">
        <f>"INSERT INTO "&amp;$AG$272&amp;"(idOperacao, nomeProduto) VALUES (" &amp;L260&amp; ", '"&amp;INDEX($F$270:$F$286,MATCH(J260,$B$270:$B$286,0))&amp;"');"</f>
        <v>INSERT INTO Colheita(idOperacao, nomeProduto) VALUES (259, 'Nabo');</v>
      </c>
      <c r="AF323" s="15"/>
      <c r="AG323" s="15"/>
      <c r="AH323" s="15"/>
      <c r="AI323" s="15"/>
      <c r="AJ323" s="15"/>
      <c r="AK323" s="15"/>
      <c r="AL323" s="15"/>
      <c r="AM323" s="15"/>
    </row>
    <row r="324" spans="31:39">
      <c r="AE324" s="15" t="str">
        <f>"INSERT INTO "&amp;$AG$272&amp;"(idOperacao, nomeProduto) VALUES (" &amp;L263&amp; ", '"&amp;INDEX($F$270:$F$286,MATCH(J263,$B$270:$B$286,0))&amp;"');"</f>
        <v>INSERT INTO Colheita(idOperacao, nomeProduto) VALUES (262, 'Nabo');</v>
      </c>
      <c r="AF324" s="15"/>
      <c r="AG324" s="15"/>
      <c r="AH324" s="15"/>
      <c r="AI324" s="15"/>
      <c r="AJ324" s="15"/>
      <c r="AK324" s="15"/>
      <c r="AL324" s="15"/>
      <c r="AM324" s="15"/>
    </row>
  </sheetData>
  <autoFilter ref="B1:C266" xr:uid="{8273E431-88A0-4D26-AA21-9E0D94FE2923}">
    <filterColumn colId="1">
      <filters>
        <filter val="Aplicação fitofármaco"/>
      </filters>
    </filterColumn>
  </autoFilter>
  <sortState xmlns:xlrd2="http://schemas.microsoft.com/office/spreadsheetml/2017/richdata2" ref="A2:I266">
    <sortCondition ref="F2:F266"/>
    <sortCondition ref="A2:A266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BF7E-6B58-4465-8A98-F6FD670C3814}">
  <dimension ref="A2:X52"/>
  <sheetViews>
    <sheetView topLeftCell="A22" zoomScale="58" zoomScaleNormal="102" workbookViewId="0">
      <selection activeCell="I56" sqref="I56"/>
    </sheetView>
  </sheetViews>
  <sheetFormatPr defaultRowHeight="14.25"/>
  <cols>
    <col min="2" max="2" width="19" customWidth="1"/>
    <col min="3" max="3" width="23" customWidth="1"/>
    <col min="4" max="4" width="25.1328125" customWidth="1"/>
    <col min="5" max="5" width="14.33203125" customWidth="1"/>
    <col min="6" max="6" width="10.53125" bestFit="1" customWidth="1"/>
    <col min="9" max="9" width="17.1328125" customWidth="1"/>
    <col min="12" max="12" width="18.86328125" customWidth="1"/>
  </cols>
  <sheetData>
    <row r="2" spans="2:24">
      <c r="B2" s="113" t="s">
        <v>305</v>
      </c>
      <c r="C2" s="113" t="s">
        <v>306</v>
      </c>
      <c r="D2" s="113" t="s">
        <v>307</v>
      </c>
      <c r="E2" s="113" t="s">
        <v>308</v>
      </c>
    </row>
    <row r="3" spans="2:24">
      <c r="B3" s="113" t="s">
        <v>268</v>
      </c>
      <c r="C3" s="113" t="s">
        <v>309</v>
      </c>
      <c r="D3" s="113" t="s">
        <v>275</v>
      </c>
      <c r="E3" s="113" t="s">
        <v>102</v>
      </c>
      <c r="H3" s="26" t="s">
        <v>8</v>
      </c>
      <c r="I3" s="26" t="s">
        <v>9</v>
      </c>
      <c r="J3" s="26" t="s">
        <v>151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4">
      <c r="B4" s="113"/>
      <c r="C4" s="113"/>
      <c r="D4" s="113" t="s">
        <v>310</v>
      </c>
      <c r="E4" s="113"/>
      <c r="H4" s="21" t="str">
        <f xml:space="preserve"> "INSERT INTO " &amp;J3&amp; "(DESIGNACAOTIPOACAOAGRICOLA, intervaloTempo) VALUES ('" &amp;B5&amp;  "'" &amp;IF(ISBLANK(B6), "NULL", ", '" &amp;B6&amp; "'")&amp;  "); "</f>
        <v xml:space="preserve">INSERT INTO DataAcaoAgricola(DESIGNACAOTIPOACAOAGRICOLA, intervaloTempo) VALUES ('Sementeira/Plantação', 'Primavera'); 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2:24">
      <c r="B5" s="113" t="s">
        <v>4</v>
      </c>
      <c r="C5" s="113" t="s">
        <v>7</v>
      </c>
      <c r="D5" s="113"/>
      <c r="E5" s="113"/>
      <c r="H5" s="21" t="str">
        <f xml:space="preserve"> "INSERT INTO " &amp;J3&amp; "(DESIGNACAOTIPOACAOAGRICOLA, intervaloTempo) VALUES ('" &amp;C5&amp;  "'" &amp;IF(ISBLANK(C6), "NULL", ", '" &amp;C6&amp; "'")&amp;  "); "</f>
        <v xml:space="preserve">INSERT INTO DataAcaoAgricola(DESIGNACAOTIPOACAOAGRICOLA, intervaloTempo) VALUES ('Colheita', 'Final Verão ou Outono'); 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2:24">
      <c r="B6" s="113" t="s">
        <v>311</v>
      </c>
      <c r="C6" s="113" t="s">
        <v>312</v>
      </c>
      <c r="D6" s="113"/>
      <c r="E6" s="113"/>
    </row>
    <row r="9" spans="2:24">
      <c r="B9" s="10" t="str">
        <f>"INSERT INTO " &amp;Plantas!$L$1&amp; "(variedade, nomeComum, designacaoTipoPermanencia, especie) VALUES ('"&amp;UPPER(D3)&amp; "', '" &amp;B3&amp; "','"&amp;E3&amp;"', '" &amp;C3&amp; "');"</f>
        <v>INSERT INTO Planta(variedade, nomeComum, designacaoTipoPermanencia, especie) VALUES ('BUTTERNUT', 'Abóbora Manteiga','Temporária', ' Cucurbita Moschata');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1" spans="2:24">
      <c r="B11" s="21" t="str">
        <f xml:space="preserve"> "INSERT INTO " &amp;Plantas!$C$100&amp; "(variedade, nomeComum, DESIGNACAOTIPOACAOAGRICOLA, INTERVALOTEMPO) VALUES ('" &amp;UPPER($D$3)&amp; "', '" &amp;$B$3&amp; "', '" &amp;B5&amp; "', " &amp;IF(ISBLANK(B6), "NULL", "'" &amp;B6&amp; "'")&amp; "); "</f>
        <v xml:space="preserve">INSERT INTO CalendarioAcaoAgricola(variedade, nomeComum, DESIGNACAOTIPOACAOAGRICOLA, INTERVALOTEMPO) VALUES ('BUTTERNUT', 'Abóbora Manteiga', 'Sementeira/Plantação', 'Primavera');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2:24">
      <c r="B12" s="21" t="str">
        <f xml:space="preserve"> "INSERT INTO " &amp;Plantas!$C$100&amp; "(variedade, nomeComum, DESIGNACAOTIPOACAOAGRICOLA, INTERVALOTEMPO) VALUES ('" &amp;UPPER($D$3)&amp; "', '" &amp;$B$3&amp; "', '" &amp;C5&amp; "', " &amp;IF(ISBLANK(C6), "NULL", "'" &amp;C6&amp; "'")&amp; "); "</f>
        <v xml:space="preserve">INSERT INTO CalendarioAcaoAgricola(variedade, nomeComum, DESIGNACAOTIPOACAOAGRICOLA, INTERVALOTEMPO) VALUES ('BUTTERNUT', 'Abóbora Manteiga', 'Colheita', 'Final Verão ou Outono'); 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4" spans="2:24">
      <c r="B14" s="113" t="s">
        <v>313</v>
      </c>
      <c r="C14" s="113" t="s">
        <v>314</v>
      </c>
      <c r="D14" s="113" t="s">
        <v>315</v>
      </c>
      <c r="E14" s="115" t="s">
        <v>316</v>
      </c>
    </row>
    <row r="15" spans="2:24">
      <c r="B15" s="113" t="s">
        <v>317</v>
      </c>
      <c r="C15" s="113">
        <v>1.1000000000000001</v>
      </c>
      <c r="D15" s="113" t="s">
        <v>216</v>
      </c>
      <c r="E15" s="116">
        <v>44896</v>
      </c>
    </row>
    <row r="17" spans="1:14">
      <c r="B17" s="11" t="str">
        <f xml:space="preserve"> "INSERT INTO " &amp;'Exploração agrícola'!$C$28&amp; "(nomeParcela, designacaoUnidade, area) VALUES('" &amp;B15&amp; "', '" &amp;D15&amp; "', " &amp;TEXT(SUBSTITUTE(C15, "%", "") * 10, "0.0")&amp; ");"</f>
        <v>INSERT INTO Parcela(nomeParcela, designacaoUnidade, area) VALUES('Campo Novo', 'ha', 1.1);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9" spans="1:14">
      <c r="I19" s="112" t="s">
        <v>318</v>
      </c>
      <c r="J19" s="112"/>
      <c r="K19" s="112"/>
      <c r="L19" s="112" t="s">
        <v>319</v>
      </c>
      <c r="M19" s="112"/>
    </row>
    <row r="20" spans="1:14">
      <c r="I20" s="112" t="s">
        <v>320</v>
      </c>
      <c r="J20" s="114">
        <v>0.5</v>
      </c>
      <c r="K20" s="112"/>
      <c r="L20" s="112" t="s">
        <v>320</v>
      </c>
      <c r="M20" s="114">
        <v>0.53</v>
      </c>
    </row>
    <row r="21" spans="1:14">
      <c r="I21" s="112" t="s">
        <v>321</v>
      </c>
      <c r="J21" s="114">
        <v>0.03</v>
      </c>
      <c r="K21" s="112"/>
      <c r="L21" s="112" t="s">
        <v>321</v>
      </c>
      <c r="M21" s="114">
        <v>6.4000000000000001E-2</v>
      </c>
    </row>
    <row r="22" spans="1:14">
      <c r="A22" s="112"/>
      <c r="B22" s="112" t="s">
        <v>322</v>
      </c>
      <c r="C22" s="112" t="s">
        <v>323</v>
      </c>
      <c r="D22" s="112" t="s">
        <v>324</v>
      </c>
      <c r="E22" s="112" t="s">
        <v>325</v>
      </c>
      <c r="F22" s="112" t="s">
        <v>326</v>
      </c>
      <c r="G22" s="112" t="s">
        <v>327</v>
      </c>
      <c r="I22" s="112" t="s">
        <v>328</v>
      </c>
      <c r="J22" s="114">
        <v>8.0000000000000002E-3</v>
      </c>
      <c r="K22" s="112"/>
      <c r="L22" s="112" t="s">
        <v>328</v>
      </c>
      <c r="M22" s="114">
        <v>2.5000000000000001E-2</v>
      </c>
    </row>
    <row r="23" spans="1:14">
      <c r="A23" s="112" t="s">
        <v>329</v>
      </c>
      <c r="B23" s="112" t="s">
        <v>175</v>
      </c>
      <c r="C23" s="112" t="s">
        <v>176</v>
      </c>
      <c r="D23" s="112" t="s">
        <v>303</v>
      </c>
      <c r="E23" s="112" t="s">
        <v>330</v>
      </c>
      <c r="F23" s="112" t="s">
        <v>174</v>
      </c>
      <c r="G23" s="112" t="s">
        <v>331</v>
      </c>
      <c r="I23" s="112" t="s">
        <v>332</v>
      </c>
      <c r="J23" s="114">
        <v>4.0000000000000001E-3</v>
      </c>
      <c r="K23" s="112"/>
      <c r="L23" s="112" t="s">
        <v>332</v>
      </c>
      <c r="M23" s="114">
        <v>2.4E-2</v>
      </c>
    </row>
    <row r="24" spans="1:14">
      <c r="A24" s="112" t="s">
        <v>333</v>
      </c>
      <c r="B24" s="112" t="s">
        <v>175</v>
      </c>
      <c r="C24" s="112" t="s">
        <v>176</v>
      </c>
      <c r="D24" s="112" t="s">
        <v>304</v>
      </c>
      <c r="E24" s="112" t="s">
        <v>330</v>
      </c>
      <c r="F24" s="112" t="s">
        <v>174</v>
      </c>
      <c r="G24" s="112" t="s">
        <v>334</v>
      </c>
      <c r="I24" s="112" t="s">
        <v>335</v>
      </c>
      <c r="J24" s="114">
        <v>1.6E-2</v>
      </c>
      <c r="K24" s="112"/>
      <c r="L24" s="112" t="s">
        <v>335</v>
      </c>
      <c r="M24" s="114">
        <v>6.0000000000000001E-3</v>
      </c>
    </row>
    <row r="25" spans="1:14">
      <c r="I25" s="112" t="s">
        <v>194</v>
      </c>
      <c r="J25" s="114">
        <v>3.0000000000000001E-3</v>
      </c>
      <c r="K25" s="112"/>
      <c r="L25" s="112" t="s">
        <v>194</v>
      </c>
      <c r="M25" s="114">
        <v>3.0000000000000001E-3</v>
      </c>
    </row>
    <row r="26" spans="1:14">
      <c r="I26" s="112" t="s">
        <v>182</v>
      </c>
      <c r="J26" s="114">
        <v>4.0000000000000003E-5</v>
      </c>
      <c r="K26" s="112"/>
      <c r="L26" s="112" t="s">
        <v>182</v>
      </c>
      <c r="M26" s="114">
        <v>2.0000000000000002E-5</v>
      </c>
    </row>
    <row r="28" spans="1:14">
      <c r="B28" s="12" t="str">
        <f>"INSERT INTO " &amp;'Fator Produção'!$C$17&amp; "(nomeComercial, idStock, classificacao, estadoMateria, metodoAplicacao, fabricante, pH) VALUES ('" &amp;D23&amp; "', "&amp;IF(Operações!C313=D23,Operações!E313)&amp;", '" &amp;B23&amp; "', '" &amp;F23&amp; "', '" &amp;C23&amp; "', '" &amp;E23&amp; "', " &amp;IF(ISBLANK(G23),"NULL",G23)&amp; ");"</f>
        <v>INSERT INTO FatorProducao(nomeComercial, idStock, classificacao, estadoMateria, metodoAplicacao, fabricante, pH) VALUES ('Fertimax Extrume de Cavalo', 19, 'Adubo', 'Granulado', 'Adubo solo', 'Nutrofertil', 6.7);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B29" s="12" t="str">
        <f>"INSERT INTO " &amp;'Fator Produção'!$C$17&amp; "(nomeComercial, idStock, classificacao, estadoMateria, metodoAplicacao, fabricante, pH) VALUES ('" &amp;D24&amp; "', "&amp;IF(Operações!C314=D24,Operações!E314)&amp;", '" &amp;B24&amp; "', '" &amp;F24&amp; "', '" &amp;C24&amp; "', '" &amp;E24&amp; "', " &amp;IF(ISBLANK(G24),"NULL",G24)&amp; ");"</f>
        <v>INSERT INTO FatorProducao(nomeComercial, idStock, classificacao, estadoMateria, metodoAplicacao, fabricante, pH) VALUES ('BIOFERTIL N6', 20, 'Adubo', 'Granulado', 'Adubo solo', 'Nutrofertil', 6.5);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1" spans="1:14">
      <c r="B31" s="26" t="s">
        <v>8</v>
      </c>
      <c r="C31" s="26" t="s">
        <v>9</v>
      </c>
      <c r="D31" s="26" t="s">
        <v>205</v>
      </c>
      <c r="E31" s="26"/>
      <c r="F31" s="26"/>
      <c r="G31" s="27"/>
      <c r="H31" s="27"/>
      <c r="I31" s="27"/>
      <c r="J31" s="27"/>
      <c r="K31" s="27"/>
      <c r="L31" s="27"/>
      <c r="M31" s="27"/>
    </row>
    <row r="32" spans="1:14">
      <c r="B32" s="21" t="str">
        <f xml:space="preserve"> "INSERT INTO " &amp;$D$31&amp; "(formulaQuimica, nomeComercial, designacaoUnidade, quantidade) VALUES ('" &amp;I20&amp; "', '" &amp;$D$23&amp;"', '%', " &amp;TEXT(SUBSTITUTE(J20, "%", "") * 1000, "0.0")&amp; ");"</f>
        <v>INSERT INTO ConstituicaoQuimica(formulaQuimica, nomeComercial, designacaoUnidade, quantidade) VALUES ('Matéria Orgânica', 'Fertimax Extrume de Cavalo', '%', 50.0);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2:13">
      <c r="B33" s="21" t="str">
        <f t="shared" ref="B33:B37" si="0" xml:space="preserve"> "INSERT INTO " &amp;$D$31&amp; "(formulaQuimica, nomeComercial, designacaoUnidade, quantidade) VALUES ('" &amp;I21&amp; "', '" &amp;$D$23&amp;"', '%', " &amp;TEXT(SUBSTITUTE(J21, "%", "") * 1000, "0.0")&amp; ");"</f>
        <v>INSERT INTO ConstituicaoQuimica(formulaQuimica, nomeComercial, designacaoUnidade, quantidade) VALUES ('N', 'Fertimax Extrume de Cavalo', '%', 3.0);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2:13">
      <c r="B34" s="21" t="str">
        <f t="shared" si="0"/>
        <v>INSERT INTO ConstituicaoQuimica(formulaQuimica, nomeComercial, designacaoUnidade, quantidade) VALUES ('P2O5', 'Fertimax Extrume de Cavalo', '%', 0.8);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2:13">
      <c r="B35" s="21" t="str">
        <f t="shared" si="0"/>
        <v>INSERT INTO ConstituicaoQuimica(formulaQuimica, nomeComercial, designacaoUnidade, quantidade) VALUES ('K2O', 'Fertimax Extrume de Cavalo', '%', 0.4);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2:13">
      <c r="B36" s="21" t="str">
        <f t="shared" si="0"/>
        <v>INSERT INTO ConstituicaoQuimica(formulaQuimica, nomeComercial, designacaoUnidade, quantidade) VALUES ('Ca', 'Fertimax Extrume de Cavalo', '%', 1.6);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>
      <c r="B37" s="21" t="str">
        <f t="shared" si="0"/>
        <v>INSERT INTO ConstituicaoQuimica(formulaQuimica, nomeComercial, designacaoUnidade, quantidade) VALUES ('MgO', 'Fertimax Extrume de Cavalo', '%', 0.3);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2:13">
      <c r="B38" s="21" t="str">
        <f xml:space="preserve"> "INSERT INTO " &amp;$D$31&amp; "(formulaQuimica, nomeComercial, designacaoUnidade, quantidade) VALUES ('" &amp;I26&amp; "', '" &amp;$D$23&amp;"', '%', " &amp;TEXT(SUBSTITUTE(J26, "%", "") * 100000, "0.00000")&amp; ");"</f>
        <v>INSERT INTO ConstituicaoQuimica(formulaQuimica, nomeComercial, designacaoUnidade, quantidade) VALUES ('B', 'Fertimax Extrume de Cavalo', '%', 0.00004);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2:13">
      <c r="B39" s="21" t="str">
        <f xml:space="preserve"> "INSERT INTO " &amp;$D$31&amp; "(formulaQuimica, nomeComercial, designacaoUnidade, quantidade) VALUES ('" &amp;L20&amp; "', '" &amp;$D$24&amp;"', '%', " &amp;TEXT(SUBSTITUTE(M20, "%", "") * 1000, "0.0")&amp; ");"</f>
        <v>INSERT INTO ConstituicaoQuimica(formulaQuimica, nomeComercial, designacaoUnidade, quantidade) VALUES ('Matéria Orgânica', 'BIOFERTIL N6', '%', 53.0);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2:13">
      <c r="B40" s="21" t="str">
        <f t="shared" ref="B40:B44" si="1" xml:space="preserve"> "INSERT INTO " &amp;$D$31&amp; "(formulaQuimica, nomeComercial, designacaoUnidade, quantidade) VALUES ('" &amp;L21&amp; "', '" &amp;$D$24&amp;"', '%', " &amp;TEXT(SUBSTITUTE(M21, "%", "") * 1000, "0.0")&amp; ");"</f>
        <v>INSERT INTO ConstituicaoQuimica(formulaQuimica, nomeComercial, designacaoUnidade, quantidade) VALUES ('N', 'BIOFERTIL N6', '%', 6.4);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2:13">
      <c r="B41" s="21" t="str">
        <f t="shared" si="1"/>
        <v>INSERT INTO ConstituicaoQuimica(formulaQuimica, nomeComercial, designacaoUnidade, quantidade) VALUES ('P2O5', 'BIOFERTIL N6', '%', 2.5);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2:13">
      <c r="B42" s="21" t="str">
        <f t="shared" si="1"/>
        <v>INSERT INTO ConstituicaoQuimica(formulaQuimica, nomeComercial, designacaoUnidade, quantidade) VALUES ('K2O', 'BIOFERTIL N6', '%', 2.4);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2:13">
      <c r="B43" s="21" t="str">
        <f t="shared" si="1"/>
        <v>INSERT INTO ConstituicaoQuimica(formulaQuimica, nomeComercial, designacaoUnidade, quantidade) VALUES ('Ca', 'BIOFERTIL N6', '%', 0.6);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spans="2:13">
      <c r="B44" s="21" t="str">
        <f t="shared" si="1"/>
        <v>INSERT INTO ConstituicaoQuimica(formulaQuimica, nomeComercial, designacaoUnidade, quantidade) VALUES ('MgO', 'BIOFERTIL N6', '%', 0.3);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2:13">
      <c r="B45" s="21" t="str">
        <f xml:space="preserve"> "INSERT INTO " &amp;$D$31&amp; "(formulaQuimica, nomeComercial, designacaoUnidade, quantidade) VALUES ('" &amp;L26&amp; "', '" &amp;$D$24&amp;"', '%', " &amp;TEXT(SUBSTITUTE(M26, "%", "") *  100000, "0.00000")&amp; ");"</f>
        <v>INSERT INTO ConstituicaoQuimica(formulaQuimica, nomeComercial, designacaoUnidade, quantidade) VALUES ('B', 'BIOFERTIL N6', '%', 0.00002);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7" spans="2:13">
      <c r="B47" s="7" t="s">
        <v>8</v>
      </c>
      <c r="C47" s="7" t="s">
        <v>9</v>
      </c>
      <c r="D47" s="7" t="s">
        <v>208</v>
      </c>
      <c r="E47" s="7"/>
      <c r="F47" s="7"/>
      <c r="G47" s="7"/>
    </row>
    <row r="48" spans="2:13">
      <c r="B48" s="12" t="str">
        <f>"INSERT INTO "&amp;$D$47&amp;"(formulaQuimica) VALUES ('" &amp;I20&amp; "');"</f>
        <v>INSERT INTO ComponenteQuimico(formulaQuimica) VALUES ('Matéria Orgânica');</v>
      </c>
      <c r="C48" s="12"/>
      <c r="D48" s="12"/>
      <c r="E48" s="12"/>
      <c r="F48" s="12"/>
      <c r="G48" s="12"/>
    </row>
    <row r="49" spans="2:7">
      <c r="B49" s="12" t="str">
        <f>"INSERT INTO "&amp;$D$47&amp;"(formulaQuimica) VALUES ('" &amp;I21&amp; "');"</f>
        <v>INSERT INTO ComponenteQuimico(formulaQuimica) VALUES ('N');</v>
      </c>
      <c r="C49" s="12"/>
      <c r="D49" s="12"/>
      <c r="E49" s="12"/>
      <c r="F49" s="12"/>
      <c r="G49" s="12"/>
    </row>
    <row r="50" spans="2:7">
      <c r="B50" s="12" t="str">
        <f>"INSERT INTO "&amp;$D$47&amp;"(formulaQuimica) VALUES ('" &amp;I22&amp; "');"</f>
        <v>INSERT INTO ComponenteQuimico(formulaQuimica) VALUES ('P2O5');</v>
      </c>
      <c r="C50" s="12"/>
      <c r="D50" s="12"/>
      <c r="E50" s="12"/>
      <c r="F50" s="12"/>
      <c r="G50" s="12"/>
    </row>
    <row r="51" spans="2:7">
      <c r="B51" s="12" t="str">
        <f>"INSERT INTO "&amp;$D$47&amp;"(formulaQuimica) VALUES ('" &amp;I23&amp; "');"</f>
        <v>INSERT INTO ComponenteQuimico(formulaQuimica) VALUES ('K2O');</v>
      </c>
      <c r="C51" s="12"/>
      <c r="D51" s="12"/>
      <c r="E51" s="12"/>
      <c r="F51" s="12"/>
      <c r="G51" s="12"/>
    </row>
    <row r="52" spans="2:7">
      <c r="B52" s="12" t="str">
        <f>"INSERT INTO "&amp;$D$47&amp;"(formulaQuimica) VALUES ('" &amp;I24&amp; "');"</f>
        <v>INSERT INTO ComponenteQuimico(formulaQuimica) VALUES ('Ca');</v>
      </c>
      <c r="C52" s="12"/>
      <c r="D52" s="12"/>
      <c r="E52" s="12"/>
      <c r="F52" s="12"/>
      <c r="G52" s="12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E w E A A B Q S w M E F A A C A A g A d 7 p c V z u t 9 F 6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Z 5 p R j C m S B k B v 7 F e a e P t s f C J u x 8 e O g R e / j Y g 9 k i U D e H 8 Q D U E s D B B Q A A g A I A H e 6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u l x X p h 4 s P k g B A A A Z B g A A E w A c A E Z v c m 1 1 b G F z L 1 N l Y 3 R p b 2 4 x L m 0 g o h g A K K A U A A A A A A A A A A A A A A A A A A A A A A A A A A A A 7 Z H N a s J A F I X 3 g b z D k G 4 U g i C t F S m u Y g s u + o e W L s T F N X N b B y c z Y X I H F M n T d N E H 8 c U 6 M d R q D Y U G 6 a r Z J J x z 5 9 z 5 c j K M S W j F R u W 7 f e V 7 v p f N w S B n Y 5 h J P G d 9 J p F 8 j 7 l n p K 2 J 0 S n X y x h l K 7 L G o K J n b R Y z r R e N 5 n p y B w n 2 g / J k M M 0 n k V b k R q Z h G X A W R H N Q r 0 X 4 K s X A J W 1 H W 2 M D K n v R J o m 0 t I k q z K x R b g v X 6 2 A s U h 2 E j J z M C J e U 5 0 3 f E 6 o y 8 4 i g U 5 u g c z q C y E q y B m p D d G t D d E 8 H 8 Q D u Q 9 a H a N e G a J 8 O Y j h g X x x D R Z c X r W I k D 1 k 1 Y K H f p 2 h g 8 7 5 5 0 0 f W r e b H Y l X b h T 4 A 2 o k c C E k k 5 e J H C 4 o E B 4 6 f t r L J D M 3 W f F I H z i 7 t B k g b x p G l R n N b f T 3 B v 9 0 F 1 G p r u P U w V C I W I P e t 3 9 T Z q 1 1 n 7 7 / O v 6 m z P H P A u / e P f i r 7 A 1 B L A Q I t A B Q A A g A I A H e 6 X F c 7 r f R e o g A A A P Y A A A A S A A A A A A A A A A A A A A A A A A A A A A B D b 2 5 m a W c v U G F j a 2 F n Z S 5 4 b W x Q S w E C L Q A U A A I A C A B 3 u l x X D 8 r p q 6 Q A A A D p A A A A E w A A A A A A A A A A A A A A A A D u A A A A W 0 N v b n R l b n R f V H l w Z X N d L n h t b F B L A Q I t A B Q A A g A I A H e 6 X F e m H i w + S A E A A B k G A A A T A A A A A A A A A A A A A A A A A N 8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u A A A A A A A A s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l Q y M z o x M j o y N C 4 4 O D Y 5 N D Q 2 W i I g L z 4 8 R W 5 0 c n k g V H l w Z T 0 i R m l s b E N v b H V t b l R 5 c G V z I i B W Y W x 1 Z T 0 i c 0 J n P T 0 i I C 8 + P E V u d H J 5 I F R 5 c G U 9 I k Z p b G x D b 2 x 1 b W 5 O Y W 1 l c y I g V m F s d W U 9 I n N b J n F 1 b 3 Q 7 V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U a X B v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y 9 B d X R v U m V t b 3 Z l Z E N v b H V t b n M x L n t U a X B v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2 V D I z O j E z O j E 4 L j A x O D E 5 N D B a I i A v P j x F b n R y e S B U e X B l P S J G a W x s Q 2 9 s d W 1 u V H l w Z X M i I F Z h b H V l P S J z Q m c 9 P S I g L z 4 8 R W 5 0 c n k g V H l w Z T 0 i R m l s b E N v b H V t b k 5 h b W V z I i B W Y W x 1 Z T 0 i c 1 s m c X V v d D t D d W x 0 d X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N 1 b H R 1 c m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1 L 0 F 1 d G 9 S Z W 1 v d m V k Q 2 9 s d W 1 u c z E u e 0 N 1 b H R 1 c m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j M 6 M T M 6 N T Y u M z Q 1 M z U y N 1 o i I C 8 + P E V u d H J 5 I F R 5 c G U 9 I k Z p b G x D b 2 x 1 b W 5 U e X B l c y I g V m F s d W U 9 I n N C Z z 0 9 I i A v P j x F b n R y e S B U e X B l P S J G a W x s Q 2 9 s d W 1 u T m F t Z X M i I F Z h b H V l P S J z W y Z x d W 9 0 O 1 B h c m N l b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G F y Y 2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X V 0 b 1 J l b W 9 2 Z W R D b 2 x 1 b W 5 z M S 5 7 U G F y Y 2 V s Y S w w f S Z x d W 9 0 O 1 0 s J n F 1 b 3 Q 7 U m V s Y X R p b 2 5 z a G l w S W 5 m b y Z x d W 9 0 O z p b X X 0 i I C 8 + P E V u d H J 5 I F R 5 c G U 9 I l J l Y 2 9 2 Z X J 5 V G F y Z 2 V 0 U 2 h l Z X Q i I F Z h b H V l P S J z V G F i b G U 3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O F Q x O T o y N z o 1 M i 4 w N z Y y O D g 0 W i I g L z 4 8 R W 5 0 c n k g V H l w Z T 0 i R m l s b E N v b H V t b l R 5 c G V z I i B W Y W x 1 Z T 0 i c 0 F 3 W U d C Z 1 l I Q l F Z R 0 F B Q T 0 i I C 8 + P E V u d H J 5 I F R 5 c G U 9 I k Z p b G x D b 2 x 1 b W 5 O Y W 1 l c y I g V m F s d W U 9 I n N b J n F 1 b 3 Q 7 S U Q g U G F y Y 2 V s Y S Z x d W 9 0 O y w m c X V v d D t Q Y X J j Z W x h J n F 1 b 3 Q 7 L C Z x d W 9 0 O 0 9 w Z X J h w 6 f D o 2 8 m c X V v d D s s J n F 1 b 3 Q 7 T W 9 k b y Z x d W 9 0 O y w m c X V v d D t D d W x 0 d X J h J n F 1 b 3 Q 7 L C Z x d W 9 0 O 0 R h d G E m c X V v d D s s J n F 1 b 3 Q 7 U X V h b n R p Z G F k Z S Z x d W 9 0 O y w m c X V v d D t V b m l k Y W R l J n F 1 b 3 Q 7 L C Z x d W 9 0 O 0 Z h d G 9 y I G R l I H B y b 2 R 1 w 6 f D o 2 8 m c X V v d D s s J n F 1 b 3 Q 7 a W R D d W x 0 d X J h J n F 1 b 3 Q 7 L C Z x d W 9 0 O 2 R h d G F J b m l j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B Q Y X J j Z W x h L D B 9 J n F 1 b 3 Q 7 L C Z x d W 9 0 O 1 N l Y 3 R p b 2 4 x L 1 R h Y m x l M S 9 B d X R v U m V t b 3 Z l Z E N v b H V t b n M x L n t Q Y X J j Z W x h L D F 9 J n F 1 b 3 Q 7 L C Z x d W 9 0 O 1 N l Y 3 R p b 2 4 x L 1 R h Y m x l M S 9 B d X R v U m V t b 3 Z l Z E N v b H V t b n M x L n t P c G V y Y c O n w 6 N v L D J 9 J n F 1 b 3 Q 7 L C Z x d W 9 0 O 1 N l Y 3 R p b 2 4 x L 1 R h Y m x l M S 9 B d X R v U m V t b 3 Z l Z E N v b H V t b n M x L n t N b 2 R v L D N 9 J n F 1 b 3 Q 7 L C Z x d W 9 0 O 1 N l Y 3 R p b 2 4 x L 1 R h Y m x l M S 9 B d X R v U m V t b 3 Z l Z E N v b H V t b n M x L n t D d W x 0 d X J h L D R 9 J n F 1 b 3 Q 7 L C Z x d W 9 0 O 1 N l Y 3 R p b 2 4 x L 1 R h Y m x l M S 9 B d X R v U m V t b 3 Z l Z E N v b H V t b n M x L n t E Y X R h L D V 9 J n F 1 b 3 Q 7 L C Z x d W 9 0 O 1 N l Y 3 R p b 2 4 x L 1 R h Y m x l M S 9 B d X R v U m V t b 3 Z l Z E N v b H V t b n M x L n t R d W F u d G l k Y W R l L D Z 9 J n F 1 b 3 Q 7 L C Z x d W 9 0 O 1 N l Y 3 R p b 2 4 x L 1 R h Y m x l M S 9 B d X R v U m V t b 3 Z l Z E N v b H V t b n M x L n t V b m l k Y W R l L D d 9 J n F 1 b 3 Q 7 L C Z x d W 9 0 O 1 N l Y 3 R p b 2 4 x L 1 R h Y m x l M S 9 B d X R v U m V t b 3 Z l Z E N v b H V t b n M x L n t G Y X R v c i B k Z S B w c m 9 k d c O n w 6 N v L D h 9 J n F 1 b 3 Q 7 L C Z x d W 9 0 O 1 N l Y 3 R p b 2 4 x L 1 R h Y m x l M S 9 B d X R v U m V t b 3 Z l Z E N v b H V t b n M x L n t p Z E N 1 b H R 1 c m E s O X 0 m c X V v d D s s J n F 1 b 3 Q 7 U 2 V j d G l v b j E v V G F i b G U x L 0 F 1 d G 9 S Z W 1 v d m V k Q 2 9 s d W 1 u c z E u e 2 R h d G F J b m l j a W F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E I F B h c m N l b G E s M H 0 m c X V v d D s s J n F 1 b 3 Q 7 U 2 V j d G l v b j E v V G F i b G U x L 0 F 1 d G 9 S Z W 1 v d m V k Q 2 9 s d W 1 u c z E u e 1 B h c m N l b G E s M X 0 m c X V v d D s s J n F 1 b 3 Q 7 U 2 V j d G l v b j E v V G F i b G U x L 0 F 1 d G 9 S Z W 1 v d m V k Q 2 9 s d W 1 u c z E u e 0 9 w Z X J h w 6 f D o 2 8 s M n 0 m c X V v d D s s J n F 1 b 3 Q 7 U 2 V j d G l v b j E v V G F i b G U x L 0 F 1 d G 9 S Z W 1 v d m V k Q 2 9 s d W 1 u c z E u e 0 1 v Z G 8 s M 3 0 m c X V v d D s s J n F 1 b 3 Q 7 U 2 V j d G l v b j E v V G F i b G U x L 0 F 1 d G 9 S Z W 1 v d m V k Q 2 9 s d W 1 u c z E u e 0 N 1 b H R 1 c m E s N H 0 m c X V v d D s s J n F 1 b 3 Q 7 U 2 V j d G l v b j E v V G F i b G U x L 0 F 1 d G 9 S Z W 1 v d m V k Q 2 9 s d W 1 u c z E u e 0 R h d G E s N X 0 m c X V v d D s s J n F 1 b 3 Q 7 U 2 V j d G l v b j E v V G F i b G U x L 0 F 1 d G 9 S Z W 1 v d m V k Q 2 9 s d W 1 u c z E u e 1 F 1 Y W 5 0 a W R h Z G U s N n 0 m c X V v d D s s J n F 1 b 3 Q 7 U 2 V j d G l v b j E v V G F i b G U x L 0 F 1 d G 9 S Z W 1 v d m V k Q 2 9 s d W 1 u c z E u e 1 V u a W R h Z G U s N 3 0 m c X V v d D s s J n F 1 b 3 Q 7 U 2 V j d G l v b j E v V G F i b G U x L 0 F 1 d G 9 S Z W 1 v d m V k Q 2 9 s d W 1 u c z E u e 0 Z h d G 9 y I G R l I H B y b 2 R 1 w 6 f D o 2 8 s O H 0 m c X V v d D s s J n F 1 b 3 Q 7 U 2 V j d G l v b j E v V G F i b G U x L 0 F 1 d G 9 S Z W 1 v d m V k Q 2 9 s d W 1 u c z E u e 2 l k Q 3 V s d H V y Y S w 5 f S Z x d W 9 0 O y w m c X V v d D t T Z W N 0 a W 9 u M S 9 U Y W J s Z T E v Q X V 0 b 1 J l b W 9 2 Z W R D b 2 x 1 b W 5 z M S 5 7 Z G F 0 Y U l u a W N p Y W w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C 0 y O F Q x O T o y O T o x N S 4 y M j g w M D M 4 W i I g L z 4 8 R W 5 0 c n k g V H l w Z T 0 i R m l s b E N v b H V t b l R 5 c G V z I i B W Y W x 1 Z T 0 i c 0 F 3 W U d C Z 1 l I Q l F Z R 0 F B Q U Q i I C 8 + P E V u d H J 5 I F R 5 c G U 9 I k Z p b G x D b 2 x 1 b W 5 O Y W 1 l c y I g V m F s d W U 9 I n N b J n F 1 b 3 Q 7 S U Q g U G F y Y 2 V s Y S Z x d W 9 0 O y w m c X V v d D t Q Y X J j Z W x h J n F 1 b 3 Q 7 L C Z x d W 9 0 O 0 9 w Z X J h w 6 f D o 2 8 m c X V v d D s s J n F 1 b 3 Q 7 T W 9 k b y Z x d W 9 0 O y w m c X V v d D t D d W x 0 d X J h J n F 1 b 3 Q 7 L C Z x d W 9 0 O 0 R h d G E m c X V v d D s s J n F 1 b 3 Q 7 U X V h b n R p Z G F k Z S Z x d W 9 0 O y w m c X V v d D t V b m l k Y W R l J n F 1 b 3 Q 7 L C Z x d W 9 0 O 0 Z h d G 9 y I G R l I H B y b 2 R 1 w 6 f D o 2 8 m c X V v d D s s J n F 1 b 3 Q 7 a W R D d W x 0 d X J h J n F 1 b 3 Q 7 L C Z x d W 9 0 O 2 R h d G F J b m l j a W F s J n F 1 b 3 Q 7 L C Z x d W 9 0 O 2 l k T 3 B l c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X V 0 b 1 J l b W 9 2 Z W R D b 2 x 1 b W 5 z M S 5 7 S U Q g U G F y Y 2 V s Y S w w f S Z x d W 9 0 O y w m c X V v d D t T Z W N 0 a W 9 u M S 9 U Y W J s Z T k v Q X V 0 b 1 J l b W 9 2 Z W R D b 2 x 1 b W 5 z M S 5 7 U G F y Y 2 V s Y S w x f S Z x d W 9 0 O y w m c X V v d D t T Z W N 0 a W 9 u M S 9 U Y W J s Z T k v Q X V 0 b 1 J l b W 9 2 Z W R D b 2 x 1 b W 5 z M S 5 7 T 3 B l c m H D p 8 O j b y w y f S Z x d W 9 0 O y w m c X V v d D t T Z W N 0 a W 9 u M S 9 U Y W J s Z T k v Q X V 0 b 1 J l b W 9 2 Z W R D b 2 x 1 b W 5 z M S 5 7 T W 9 k b y w z f S Z x d W 9 0 O y w m c X V v d D t T Z W N 0 a W 9 u M S 9 U Y W J s Z T k v Q X V 0 b 1 J l b W 9 2 Z W R D b 2 x 1 b W 5 z M S 5 7 Q 3 V s d H V y Y S w 0 f S Z x d W 9 0 O y w m c X V v d D t T Z W N 0 a W 9 u M S 9 U Y W J s Z T k v Q X V 0 b 1 J l b W 9 2 Z W R D b 2 x 1 b W 5 z M S 5 7 R G F 0 Y S w 1 f S Z x d W 9 0 O y w m c X V v d D t T Z W N 0 a W 9 u M S 9 U Y W J s Z T k v Q X V 0 b 1 J l b W 9 2 Z W R D b 2 x 1 b W 5 z M S 5 7 U X V h b n R p Z G F k Z S w 2 f S Z x d W 9 0 O y w m c X V v d D t T Z W N 0 a W 9 u M S 9 U Y W J s Z T k v Q X V 0 b 1 J l b W 9 2 Z W R D b 2 x 1 b W 5 z M S 5 7 V W 5 p Z G F k Z S w 3 f S Z x d W 9 0 O y w m c X V v d D t T Z W N 0 a W 9 u M S 9 U Y W J s Z T k v Q X V 0 b 1 J l b W 9 2 Z W R D b 2 x 1 b W 5 z M S 5 7 R m F 0 b 3 I g Z G U g c H J v Z H X D p 8 O j b y w 4 f S Z x d W 9 0 O y w m c X V v d D t T Z W N 0 a W 9 u M S 9 U Y W J s Z T k v Q X V 0 b 1 J l b W 9 2 Z W R D b 2 x 1 b W 5 z M S 5 7 a W R D d W x 0 d X J h L D l 9 J n F 1 b 3 Q 7 L C Z x d W 9 0 O 1 N l Y 3 R p b 2 4 x L 1 R h Y m x l O S 9 B d X R v U m V t b 3 Z l Z E N v b H V t b n M x L n t k Y X R h S W 5 p Y 2 l h b C w x M H 0 m c X V v d D s s J n F 1 b 3 Q 7 U 2 V j d G l v b j E v V G F i b G U 5 L 0 F 1 d G 9 S Z W 1 v d m V k Q 2 9 s d W 1 u c z E u e 2 l k T 3 B l c m H D p 8 O j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O S 9 B d X R v U m V t b 3 Z l Z E N v b H V t b n M x L n t J R C B Q Y X J j Z W x h L D B 9 J n F 1 b 3 Q 7 L C Z x d W 9 0 O 1 N l Y 3 R p b 2 4 x L 1 R h Y m x l O S 9 B d X R v U m V t b 3 Z l Z E N v b H V t b n M x L n t Q Y X J j Z W x h L D F 9 J n F 1 b 3 Q 7 L C Z x d W 9 0 O 1 N l Y 3 R p b 2 4 x L 1 R h Y m x l O S 9 B d X R v U m V t b 3 Z l Z E N v b H V t b n M x L n t P c G V y Y c O n w 6 N v L D J 9 J n F 1 b 3 Q 7 L C Z x d W 9 0 O 1 N l Y 3 R p b 2 4 x L 1 R h Y m x l O S 9 B d X R v U m V t b 3 Z l Z E N v b H V t b n M x L n t N b 2 R v L D N 9 J n F 1 b 3 Q 7 L C Z x d W 9 0 O 1 N l Y 3 R p b 2 4 x L 1 R h Y m x l O S 9 B d X R v U m V t b 3 Z l Z E N v b H V t b n M x L n t D d W x 0 d X J h L D R 9 J n F 1 b 3 Q 7 L C Z x d W 9 0 O 1 N l Y 3 R p b 2 4 x L 1 R h Y m x l O S 9 B d X R v U m V t b 3 Z l Z E N v b H V t b n M x L n t E Y X R h L D V 9 J n F 1 b 3 Q 7 L C Z x d W 9 0 O 1 N l Y 3 R p b 2 4 x L 1 R h Y m x l O S 9 B d X R v U m V t b 3 Z l Z E N v b H V t b n M x L n t R d W F u d G l k Y W R l L D Z 9 J n F 1 b 3 Q 7 L C Z x d W 9 0 O 1 N l Y 3 R p b 2 4 x L 1 R h Y m x l O S 9 B d X R v U m V t b 3 Z l Z E N v b H V t b n M x L n t V b m l k Y W R l L D d 9 J n F 1 b 3 Q 7 L C Z x d W 9 0 O 1 N l Y 3 R p b 2 4 x L 1 R h Y m x l O S 9 B d X R v U m V t b 3 Z l Z E N v b H V t b n M x L n t G Y X R v c i B k Z S B w c m 9 k d c O n w 6 N v L D h 9 J n F 1 b 3 Q 7 L C Z x d W 9 0 O 1 N l Y 3 R p b 2 4 x L 1 R h Y m x l O S 9 B d X R v U m V t b 3 Z l Z E N v b H V t b n M x L n t p Z E N 1 b H R 1 c m E s O X 0 m c X V v d D s s J n F 1 b 3 Q 7 U 2 V j d G l v b j E v V G F i b G U 5 L 0 F 1 d G 9 S Z W 1 v d m V k Q 2 9 s d W 1 u c z E u e 2 R h d G F J b m l j a W F s L D E w f S Z x d W 9 0 O y w m c X V v d D t T Z W N 0 a W 9 u M S 9 U Y W J s Z T k v Q X V 0 b 1 J l b W 9 2 Z W R D b 2 x 1 b W 5 z M S 5 7 a W R P c G V y Y c O n w 6 N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H D R K p W E P T 7 8 d w J 1 9 C 0 W G A A A A A A I A A A A A A B B m A A A A A Q A A I A A A A I X q A H d d j 3 Y Z a U K W I a F V l T d N + 8 J + Y A G H v 4 T m 6 Q c b 7 p X F A A A A A A 6 A A A A A A g A A I A A A A L l d 7 D w b n r N w 1 R B l o U B j K T b a q / T k F + e x B p h l + Q S o c a L h U A A A A K 5 y e Z P u P n d P B y 7 u x W Q w P S M b 1 a 9 x n c W U E 6 w g 8 V c o l 5 1 k g v Q v R L j y p x K A H S / L 0 V O f l h 4 3 r 0 5 b s / 9 X o 9 6 8 R T p W W X k / j B V c o S D c + T d H d q n G 6 Y U l Q A A A A B P f k 4 P 3 d y c n P i x E X X p t r l 7 4 G n e k o w F y Q x z G T 5 9 w r O r c Q 6 Z x 5 m x y 7 E x 4 y R L 0 0 c C a F f E Y G c D j O S u m Q s v C J j C u g B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3" ma:contentTypeDescription="Create a new document." ma:contentTypeScope="" ma:versionID="f62eff4b830248abe5bcd19be2f51a67">
  <xsd:schema xmlns:xsd="http://www.w3.org/2001/XMLSchema" xmlns:xs="http://www.w3.org/2001/XMLSchema" xmlns:p="http://schemas.microsoft.com/office/2006/metadata/properties" xmlns:ns3="b163ee49-d5ca-4566-8d9a-132778b8595f" targetNamespace="http://schemas.microsoft.com/office/2006/metadata/properties" ma:root="true" ma:fieldsID="5cc786e564835b02057391ac89f9acc1" ns3:_="">
    <xsd:import namespace="b163ee49-d5ca-4566-8d9a-132778b859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37870F-1997-46E6-ABF3-D972D5619E05}">
  <ds:schemaRefs>
    <ds:schemaRef ds:uri="b163ee49-d5ca-4566-8d9a-132778b8595f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EE754B9-10DA-40EF-B866-DE9CEA880C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3389B6-B2CC-47FE-84FA-E0854C6CD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Plantas</vt:lpstr>
      <vt:lpstr>Fator Produção</vt:lpstr>
      <vt:lpstr>Exploração agrícola</vt:lpstr>
      <vt:lpstr>Table3</vt:lpstr>
      <vt:lpstr>Table5</vt:lpstr>
      <vt:lpstr>Table7</vt:lpstr>
      <vt:lpstr>Culturas</vt:lpstr>
      <vt:lpstr>Operações</vt:lpstr>
      <vt:lpstr>(S2) Plantas + Fatores</vt:lpstr>
      <vt:lpstr>(S2) Setores + Operações</vt:lpstr>
      <vt:lpstr>(S3) Fatores</vt:lpstr>
      <vt:lpstr>(S3) Receitas Fertirrega</vt:lpstr>
      <vt:lpstr>(S3) Regas + Fertirrega</vt:lpstr>
      <vt:lpstr>(S3) Operações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Rita Beatriz Ferreira Barbosa</cp:lastModifiedBy>
  <cp:revision/>
  <dcterms:created xsi:type="dcterms:W3CDTF">2023-10-06T20:31:40Z</dcterms:created>
  <dcterms:modified xsi:type="dcterms:W3CDTF">2024-01-03T19:15:29Z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