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 Octubre\Inteligencia Artificial\"/>
    </mc:Choice>
  </mc:AlternateContent>
  <xr:revisionPtr revIDLastSave="0" documentId="8_{80440806-4ECD-488E-9755-CACDD356EDB9}" xr6:coauthVersionLast="47" xr6:coauthVersionMax="47" xr10:uidLastSave="{00000000-0000-0000-0000-000000000000}"/>
  <bookViews>
    <workbookView xWindow="-120" yWindow="-120" windowWidth="26640" windowHeight="15090" activeTab="1" xr2:uid="{17A37548-BFAC-405B-A1B1-1EC76C1FEFC0}"/>
  </bookViews>
  <sheets>
    <sheet name="Hoja1" sheetId="13" r:id="rId1"/>
    <sheet name="Ventas" sheetId="3" r:id="rId2"/>
    <sheet name="análisis2" sheetId="8" r:id="rId3"/>
    <sheet name="Anális" sheetId="11" r:id="rId4"/>
    <sheet name="Ventas (2)" sheetId="12" r:id="rId5"/>
    <sheet name="h2" sheetId="15" r:id="rId6"/>
    <sheet name="Hoja2" sheetId="14" r:id="rId7"/>
  </sheets>
  <definedNames>
    <definedName name="_xlchart.v1.0" hidden="1">Ventas!$C$54:$C$83</definedName>
    <definedName name="_xlchart.v1.1" hidden="1">Ventas!$C$53</definedName>
    <definedName name="_xlchart.v1.2" hidden="1">Ventas!$C$54:$C$83</definedName>
    <definedName name="_xlchart.v1.3" hidden="1">Anális!$C$4</definedName>
    <definedName name="_xlchart.v1.4" hidden="1">Anális!$C$5:$C$34</definedName>
    <definedName name="VENTA" localSheetId="4">'Ventas (2)'!$C$36:$C$65</definedName>
    <definedName name="VENTA">Ventas!$C$54:$C$83</definedName>
    <definedName name="VENTA1">#REF!</definedName>
    <definedName name="VENTA2">análisis2!$C$6:$C$35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3" l="1"/>
  <c r="N79" i="3" s="1"/>
  <c r="N72" i="3"/>
  <c r="H72" i="3"/>
  <c r="G75" i="3"/>
  <c r="G74" i="3"/>
  <c r="G73" i="3"/>
  <c r="K62" i="3"/>
  <c r="I58" i="3"/>
  <c r="I57" i="3"/>
  <c r="H50" i="3"/>
  <c r="I49" i="3"/>
  <c r="I46" i="3"/>
  <c r="E21" i="8"/>
  <c r="C36" i="8"/>
  <c r="F5" i="8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16" i="3"/>
  <c r="U16" i="3"/>
  <c r="Y16" i="3"/>
  <c r="AC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16" i="3"/>
  <c r="I48" i="3"/>
  <c r="N10" i="3"/>
  <c r="N2" i="11"/>
  <c r="D56" i="11"/>
  <c r="D54" i="11"/>
  <c r="F54" i="11" s="1"/>
  <c r="D35" i="11"/>
  <c r="F35" i="11"/>
  <c r="F56" i="11"/>
  <c r="G56" i="11"/>
  <c r="E56" i="11"/>
  <c r="C56" i="11"/>
  <c r="C35" i="11"/>
  <c r="D39" i="8"/>
  <c r="C39" i="8"/>
  <c r="B2" i="14"/>
  <c r="C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H56" i="11" l="1"/>
  <c r="E16" i="12"/>
  <c r="J17" i="12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G31" i="12"/>
  <c r="G30" i="12"/>
  <c r="O28" i="12"/>
  <c r="D28" i="12"/>
  <c r="AF27" i="12"/>
  <c r="AB27" i="12"/>
  <c r="X27" i="12"/>
  <c r="T27" i="12"/>
  <c r="P27" i="12"/>
  <c r="AF26" i="12"/>
  <c r="AB26" i="12"/>
  <c r="X26" i="12"/>
  <c r="T26" i="12"/>
  <c r="P26" i="12"/>
  <c r="AF25" i="12"/>
  <c r="AB25" i="12"/>
  <c r="X25" i="12"/>
  <c r="T25" i="12"/>
  <c r="P25" i="12"/>
  <c r="AF24" i="12"/>
  <c r="AB24" i="12"/>
  <c r="X24" i="12"/>
  <c r="T24" i="12"/>
  <c r="P24" i="12"/>
  <c r="AF23" i="12"/>
  <c r="AB23" i="12"/>
  <c r="X23" i="12"/>
  <c r="T23" i="12"/>
  <c r="P23" i="12"/>
  <c r="AF22" i="12"/>
  <c r="AB22" i="12"/>
  <c r="X22" i="12"/>
  <c r="T22" i="12"/>
  <c r="P22" i="12"/>
  <c r="AF21" i="12"/>
  <c r="AB21" i="12"/>
  <c r="X21" i="12"/>
  <c r="T21" i="12"/>
  <c r="P21" i="12"/>
  <c r="AF20" i="12"/>
  <c r="AB20" i="12"/>
  <c r="X20" i="12"/>
  <c r="T20" i="12"/>
  <c r="P20" i="12"/>
  <c r="AF19" i="12"/>
  <c r="AB19" i="12"/>
  <c r="X19" i="12"/>
  <c r="T19" i="12"/>
  <c r="P19" i="12"/>
  <c r="AF18" i="12"/>
  <c r="AB18" i="12"/>
  <c r="X18" i="12"/>
  <c r="T18" i="12"/>
  <c r="P18" i="12"/>
  <c r="AF17" i="12"/>
  <c r="AB17" i="12"/>
  <c r="X17" i="12"/>
  <c r="T17" i="12"/>
  <c r="P17" i="12"/>
  <c r="AF16" i="12"/>
  <c r="AB16" i="12"/>
  <c r="X16" i="12"/>
  <c r="T16" i="12"/>
  <c r="P16" i="12"/>
  <c r="M46" i="3"/>
  <c r="F7" i="8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16" i="3"/>
  <c r="V16" i="3"/>
  <c r="C17" i="3"/>
  <c r="N17" i="3" s="1"/>
  <c r="C18" i="3"/>
  <c r="N18" i="3" s="1"/>
  <c r="C19" i="3"/>
  <c r="N19" i="3" s="1"/>
  <c r="C20" i="3"/>
  <c r="N20" i="3" s="1"/>
  <c r="C21" i="3"/>
  <c r="N21" i="3" s="1"/>
  <c r="C22" i="3"/>
  <c r="N22" i="3" s="1"/>
  <c r="C23" i="3"/>
  <c r="N23" i="3" s="1"/>
  <c r="C24" i="3"/>
  <c r="N24" i="3" s="1"/>
  <c r="C25" i="3"/>
  <c r="N25" i="3" s="1"/>
  <c r="C26" i="3"/>
  <c r="N26" i="3" s="1"/>
  <c r="C27" i="3"/>
  <c r="N27" i="3" s="1"/>
  <c r="C28" i="3"/>
  <c r="N28" i="3" s="1"/>
  <c r="C29" i="3"/>
  <c r="N29" i="3" s="1"/>
  <c r="C30" i="3"/>
  <c r="N30" i="3" s="1"/>
  <c r="C31" i="3"/>
  <c r="N31" i="3" s="1"/>
  <c r="C32" i="3"/>
  <c r="N32" i="3" s="1"/>
  <c r="C33" i="3"/>
  <c r="N33" i="3" s="1"/>
  <c r="C34" i="3"/>
  <c r="N34" i="3" s="1"/>
  <c r="C35" i="3"/>
  <c r="N35" i="3" s="1"/>
  <c r="C36" i="3"/>
  <c r="N36" i="3" s="1"/>
  <c r="C37" i="3"/>
  <c r="N37" i="3" s="1"/>
  <c r="N38" i="3"/>
  <c r="C39" i="3"/>
  <c r="N39" i="3" s="1"/>
  <c r="C40" i="3"/>
  <c r="N40" i="3" s="1"/>
  <c r="C41" i="3"/>
  <c r="N41" i="3" s="1"/>
  <c r="C42" i="3"/>
  <c r="N42" i="3" s="1"/>
  <c r="C43" i="3"/>
  <c r="N43" i="3" s="1"/>
  <c r="C44" i="3"/>
  <c r="C45" i="3"/>
  <c r="N45" i="3" s="1"/>
  <c r="N44" i="3"/>
  <c r="C16" i="3"/>
  <c r="N16" i="3" s="1"/>
  <c r="D16" i="3"/>
  <c r="R16" i="3" s="1"/>
  <c r="AD16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D24" i="3"/>
  <c r="E24" i="3"/>
  <c r="F24" i="3"/>
  <c r="G24" i="3"/>
  <c r="D25" i="3"/>
  <c r="E25" i="3"/>
  <c r="F25" i="3"/>
  <c r="G25" i="3"/>
  <c r="D26" i="3"/>
  <c r="E26" i="3"/>
  <c r="F26" i="3"/>
  <c r="D27" i="3"/>
  <c r="E27" i="3"/>
  <c r="F27" i="3"/>
  <c r="G27" i="3"/>
  <c r="D28" i="3"/>
  <c r="E28" i="3"/>
  <c r="D29" i="3"/>
  <c r="E29" i="3"/>
  <c r="F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D34" i="3"/>
  <c r="E34" i="3"/>
  <c r="F34" i="3"/>
  <c r="G34" i="3"/>
  <c r="D35" i="3"/>
  <c r="E35" i="3"/>
  <c r="F35" i="3"/>
  <c r="G35" i="3"/>
  <c r="D36" i="3"/>
  <c r="E36" i="3"/>
  <c r="G36" i="3"/>
  <c r="D37" i="3"/>
  <c r="E37" i="3"/>
  <c r="F37" i="3"/>
  <c r="G37" i="3"/>
  <c r="D38" i="3"/>
  <c r="E38" i="3"/>
  <c r="F38" i="3"/>
  <c r="G38" i="3"/>
  <c r="D39" i="3"/>
  <c r="E39" i="3"/>
  <c r="F39" i="3"/>
  <c r="D40" i="3"/>
  <c r="E40" i="3"/>
  <c r="F40" i="3"/>
  <c r="E41" i="3"/>
  <c r="F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G49" i="3"/>
  <c r="G48" i="3"/>
  <c r="H46" i="3"/>
  <c r="X28" i="12" l="1"/>
  <c r="C36" i="12"/>
  <c r="AF28" i="12"/>
  <c r="C38" i="12"/>
  <c r="C40" i="12"/>
  <c r="C42" i="12"/>
  <c r="C44" i="12"/>
  <c r="C46" i="12"/>
  <c r="C48" i="12"/>
  <c r="C50" i="12"/>
  <c r="C52" i="12"/>
  <c r="C54" i="12"/>
  <c r="C56" i="12"/>
  <c r="C58" i="12"/>
  <c r="C60" i="12"/>
  <c r="C62" i="12"/>
  <c r="C64" i="12"/>
  <c r="T28" i="12"/>
  <c r="AB28" i="12"/>
  <c r="C37" i="12"/>
  <c r="C39" i="12"/>
  <c r="C41" i="12"/>
  <c r="C43" i="12"/>
  <c r="C45" i="12"/>
  <c r="C47" i="12"/>
  <c r="C49" i="12"/>
  <c r="C51" i="12"/>
  <c r="C53" i="12"/>
  <c r="C55" i="12"/>
  <c r="C57" i="12"/>
  <c r="C59" i="12"/>
  <c r="C61" i="12"/>
  <c r="C63" i="12"/>
  <c r="C65" i="12"/>
  <c r="P28" i="12"/>
  <c r="G32" i="12" s="1"/>
  <c r="C76" i="3"/>
  <c r="C28" i="14" s="1"/>
  <c r="C63" i="3"/>
  <c r="C54" i="3"/>
  <c r="C78" i="3"/>
  <c r="C75" i="3"/>
  <c r="C80" i="3"/>
  <c r="C58" i="3"/>
  <c r="C65" i="3"/>
  <c r="C77" i="3"/>
  <c r="C70" i="3"/>
  <c r="C19" i="14" s="1"/>
  <c r="C57" i="3"/>
  <c r="C11" i="14" s="1"/>
  <c r="C55" i="3"/>
  <c r="C7" i="14" s="1"/>
  <c r="C82" i="3"/>
  <c r="C27" i="14" s="1"/>
  <c r="C64" i="3"/>
  <c r="C79" i="3"/>
  <c r="C73" i="3"/>
  <c r="C72" i="3"/>
  <c r="C62" i="3"/>
  <c r="C59" i="3"/>
  <c r="C14" i="14" s="1"/>
  <c r="C61" i="3"/>
  <c r="C10" i="14" s="1"/>
  <c r="C71" i="3"/>
  <c r="C74" i="3"/>
  <c r="C23" i="14" s="1"/>
  <c r="C83" i="3"/>
  <c r="C66" i="3"/>
  <c r="C29" i="14" s="1"/>
  <c r="C81" i="3"/>
  <c r="C25" i="14" s="1"/>
  <c r="C67" i="3"/>
  <c r="C21" i="14" s="1"/>
  <c r="C60" i="3"/>
  <c r="C17" i="14" s="1"/>
  <c r="C68" i="3"/>
  <c r="C56" i="3"/>
  <c r="C69" i="3"/>
  <c r="F9" i="8"/>
  <c r="G9" i="8" s="1"/>
  <c r="F15" i="8"/>
  <c r="Z46" i="3"/>
  <c r="R46" i="3"/>
  <c r="N46" i="3"/>
  <c r="AD46" i="3"/>
  <c r="V46" i="3"/>
  <c r="C18" i="14" l="1"/>
  <c r="C9" i="14"/>
  <c r="C6" i="14"/>
  <c r="C13" i="14"/>
  <c r="C30" i="14"/>
  <c r="C12" i="14"/>
  <c r="C20" i="14"/>
  <c r="C24" i="14"/>
  <c r="C22" i="14"/>
  <c r="C26" i="14"/>
  <c r="C32" i="14"/>
  <c r="C5" i="14"/>
  <c r="C8" i="14"/>
  <c r="C31" i="14"/>
  <c r="C15" i="14"/>
  <c r="C16" i="14"/>
  <c r="C3" i="14"/>
  <c r="G44" i="12"/>
  <c r="G72" i="3"/>
  <c r="C4" i="14"/>
  <c r="Q73" i="3"/>
  <c r="R78" i="3" s="1"/>
  <c r="G39" i="12"/>
  <c r="G54" i="12"/>
  <c r="C66" i="12"/>
  <c r="G55" i="12"/>
  <c r="O54" i="12"/>
  <c r="S56" i="12"/>
  <c r="G45" i="12"/>
  <c r="G56" i="12"/>
  <c r="O56" i="12"/>
  <c r="S57" i="12"/>
  <c r="S55" i="12"/>
  <c r="G38" i="12"/>
  <c r="G42" i="12" s="1"/>
  <c r="G57" i="12"/>
  <c r="O57" i="12"/>
  <c r="G40" i="12"/>
  <c r="P39" i="12" s="1"/>
  <c r="O55" i="12"/>
  <c r="S54" i="12"/>
  <c r="Q74" i="3"/>
  <c r="R79" i="3" s="1"/>
  <c r="M74" i="3"/>
  <c r="N81" i="3" s="1"/>
  <c r="G63" i="3"/>
  <c r="G62" i="3"/>
  <c r="M75" i="3"/>
  <c r="N82" i="3" s="1"/>
  <c r="Q72" i="3"/>
  <c r="R77" i="3" s="1"/>
  <c r="Q75" i="3"/>
  <c r="R80" i="3" s="1"/>
  <c r="G57" i="3"/>
  <c r="G58" i="3"/>
  <c r="N57" i="3" s="1"/>
  <c r="G56" i="3"/>
  <c r="M73" i="3"/>
  <c r="N80" i="3" s="1"/>
  <c r="C84" i="3"/>
  <c r="C33" i="14" s="1"/>
  <c r="G60" i="3" l="1"/>
  <c r="J60" i="3"/>
  <c r="K60" i="3"/>
  <c r="G41" i="12"/>
  <c r="G43" i="12" s="1"/>
  <c r="Q39" i="12" s="1"/>
  <c r="P40" i="12" s="1"/>
  <c r="Q40" i="12" s="1"/>
  <c r="P41" i="12" s="1"/>
  <c r="Q41" i="12" s="1"/>
  <c r="P42" i="12" s="1"/>
  <c r="Q42" i="12" s="1"/>
  <c r="P43" i="12" s="1"/>
  <c r="Q43" i="12" s="1"/>
  <c r="P44" i="12" s="1"/>
  <c r="Q44" i="12" s="1"/>
  <c r="G59" i="3"/>
  <c r="G61" i="3" l="1"/>
  <c r="O57" i="3" s="1"/>
  <c r="N58" i="3" s="1"/>
  <c r="O58" i="3" s="1"/>
  <c r="N59" i="3" s="1"/>
  <c r="O59" i="3" s="1"/>
  <c r="N60" i="3" s="1"/>
  <c r="O60" i="3" s="1"/>
  <c r="N61" i="3" s="1"/>
  <c r="O61" i="3" s="1"/>
  <c r="N62" i="3" s="1"/>
  <c r="O62" i="3" s="1"/>
  <c r="K61" i="3"/>
</calcChain>
</file>

<file path=xl/sharedStrings.xml><?xml version="1.0" encoding="utf-8"?>
<sst xmlns="http://schemas.openxmlformats.org/spreadsheetml/2006/main" count="261" uniqueCount="127">
  <si>
    <t>Precio</t>
  </si>
  <si>
    <t>EMPRESA EL RINCONCITO SANGILEÑO</t>
  </si>
  <si>
    <t>DIA</t>
  </si>
  <si>
    <t>Pedidos diarios</t>
  </si>
  <si>
    <t>Lomo ahumado</t>
  </si>
  <si>
    <t>Cabrito</t>
  </si>
  <si>
    <t>Platos de Carne Oreada</t>
  </si>
  <si>
    <t>Cabrito al horno</t>
  </si>
  <si>
    <t>Sobrebarriga</t>
  </si>
  <si>
    <t>Costillitas de Cerdo</t>
  </si>
  <si>
    <t>Total Platos mes</t>
  </si>
  <si>
    <t>Valor Total</t>
  </si>
  <si>
    <t>Número Platos</t>
  </si>
  <si>
    <t>CARNE OREADA (15.000)</t>
  </si>
  <si>
    <t>Base de Precios de los Platos</t>
  </si>
  <si>
    <t>Tipo de Carne</t>
  </si>
  <si>
    <t>ANÁLISIS DE LA RECOLECCIÓN DE DATOS (ENCUESTA)</t>
  </si>
  <si>
    <t>Por: Rita Rubiela Rincón Badillo</t>
  </si>
  <si>
    <t>Cabrito al horno (20.000)</t>
  </si>
  <si>
    <t>Sobrebarriga (15.000)</t>
  </si>
  <si>
    <t>Costillitas de Cerdo (15.000)</t>
  </si>
  <si>
    <t>Lomo ahumado (15.000)</t>
  </si>
  <si>
    <t>Carne oreada</t>
  </si>
  <si>
    <t>VENTAS</t>
  </si>
  <si>
    <t>Ventas del mes</t>
  </si>
  <si>
    <t>Total mes</t>
  </si>
  <si>
    <t>Tamaño de la muestra</t>
  </si>
  <si>
    <t>Valor máximo de la venta</t>
  </si>
  <si>
    <t>Valor mínimo de la venta</t>
  </si>
  <si>
    <t>Rango</t>
  </si>
  <si>
    <t>Nro. Clases</t>
  </si>
  <si>
    <t>Amplitud</t>
  </si>
  <si>
    <t>Media</t>
  </si>
  <si>
    <t>Mediana</t>
  </si>
  <si>
    <t>Moda</t>
  </si>
  <si>
    <t>Sturges propuso un método sencillo, basado en el número de muestras porque permiten encontrar el número de clases, su amplitud y su rango.</t>
  </si>
  <si>
    <t>Se utliza para construir histogramas de frecuencia.</t>
  </si>
  <si>
    <t>Rango= ventamaxima-ventaminima</t>
  </si>
  <si>
    <r>
      <t>K=1+3,322*Log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(N)</t>
    </r>
  </si>
  <si>
    <t>amplitud=rango/nro. Clases</t>
  </si>
  <si>
    <t xml:space="preserve">AGRUPAR DATOS </t>
  </si>
  <si>
    <t>INTERVALO</t>
  </si>
  <si>
    <t>Es igual al valor mínimo +  la amplitud</t>
  </si>
  <si>
    <t>DECILES</t>
  </si>
  <si>
    <t>CUARTILES</t>
  </si>
  <si>
    <t>Q1</t>
  </si>
  <si>
    <t>Q2</t>
  </si>
  <si>
    <t>Q3</t>
  </si>
  <si>
    <t>Q4</t>
  </si>
  <si>
    <t>El 25% de las ventas están por debajo de 508,531,25</t>
  </si>
  <si>
    <t>PARA DATOS NO AGRUPADOS</t>
  </si>
  <si>
    <t>El 25% sería como el valor número 8</t>
  </si>
  <si>
    <t>El 50% de las ventas están por debajo de 627.500,00</t>
  </si>
  <si>
    <t>El 75% de las ventas están por debajo de 765.593,75</t>
  </si>
  <si>
    <t>El 100% de las ventas están por debajo de 875.000,00</t>
  </si>
  <si>
    <t>PERCENTIL</t>
  </si>
  <si>
    <t>P5</t>
  </si>
  <si>
    <t>P7</t>
  </si>
  <si>
    <t>P45</t>
  </si>
  <si>
    <t>P60</t>
  </si>
  <si>
    <t>El 5% de las ventas están por debajo de 627.500</t>
  </si>
  <si>
    <t>D1</t>
  </si>
  <si>
    <t>D2</t>
  </si>
  <si>
    <t>D3</t>
  </si>
  <si>
    <t>D4</t>
  </si>
  <si>
    <t>MEDIA</t>
  </si>
  <si>
    <t>MES 1</t>
  </si>
  <si>
    <t xml:space="preserve">DESVIACIÓN ESTÁNDAR O TÍPICA INDICA CUÁNTO SE ALEJAN LOS VALORES CON RESPECTO A LA MEDIA DEL CONJUNTO DE DATOS </t>
  </si>
  <si>
    <t>DESVIACIÓN</t>
  </si>
  <si>
    <t>ESTE VALOR ES CUÁNTO SE ALEJAN LOS DATOS CON RESPECTO AL PROMEDIO</t>
  </si>
  <si>
    <t>COEFICIENTE</t>
  </si>
  <si>
    <t>DE VARIACIÓN</t>
  </si>
  <si>
    <t>Baja variabiliad</t>
  </si>
  <si>
    <t>ERROR TÍPICO</t>
  </si>
  <si>
    <t>DESV/PROM</t>
  </si>
  <si>
    <t>MARGEN DE ERROR CON RESPECTO A LA MUESTRA</t>
  </si>
  <si>
    <t>DE/RAIZ CUADRADA DEL NUMERO DE DATOS</t>
  </si>
  <si>
    <t>n=</t>
  </si>
  <si>
    <t>Número de días</t>
  </si>
  <si>
    <t>La muestra de error es baja con respecto a la desviación estándar</t>
  </si>
  <si>
    <t>Mientras más grande sea el número de datos menos es el error típico</t>
  </si>
  <si>
    <t>VENTAS mes 1</t>
  </si>
  <si>
    <t>VENTAS mes 2</t>
  </si>
  <si>
    <t>Error típico</t>
  </si>
  <si>
    <t>Desviación estándar</t>
  </si>
  <si>
    <t>Varianza de la muestra</t>
  </si>
  <si>
    <t>Curtosis</t>
  </si>
  <si>
    <t>Coeficiente de asimetría</t>
  </si>
  <si>
    <t>Mínimo</t>
  </si>
  <si>
    <t>Máximo</t>
  </si>
  <si>
    <t>Suma</t>
  </si>
  <si>
    <t>Cuenta</t>
  </si>
  <si>
    <t>MEDIA PLATOS VENDIDOS</t>
  </si>
  <si>
    <t>VALOR VENTAS EN EL MES</t>
  </si>
  <si>
    <t>TOTAL DE PLATOS QUE SE VENDEN MÁS A DIARIO</t>
  </si>
  <si>
    <t>INTERPRETACIÓN DEL Q</t>
  </si>
  <si>
    <t>VENTAS MES 1</t>
  </si>
  <si>
    <t>VENTAS MES 2</t>
  </si>
  <si>
    <t>El 7% de las ventas están por debajo de 736.500</t>
  </si>
  <si>
    <t>El 45% de las ventas están por debajo de 600.500</t>
  </si>
  <si>
    <t>El 60% de las ventas están por debajo de 696.745</t>
  </si>
  <si>
    <t>VENTAS RINCONCITO SANGILEÑO</t>
  </si>
  <si>
    <t>El 5% de las ventas están por debajo de 434.500</t>
  </si>
  <si>
    <t>El 30% de las ventas están por debajo de 529.625</t>
  </si>
  <si>
    <t>El 50% de las ventas están por debajo de627.500</t>
  </si>
  <si>
    <t>El 70% de las ventas están por debajo de 736.500</t>
  </si>
  <si>
    <t>Carne Oreada</t>
  </si>
  <si>
    <t>Platos Mute</t>
  </si>
  <si>
    <t>Clase</t>
  </si>
  <si>
    <t>y mayor...</t>
  </si>
  <si>
    <t>Frecuencia</t>
  </si>
  <si>
    <t>% acumulado</t>
  </si>
  <si>
    <t>MEDIANA</t>
  </si>
  <si>
    <t xml:space="preserve">ALGORITMOS O ECUACIONES </t>
  </si>
  <si>
    <t>PARCIAL</t>
  </si>
  <si>
    <t>TRABAJO</t>
  </si>
  <si>
    <t>CLASE</t>
  </si>
  <si>
    <t>El 25% de las ventas están por debajo de 570.584</t>
  </si>
  <si>
    <t>El 50% de las ventas están por debajo de 705540</t>
  </si>
  <si>
    <t>El 75% de las ventas están por debajo de 802083</t>
  </si>
  <si>
    <t xml:space="preserve">El 5% de las ventas están por debajo de </t>
  </si>
  <si>
    <t xml:space="preserve">El 30% de las ventas están por debajo de </t>
  </si>
  <si>
    <t xml:space="preserve">El 50% de las ventas están por debajo de </t>
  </si>
  <si>
    <t xml:space="preserve">El 70% de las ventas están por debajo de </t>
  </si>
  <si>
    <t xml:space="preserve">El 7% de las ventas están por debajo de </t>
  </si>
  <si>
    <t xml:space="preserve">El 45% de las ventas están por debajo de </t>
  </si>
  <si>
    <t xml:space="preserve">El 60% de las ventas están por debajo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</si>
</sst>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&quot;$&quot;\ #,##0"/>
    <numFmt numFmtId="166" formatCode="_-* #,##0_-;\-* #,##0_-;_-* &quot;-&quot;??_-;_-@_-"/>
    <numFmt numFmtId="167" formatCode="_-* #,##0.0_-;\-* #,##0.0_-;_-* &quot;-&quot;??_-;_-@_-"/>
    <numFmt numFmtId="168" formatCode="_-* #,##0.0_-;\-* #,##0.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9" fontId="0" fillId="0" borderId="1" xfId="0" applyNumberFormat="1" applyBorder="1"/>
    <xf numFmtId="44" fontId="0" fillId="0" borderId="1" xfId="1" applyFont="1" applyBorder="1"/>
    <xf numFmtId="164" fontId="0" fillId="0" borderId="1" xfId="1" applyNumberFormat="1" applyFont="1" applyBorder="1"/>
    <xf numFmtId="1" fontId="0" fillId="0" borderId="0" xfId="0" applyNumberFormat="1"/>
    <xf numFmtId="1" fontId="0" fillId="0" borderId="1" xfId="0" applyNumberFormat="1" applyBorder="1"/>
    <xf numFmtId="1" fontId="0" fillId="0" borderId="1" xfId="1" applyNumberFormat="1" applyFont="1" applyBorder="1"/>
    <xf numFmtId="44" fontId="0" fillId="0" borderId="0" xfId="1" applyFont="1" applyBorder="1"/>
    <xf numFmtId="0" fontId="2" fillId="0" borderId="0" xfId="0" applyFont="1"/>
    <xf numFmtId="1" fontId="0" fillId="0" borderId="1" xfId="1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164" fontId="0" fillId="0" borderId="0" xfId="0" applyNumberFormat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166" fontId="0" fillId="0" borderId="0" xfId="2" applyNumberFormat="1" applyFont="1"/>
    <xf numFmtId="43" fontId="0" fillId="0" borderId="1" xfId="2" applyFont="1" applyBorder="1"/>
    <xf numFmtId="166" fontId="0" fillId="0" borderId="1" xfId="0" applyNumberFormat="1" applyBorder="1"/>
    <xf numFmtId="166" fontId="0" fillId="0" borderId="1" xfId="2" applyNumberFormat="1" applyFont="1" applyBorder="1"/>
    <xf numFmtId="9" fontId="0" fillId="0" borderId="0" xfId="3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2" fillId="6" borderId="1" xfId="0" applyFont="1" applyFill="1" applyBorder="1" applyAlignment="1">
      <alignment horizontal="center"/>
    </xf>
    <xf numFmtId="2" fontId="0" fillId="0" borderId="1" xfId="0" applyNumberFormat="1" applyBorder="1"/>
    <xf numFmtId="43" fontId="0" fillId="0" borderId="1" xfId="0" applyNumberFormat="1" applyBorder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43" fontId="0" fillId="0" borderId="1" xfId="2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 vertical="center" wrapText="1"/>
    </xf>
    <xf numFmtId="1" fontId="0" fillId="0" borderId="0" xfId="1" applyNumberFormat="1" applyFont="1" applyBorder="1"/>
    <xf numFmtId="1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1" fontId="3" fillId="0" borderId="1" xfId="0" applyNumberFormat="1" applyFont="1" applyBorder="1"/>
    <xf numFmtId="0" fontId="0" fillId="0" borderId="6" xfId="0" applyBorder="1"/>
    <xf numFmtId="0" fontId="5" fillId="0" borderId="7" xfId="0" applyFont="1" applyBorder="1" applyAlignment="1">
      <alignment horizontal="center"/>
    </xf>
    <xf numFmtId="10" fontId="0" fillId="0" borderId="0" xfId="0" applyNumberFormat="1"/>
    <xf numFmtId="10" fontId="0" fillId="0" borderId="6" xfId="0" applyNumberFormat="1" applyBorder="1"/>
    <xf numFmtId="43" fontId="0" fillId="0" borderId="0" xfId="2" applyFont="1"/>
    <xf numFmtId="0" fontId="2" fillId="6" borderId="0" xfId="0" applyFont="1" applyFill="1" applyAlignment="1">
      <alignment horizontal="center"/>
    </xf>
    <xf numFmtId="167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44" fontId="0" fillId="0" borderId="0" xfId="0" applyNumberFormat="1"/>
    <xf numFmtId="165" fontId="0" fillId="0" borderId="0" xfId="0" applyNumberFormat="1"/>
    <xf numFmtId="43" fontId="0" fillId="0" borderId="0" xfId="0" applyNumberFormat="1"/>
    <xf numFmtId="166" fontId="0" fillId="0" borderId="0" xfId="0" applyNumberFormat="1"/>
    <xf numFmtId="0" fontId="2" fillId="3" borderId="1" xfId="0" applyFont="1" applyFill="1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164" fontId="0" fillId="0" borderId="1" xfId="0" applyNumberFormat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Anális!$C$4</c:f>
              <c:strCache>
                <c:ptCount val="1"/>
                <c:pt idx="0">
                  <c:v>VENTAS MES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Anális!$C$5:$C$34</c:f>
              <c:numCache>
                <c:formatCode>_-"$"\ * #,##0_-;\-"$"\ * #,##0_-;_-"$"\ * "-"??_-;_-@_-</c:formatCode>
                <c:ptCount val="30"/>
                <c:pt idx="0">
                  <c:v>729960</c:v>
                </c:pt>
                <c:pt idx="1">
                  <c:v>708290</c:v>
                </c:pt>
                <c:pt idx="2">
                  <c:v>428375</c:v>
                </c:pt>
                <c:pt idx="3">
                  <c:v>428040</c:v>
                </c:pt>
                <c:pt idx="4">
                  <c:v>443040</c:v>
                </c:pt>
                <c:pt idx="5">
                  <c:v>473375</c:v>
                </c:pt>
                <c:pt idx="6">
                  <c:v>503710</c:v>
                </c:pt>
                <c:pt idx="7">
                  <c:v>567875</c:v>
                </c:pt>
                <c:pt idx="8">
                  <c:v>518375</c:v>
                </c:pt>
                <c:pt idx="9">
                  <c:v>533375</c:v>
                </c:pt>
                <c:pt idx="10">
                  <c:v>687790</c:v>
                </c:pt>
                <c:pt idx="11">
                  <c:v>578710</c:v>
                </c:pt>
                <c:pt idx="12">
                  <c:v>758290</c:v>
                </c:pt>
                <c:pt idx="13">
                  <c:v>702790</c:v>
                </c:pt>
                <c:pt idx="14">
                  <c:v>593040</c:v>
                </c:pt>
                <c:pt idx="15">
                  <c:v>654045</c:v>
                </c:pt>
                <c:pt idx="16">
                  <c:v>715050</c:v>
                </c:pt>
                <c:pt idx="17">
                  <c:v>807450</c:v>
                </c:pt>
                <c:pt idx="18">
                  <c:v>653040</c:v>
                </c:pt>
                <c:pt idx="19">
                  <c:v>683375</c:v>
                </c:pt>
                <c:pt idx="20">
                  <c:v>799210</c:v>
                </c:pt>
                <c:pt idx="21">
                  <c:v>790050</c:v>
                </c:pt>
                <c:pt idx="22">
                  <c:v>943930</c:v>
                </c:pt>
                <c:pt idx="23">
                  <c:v>867875</c:v>
                </c:pt>
                <c:pt idx="24">
                  <c:v>852705</c:v>
                </c:pt>
                <c:pt idx="25">
                  <c:v>902875</c:v>
                </c:pt>
                <c:pt idx="26">
                  <c:v>788375</c:v>
                </c:pt>
                <c:pt idx="27">
                  <c:v>818710</c:v>
                </c:pt>
                <c:pt idx="28">
                  <c:v>803040</c:v>
                </c:pt>
                <c:pt idx="29">
                  <c:v>879380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2-4144-84E5-49AFAAAADDFB}"/>
            </c:ext>
          </c:extLst>
        </c:ser>
        <c:ser>
          <c:idx val="1"/>
          <c:order val="1"/>
          <c:tx>
            <c:strRef>
              <c:f>Anális!$D$4</c:f>
              <c:strCache>
                <c:ptCount val="1"/>
                <c:pt idx="0">
                  <c:v>VENTAS MES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Anális!$D$5:$D$34</c:f>
              <c:numCache>
                <c:formatCode>_("$"* #,##0.00_);_("$"* \(#,##0.00\);_("$"* "-"??_);_(@_)</c:formatCode>
                <c:ptCount val="30"/>
                <c:pt idx="0">
                  <c:v>410000</c:v>
                </c:pt>
                <c:pt idx="1">
                  <c:v>530000</c:v>
                </c:pt>
                <c:pt idx="2">
                  <c:v>475000</c:v>
                </c:pt>
                <c:pt idx="3">
                  <c:v>510000</c:v>
                </c:pt>
                <c:pt idx="4">
                  <c:v>480000</c:v>
                </c:pt>
                <c:pt idx="5">
                  <c:v>390000</c:v>
                </c:pt>
                <c:pt idx="6">
                  <c:v>600000</c:v>
                </c:pt>
                <c:pt idx="7">
                  <c:v>550000</c:v>
                </c:pt>
                <c:pt idx="8">
                  <c:v>589000</c:v>
                </c:pt>
                <c:pt idx="9">
                  <c:v>610000</c:v>
                </c:pt>
                <c:pt idx="10">
                  <c:v>580000</c:v>
                </c:pt>
                <c:pt idx="11">
                  <c:v>590000</c:v>
                </c:pt>
                <c:pt idx="12">
                  <c:v>610000</c:v>
                </c:pt>
                <c:pt idx="13">
                  <c:v>586000</c:v>
                </c:pt>
                <c:pt idx="14">
                  <c:v>625000</c:v>
                </c:pt>
                <c:pt idx="15">
                  <c:v>640000</c:v>
                </c:pt>
                <c:pt idx="16">
                  <c:v>780000</c:v>
                </c:pt>
                <c:pt idx="17">
                  <c:v>950000</c:v>
                </c:pt>
                <c:pt idx="18">
                  <c:v>720000</c:v>
                </c:pt>
                <c:pt idx="19">
                  <c:v>745000</c:v>
                </c:pt>
                <c:pt idx="20">
                  <c:v>785000</c:v>
                </c:pt>
                <c:pt idx="21">
                  <c:v>810000</c:v>
                </c:pt>
                <c:pt idx="22">
                  <c:v>820000</c:v>
                </c:pt>
                <c:pt idx="23">
                  <c:v>690000</c:v>
                </c:pt>
                <c:pt idx="24">
                  <c:v>750000</c:v>
                </c:pt>
                <c:pt idx="25">
                  <c:v>825000</c:v>
                </c:pt>
                <c:pt idx="26">
                  <c:v>830000</c:v>
                </c:pt>
                <c:pt idx="27">
                  <c:v>870000</c:v>
                </c:pt>
                <c:pt idx="28">
                  <c:v>910000</c:v>
                </c:pt>
                <c:pt idx="29">
                  <c:v>920000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2-4144-84E5-49AFAAAA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16448"/>
        <c:axId val="633911856"/>
      </c:lineChart>
      <c:catAx>
        <c:axId val="6339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911856"/>
        <c:crosses val="autoZero"/>
        <c:auto val="1"/>
        <c:lblAlgn val="ctr"/>
        <c:lblOffset val="100"/>
        <c:noMultiLvlLbl val="0"/>
      </c:catAx>
      <c:valAx>
        <c:axId val="633911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9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'h2'!$A$2:$A$7</c:f>
              <c:strCache>
                <c:ptCount val="6"/>
                <c:pt idx="0">
                  <c:v>390000</c:v>
                </c:pt>
                <c:pt idx="1">
                  <c:v>487000</c:v>
                </c:pt>
                <c:pt idx="2">
                  <c:v>584000</c:v>
                </c:pt>
                <c:pt idx="3">
                  <c:v>681000</c:v>
                </c:pt>
                <c:pt idx="4">
                  <c:v>778000</c:v>
                </c:pt>
                <c:pt idx="5">
                  <c:v>y mayor...</c:v>
                </c:pt>
              </c:strCache>
            </c:strRef>
          </c:cat>
          <c:val>
            <c:numRef>
              <c:f>'h2'!$B$2:$B$7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5-4177-B1D9-21338195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11816"/>
        <c:axId val="410312144"/>
      </c:barChart>
      <c:lineChart>
        <c:grouping val="standard"/>
        <c:varyColors val="0"/>
        <c:ser>
          <c:idx val="1"/>
          <c:order val="1"/>
          <c:tx>
            <c:v>% acumulado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'h2'!$A$2:$A$7</c:f>
              <c:strCache>
                <c:ptCount val="6"/>
                <c:pt idx="0">
                  <c:v>390000</c:v>
                </c:pt>
                <c:pt idx="1">
                  <c:v>487000</c:v>
                </c:pt>
                <c:pt idx="2">
                  <c:v>584000</c:v>
                </c:pt>
                <c:pt idx="3">
                  <c:v>681000</c:v>
                </c:pt>
                <c:pt idx="4">
                  <c:v>778000</c:v>
                </c:pt>
                <c:pt idx="5">
                  <c:v>y mayor...</c:v>
                </c:pt>
              </c:strCache>
            </c:strRef>
          </c:cat>
          <c:val>
            <c:numRef>
              <c:f>'h2'!$C$2:$C$7</c:f>
              <c:numCache>
                <c:formatCode>0.00%</c:formatCode>
                <c:ptCount val="6"/>
                <c:pt idx="0">
                  <c:v>3.3333333333333333E-2</c:v>
                </c:pt>
                <c:pt idx="1">
                  <c:v>0.2</c:v>
                </c:pt>
                <c:pt idx="2">
                  <c:v>0.4</c:v>
                </c:pt>
                <c:pt idx="3">
                  <c:v>0.56666666666666665</c:v>
                </c:pt>
                <c:pt idx="4">
                  <c:v>0.76666666666666672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5-4177-B1D9-21338195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23464"/>
        <c:axId val="410320840"/>
      </c:lineChart>
      <c:catAx>
        <c:axId val="41031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12144"/>
        <c:crosses val="autoZero"/>
        <c:auto val="1"/>
        <c:lblAlgn val="ctr"/>
        <c:lblOffset val="100"/>
        <c:noMultiLvlLbl val="0"/>
      </c:catAx>
      <c:valAx>
        <c:axId val="41031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11816"/>
        <c:crosses val="autoZero"/>
        <c:crossBetween val="between"/>
      </c:valAx>
      <c:valAx>
        <c:axId val="410320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10323464"/>
        <c:crosses val="max"/>
        <c:crossBetween val="between"/>
      </c:valAx>
      <c:catAx>
        <c:axId val="410323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3208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VENTAS DEL 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 DEL MES</a:t>
          </a:r>
        </a:p>
      </cx:txPr>
    </cx:title>
    <cx:plotArea>
      <cx:plotAreaRegion>
        <cx:series layoutId="clusteredColumn" uniqueId="{2EAD06B9-D6CF-4DC9-9515-9955D9FC15D8}">
          <cx:tx>
            <cx:txData>
              <cx:f>_xlchart.v1.1</cx:f>
              <cx:v>VENTAS</cx:v>
            </cx:txData>
          </cx:tx>
          <cx:dataLabels/>
          <cx:dataId val="0"/>
          <cx:layoutPr>
            <cx:binning intervalClosed="r">
              <cx:binSize val="2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ADA5597-4368-491F-B2CE-63D5F7D6A0B9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5027E7A8-6184-4798-8D0F-F6183E4D9525}">
          <cx:tx>
            <cx:txData>
              <cx:f>_xlchart.v1.3</cx:f>
              <cx:v>VENTAS MES 1</cx:v>
            </cx:txData>
          </cx:tx>
          <cx:dataId val="0"/>
          <cx:layoutPr>
            <cx:binning intervalClosed="r">
              <cx:binSize val="10000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s-E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88</xdr:row>
      <xdr:rowOff>28575</xdr:rowOff>
    </xdr:from>
    <xdr:to>
      <xdr:col>15</xdr:col>
      <xdr:colOff>209550</xdr:colOff>
      <xdr:row>106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AE51D49-DD6E-4F6F-BDA9-D655A8F4F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17249775"/>
              <a:ext cx="7077075" cy="3452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219075</xdr:colOff>
      <xdr:row>53</xdr:row>
      <xdr:rowOff>57149</xdr:rowOff>
    </xdr:from>
    <xdr:to>
      <xdr:col>28</xdr:col>
      <xdr:colOff>295275</xdr:colOff>
      <xdr:row>73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11C8E7C-37E4-02CE-E73F-5314654D81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11575" y="10572749"/>
              <a:ext cx="4953000" cy="3914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5</xdr:row>
      <xdr:rowOff>76200</xdr:rowOff>
    </xdr:from>
    <xdr:to>
      <xdr:col>15</xdr:col>
      <xdr:colOff>381000</xdr:colOff>
      <xdr:row>9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DD6843-909F-45B0-A916-99CED8599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647700"/>
          <a:ext cx="21336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590550</xdr:colOff>
      <xdr:row>8</xdr:row>
      <xdr:rowOff>38100</xdr:rowOff>
    </xdr:from>
    <xdr:to>
      <xdr:col>12</xdr:col>
      <xdr:colOff>438150</xdr:colOff>
      <xdr:row>12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8269E7-6477-4234-9CF8-D14E55805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181100"/>
          <a:ext cx="28956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723900</xdr:colOff>
      <xdr:row>17</xdr:row>
      <xdr:rowOff>180975</xdr:rowOff>
    </xdr:from>
    <xdr:to>
      <xdr:col>7</xdr:col>
      <xdr:colOff>942975</xdr:colOff>
      <xdr:row>21</xdr:row>
      <xdr:rowOff>85725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65E2308-DD16-4F8A-BA8D-3CF7A7CEC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3038475"/>
          <a:ext cx="9810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38</xdr:row>
      <xdr:rowOff>109537</xdr:rowOff>
    </xdr:from>
    <xdr:to>
      <xdr:col>14</xdr:col>
      <xdr:colOff>276225</xdr:colOff>
      <xdr:row>52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1340780-DDD8-499F-8F32-B285634D5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425" y="7348537"/>
              <a:ext cx="11125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266700</xdr:colOff>
      <xdr:row>5</xdr:row>
      <xdr:rowOff>119062</xdr:rowOff>
    </xdr:from>
    <xdr:to>
      <xdr:col>12</xdr:col>
      <xdr:colOff>266700</xdr:colOff>
      <xdr:row>20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7E922-FCC5-4794-9B63-3EFD20A4F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1</xdr:row>
      <xdr:rowOff>66674</xdr:rowOff>
    </xdr:from>
    <xdr:to>
      <xdr:col>12</xdr:col>
      <xdr:colOff>628650</xdr:colOff>
      <xdr:row>19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C60F93-FF67-4AFA-BCB1-1F974D5F7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1280-0466-4D9B-A57E-70AB868228C5}">
  <dimension ref="A1:B7"/>
  <sheetViews>
    <sheetView workbookViewId="0">
      <selection activeCell="B31" sqref="B31"/>
    </sheetView>
  </sheetViews>
  <sheetFormatPr baseColWidth="10" defaultRowHeight="15" x14ac:dyDescent="0.25"/>
  <sheetData>
    <row r="1" spans="1:2" x14ac:dyDescent="0.25">
      <c r="A1" s="47" t="s">
        <v>108</v>
      </c>
      <c r="B1" s="47" t="s">
        <v>110</v>
      </c>
    </row>
    <row r="2" spans="1:2" x14ac:dyDescent="0.25">
      <c r="A2">
        <v>390000</v>
      </c>
      <c r="B2">
        <v>1</v>
      </c>
    </row>
    <row r="3" spans="1:2" x14ac:dyDescent="0.25">
      <c r="A3">
        <v>487000</v>
      </c>
      <c r="B3">
        <v>5</v>
      </c>
    </row>
    <row r="4" spans="1:2" x14ac:dyDescent="0.25">
      <c r="A4">
        <v>584000</v>
      </c>
      <c r="B4">
        <v>6</v>
      </c>
    </row>
    <row r="5" spans="1:2" x14ac:dyDescent="0.25">
      <c r="A5">
        <v>681000</v>
      </c>
      <c r="B5">
        <v>5</v>
      </c>
    </row>
    <row r="6" spans="1:2" x14ac:dyDescent="0.25">
      <c r="A6">
        <v>778000</v>
      </c>
      <c r="B6">
        <v>6</v>
      </c>
    </row>
    <row r="7" spans="1:2" ht="15.75" thickBot="1" x14ac:dyDescent="0.3">
      <c r="A7" s="46" t="s">
        <v>109</v>
      </c>
      <c r="B7" s="4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5A27-06D5-4CC8-8387-74F26F953EC7}">
  <dimension ref="B2:AD115"/>
  <sheetViews>
    <sheetView tabSelected="1" topLeftCell="D1" zoomScale="124" zoomScaleNormal="124" workbookViewId="0">
      <selection activeCell="E11" sqref="E11"/>
    </sheetView>
  </sheetViews>
  <sheetFormatPr baseColWidth="10" defaultRowHeight="15" x14ac:dyDescent="0.25"/>
  <cols>
    <col min="1" max="1" width="3.28515625" customWidth="1"/>
    <col min="2" max="2" width="19.28515625" customWidth="1"/>
    <col min="3" max="3" width="12.7109375" customWidth="1"/>
    <col min="4" max="4" width="10.5703125" customWidth="1"/>
    <col min="5" max="5" width="13.5703125" customWidth="1"/>
    <col min="6" max="6" width="14" customWidth="1"/>
    <col min="7" max="7" width="12.28515625" customWidth="1"/>
    <col min="8" max="8" width="13.28515625" style="5" customWidth="1"/>
    <col min="9" max="9" width="12" style="5" customWidth="1"/>
    <col min="10" max="10" width="13.7109375" style="5" customWidth="1"/>
    <col min="11" max="11" width="14.140625" customWidth="1"/>
    <col min="12" max="12" width="11.140625" customWidth="1"/>
    <col min="13" max="13" width="9.42578125" customWidth="1"/>
    <col min="14" max="14" width="16.7109375" customWidth="1"/>
    <col min="15" max="15" width="12" customWidth="1"/>
    <col min="17" max="17" width="12.5703125" customWidth="1"/>
    <col min="18" max="18" width="14.140625" customWidth="1"/>
    <col min="19" max="19" width="5.140625" customWidth="1"/>
    <col min="21" max="21" width="8.28515625" bestFit="1" customWidth="1"/>
    <col min="22" max="22" width="12.5703125" customWidth="1"/>
    <col min="23" max="23" width="3.140625" customWidth="1"/>
    <col min="25" max="25" width="8.28515625" bestFit="1" customWidth="1"/>
    <col min="26" max="26" width="13.5703125" customWidth="1"/>
    <col min="27" max="27" width="4.42578125" customWidth="1"/>
    <col min="29" max="29" width="8.28515625" bestFit="1" customWidth="1"/>
    <col min="30" max="30" width="15.140625" customWidth="1"/>
  </cols>
  <sheetData>
    <row r="2" spans="2:30" x14ac:dyDescent="0.25">
      <c r="B2" t="s">
        <v>16</v>
      </c>
    </row>
    <row r="3" spans="2:30" x14ac:dyDescent="0.25">
      <c r="B3" t="s">
        <v>17</v>
      </c>
    </row>
    <row r="5" spans="2:30" x14ac:dyDescent="0.25">
      <c r="B5" t="s">
        <v>14</v>
      </c>
    </row>
    <row r="7" spans="2:30" x14ac:dyDescent="0.25">
      <c r="B7" s="19" t="s">
        <v>15</v>
      </c>
      <c r="C7" s="20" t="s">
        <v>0</v>
      </c>
    </row>
    <row r="8" spans="2:30" x14ac:dyDescent="0.25">
      <c r="B8" s="1" t="s">
        <v>22</v>
      </c>
      <c r="C8" s="17">
        <v>15000</v>
      </c>
    </row>
    <row r="9" spans="2:30" x14ac:dyDescent="0.25">
      <c r="B9" s="1" t="s">
        <v>5</v>
      </c>
      <c r="C9" s="17">
        <v>20000</v>
      </c>
      <c r="H9" s="64"/>
      <c r="I9" s="64"/>
      <c r="J9" s="64"/>
      <c r="K9" s="64"/>
      <c r="L9" s="64"/>
      <c r="M9" s="64"/>
      <c r="N9" s="64"/>
    </row>
    <row r="10" spans="2:30" x14ac:dyDescent="0.25">
      <c r="B10" s="1" t="s">
        <v>8</v>
      </c>
      <c r="C10" s="17">
        <v>15000</v>
      </c>
      <c r="N10" s="56">
        <f>M16*$C$8</f>
        <v>219960</v>
      </c>
    </row>
    <row r="11" spans="2:30" ht="30" x14ac:dyDescent="0.25">
      <c r="B11" s="18" t="s">
        <v>9</v>
      </c>
      <c r="C11" s="17">
        <v>15000</v>
      </c>
    </row>
    <row r="12" spans="2:30" x14ac:dyDescent="0.25">
      <c r="B12" s="1" t="s">
        <v>4</v>
      </c>
      <c r="C12" s="17">
        <v>15000</v>
      </c>
    </row>
    <row r="14" spans="2:30" x14ac:dyDescent="0.25">
      <c r="B14" s="59" t="s">
        <v>1</v>
      </c>
      <c r="C14" s="59"/>
      <c r="D14" s="59"/>
      <c r="E14" s="59"/>
      <c r="F14" s="59"/>
      <c r="G14" s="59"/>
      <c r="H14" s="59"/>
      <c r="I14" s="40"/>
      <c r="J14" s="40"/>
      <c r="K14" s="9"/>
      <c r="L14" s="59" t="s">
        <v>13</v>
      </c>
      <c r="M14" s="59"/>
      <c r="N14" s="59"/>
      <c r="P14" s="59" t="s">
        <v>18</v>
      </c>
      <c r="Q14" s="59"/>
      <c r="R14" s="59"/>
      <c r="T14" s="59" t="s">
        <v>19</v>
      </c>
      <c r="U14" s="59"/>
      <c r="V14" s="59"/>
      <c r="X14" s="59" t="s">
        <v>20</v>
      </c>
      <c r="Y14" s="59"/>
      <c r="Z14" s="59"/>
      <c r="AB14" s="59" t="s">
        <v>21</v>
      </c>
      <c r="AC14" s="59"/>
      <c r="AD14" s="59"/>
    </row>
    <row r="15" spans="2:30" ht="33" customHeight="1" x14ac:dyDescent="0.25">
      <c r="B15" s="11" t="s">
        <v>2</v>
      </c>
      <c r="C15" s="12" t="s">
        <v>6</v>
      </c>
      <c r="D15" s="12" t="s">
        <v>7</v>
      </c>
      <c r="E15" s="11" t="s">
        <v>8</v>
      </c>
      <c r="F15" s="12" t="s">
        <v>9</v>
      </c>
      <c r="G15" s="12" t="s">
        <v>4</v>
      </c>
      <c r="H15" s="13" t="s">
        <v>3</v>
      </c>
      <c r="I15" s="41"/>
      <c r="J15" s="41"/>
      <c r="L15" s="11" t="s">
        <v>2</v>
      </c>
      <c r="M15" s="12" t="s">
        <v>12</v>
      </c>
      <c r="N15" s="12" t="s">
        <v>11</v>
      </c>
      <c r="P15" s="11" t="s">
        <v>2</v>
      </c>
      <c r="Q15" s="12" t="s">
        <v>12</v>
      </c>
      <c r="R15" s="12" t="s">
        <v>11</v>
      </c>
      <c r="T15" s="11" t="s">
        <v>2</v>
      </c>
      <c r="U15" s="12" t="s">
        <v>12</v>
      </c>
      <c r="V15" s="12" t="s">
        <v>11</v>
      </c>
      <c r="X15" s="11" t="s">
        <v>2</v>
      </c>
      <c r="Y15" s="12" t="s">
        <v>12</v>
      </c>
      <c r="Z15" s="12" t="s">
        <v>11</v>
      </c>
      <c r="AB15" s="11" t="s">
        <v>2</v>
      </c>
      <c r="AC15" s="12" t="s">
        <v>12</v>
      </c>
      <c r="AD15" s="12" t="s">
        <v>11</v>
      </c>
    </row>
    <row r="16" spans="2:30" x14ac:dyDescent="0.25">
      <c r="B16" s="1">
        <v>1</v>
      </c>
      <c r="C16" s="6">
        <f>H16*61.1%</f>
        <v>14.664</v>
      </c>
      <c r="D16" s="6">
        <f>H16*0.25</f>
        <v>6</v>
      </c>
      <c r="E16" s="6">
        <v>5</v>
      </c>
      <c r="F16" s="6">
        <v>5</v>
      </c>
      <c r="G16" s="6">
        <v>20</v>
      </c>
      <c r="H16" s="6">
        <v>24</v>
      </c>
      <c r="L16" s="1">
        <v>1</v>
      </c>
      <c r="M16" s="6">
        <f>C16</f>
        <v>14.664</v>
      </c>
      <c r="N16" s="4">
        <f>M16*$C$8</f>
        <v>219960</v>
      </c>
      <c r="O16" s="56"/>
      <c r="P16" s="1">
        <v>1</v>
      </c>
      <c r="Q16" s="6">
        <f>D16</f>
        <v>6</v>
      </c>
      <c r="R16" s="4">
        <f>Q16*$C$9</f>
        <v>120000</v>
      </c>
      <c r="T16" s="1">
        <v>1</v>
      </c>
      <c r="U16" s="6">
        <f>E16</f>
        <v>5</v>
      </c>
      <c r="V16" s="4">
        <f>T16*$C$10</f>
        <v>15000</v>
      </c>
      <c r="X16" s="1">
        <v>1</v>
      </c>
      <c r="Y16" s="6">
        <f>F16</f>
        <v>5</v>
      </c>
      <c r="Z16" s="4">
        <f>Y16*$C$11</f>
        <v>75000</v>
      </c>
      <c r="AB16" s="1">
        <v>1</v>
      </c>
      <c r="AC16" s="6">
        <f>G16</f>
        <v>20</v>
      </c>
      <c r="AD16" s="4">
        <f>AC16*$C$11</f>
        <v>300000</v>
      </c>
    </row>
    <row r="17" spans="2:30" x14ac:dyDescent="0.25">
      <c r="B17" s="1">
        <v>2</v>
      </c>
      <c r="C17" s="6">
        <f t="shared" ref="C17:C45" si="0">H17*61.1%</f>
        <v>15.885999999999999</v>
      </c>
      <c r="D17" s="6">
        <v>10</v>
      </c>
      <c r="E17" s="6">
        <v>8</v>
      </c>
      <c r="F17" s="6">
        <v>9</v>
      </c>
      <c r="G17" s="6">
        <v>7</v>
      </c>
      <c r="H17" s="7">
        <v>26</v>
      </c>
      <c r="I17" s="42"/>
      <c r="L17" s="1">
        <v>2</v>
      </c>
      <c r="M17" s="6">
        <f t="shared" ref="M17:M45" si="1">C17</f>
        <v>15.885999999999999</v>
      </c>
      <c r="N17" s="4">
        <f t="shared" ref="N17:N45" si="2">M17*$C$8</f>
        <v>238290</v>
      </c>
      <c r="O17" s="56"/>
      <c r="P17" s="1">
        <v>2</v>
      </c>
      <c r="Q17" s="6">
        <f t="shared" ref="Q17:Q45" si="3">D17</f>
        <v>10</v>
      </c>
      <c r="R17" s="4">
        <f t="shared" ref="R17:R45" si="4">Q17*$C$9</f>
        <v>200000</v>
      </c>
      <c r="T17" s="1">
        <v>2</v>
      </c>
      <c r="U17" s="6">
        <f t="shared" ref="U17:U45" si="5">E17</f>
        <v>8</v>
      </c>
      <c r="V17" s="4">
        <f t="shared" ref="V17:V45" si="6">T17*$C$10</f>
        <v>30000</v>
      </c>
      <c r="X17" s="1">
        <v>2</v>
      </c>
      <c r="Y17" s="6">
        <f t="shared" ref="Y17:Y45" si="7">F17</f>
        <v>9</v>
      </c>
      <c r="Z17" s="4">
        <f t="shared" ref="Z17:Z45" si="8">Y17*$C$11</f>
        <v>135000</v>
      </c>
      <c r="AB17" s="1">
        <v>2</v>
      </c>
      <c r="AC17" s="6">
        <f t="shared" ref="AC17:AC45" si="9">G17</f>
        <v>7</v>
      </c>
      <c r="AD17" s="4">
        <f t="shared" ref="AD17:AD45" si="10">AC17*$C$11</f>
        <v>105000</v>
      </c>
    </row>
    <row r="18" spans="2:30" x14ac:dyDescent="0.25">
      <c r="B18" s="1">
        <v>3</v>
      </c>
      <c r="C18" s="6">
        <f t="shared" si="0"/>
        <v>15.275</v>
      </c>
      <c r="D18" s="6">
        <f t="shared" ref="D18:D45" si="11">H18*0.25</f>
        <v>6.25</v>
      </c>
      <c r="E18" s="6">
        <f t="shared" ref="E18:E45" si="12">H18*5%</f>
        <v>1.25</v>
      </c>
      <c r="F18" s="6">
        <f t="shared" ref="F18:F45" si="13">H18*5%</f>
        <v>1.25</v>
      </c>
      <c r="G18" s="6">
        <f t="shared" ref="G18:G45" si="14">H18*2.8%</f>
        <v>0.7</v>
      </c>
      <c r="H18" s="7">
        <v>25</v>
      </c>
      <c r="I18" s="42"/>
      <c r="L18" s="1">
        <v>3</v>
      </c>
      <c r="M18" s="6">
        <f t="shared" si="1"/>
        <v>15.275</v>
      </c>
      <c r="N18" s="4">
        <f t="shared" si="2"/>
        <v>229125</v>
      </c>
      <c r="O18" s="56"/>
      <c r="P18" s="1">
        <v>3</v>
      </c>
      <c r="Q18" s="6">
        <f t="shared" si="3"/>
        <v>6.25</v>
      </c>
      <c r="R18" s="4">
        <f t="shared" si="4"/>
        <v>125000</v>
      </c>
      <c r="T18" s="1">
        <v>3</v>
      </c>
      <c r="U18" s="6">
        <f t="shared" si="5"/>
        <v>1.25</v>
      </c>
      <c r="V18" s="4">
        <f t="shared" si="6"/>
        <v>45000</v>
      </c>
      <c r="X18" s="1">
        <v>3</v>
      </c>
      <c r="Y18" s="6">
        <f t="shared" si="7"/>
        <v>1.25</v>
      </c>
      <c r="Z18" s="4">
        <f t="shared" si="8"/>
        <v>18750</v>
      </c>
      <c r="AB18" s="1">
        <v>3</v>
      </c>
      <c r="AC18" s="6">
        <f t="shared" si="9"/>
        <v>0.7</v>
      </c>
      <c r="AD18" s="4">
        <f t="shared" si="10"/>
        <v>10500</v>
      </c>
    </row>
    <row r="19" spans="2:30" x14ac:dyDescent="0.25">
      <c r="B19" s="1">
        <v>4</v>
      </c>
      <c r="C19" s="6">
        <f t="shared" si="0"/>
        <v>14.664</v>
      </c>
      <c r="D19" s="6">
        <f t="shared" si="11"/>
        <v>6</v>
      </c>
      <c r="E19" s="6">
        <f t="shared" si="12"/>
        <v>1.2000000000000002</v>
      </c>
      <c r="F19" s="6">
        <f t="shared" si="13"/>
        <v>1.2000000000000002</v>
      </c>
      <c r="G19" s="6">
        <f t="shared" si="14"/>
        <v>0.67199999999999993</v>
      </c>
      <c r="H19" s="7">
        <v>24</v>
      </c>
      <c r="I19" s="42"/>
      <c r="K19" s="8"/>
      <c r="L19" s="1">
        <v>4</v>
      </c>
      <c r="M19" s="6">
        <f t="shared" si="1"/>
        <v>14.664</v>
      </c>
      <c r="N19" s="4">
        <f t="shared" si="2"/>
        <v>219960</v>
      </c>
      <c r="O19" s="56"/>
      <c r="P19" s="1">
        <v>4</v>
      </c>
      <c r="Q19" s="6">
        <f t="shared" si="3"/>
        <v>6</v>
      </c>
      <c r="R19" s="4">
        <f t="shared" si="4"/>
        <v>120000</v>
      </c>
      <c r="T19" s="1">
        <v>4</v>
      </c>
      <c r="U19" s="6">
        <f t="shared" si="5"/>
        <v>1.2000000000000002</v>
      </c>
      <c r="V19" s="4">
        <f t="shared" si="6"/>
        <v>60000</v>
      </c>
      <c r="X19" s="1">
        <v>4</v>
      </c>
      <c r="Y19" s="6">
        <f t="shared" si="7"/>
        <v>1.2000000000000002</v>
      </c>
      <c r="Z19" s="4">
        <f t="shared" si="8"/>
        <v>18000.000000000004</v>
      </c>
      <c r="AB19" s="1">
        <v>4</v>
      </c>
      <c r="AC19" s="6">
        <f t="shared" si="9"/>
        <v>0.67199999999999993</v>
      </c>
      <c r="AD19" s="4">
        <f t="shared" si="10"/>
        <v>10079.999999999998</v>
      </c>
    </row>
    <row r="20" spans="2:30" x14ac:dyDescent="0.25">
      <c r="B20" s="1">
        <v>5</v>
      </c>
      <c r="C20" s="6">
        <f t="shared" si="0"/>
        <v>14.664</v>
      </c>
      <c r="D20" s="6">
        <f t="shared" si="11"/>
        <v>6</v>
      </c>
      <c r="E20" s="6">
        <f t="shared" si="12"/>
        <v>1.2000000000000002</v>
      </c>
      <c r="F20" s="6">
        <f t="shared" si="13"/>
        <v>1.2000000000000002</v>
      </c>
      <c r="G20" s="6">
        <f t="shared" si="14"/>
        <v>0.67199999999999993</v>
      </c>
      <c r="H20" s="7">
        <v>24</v>
      </c>
      <c r="I20" s="42"/>
      <c r="K20" s="8"/>
      <c r="L20" s="1">
        <v>5</v>
      </c>
      <c r="M20" s="6">
        <f t="shared" si="1"/>
        <v>14.664</v>
      </c>
      <c r="N20" s="4">
        <f t="shared" si="2"/>
        <v>219960</v>
      </c>
      <c r="O20" s="56"/>
      <c r="P20" s="1">
        <v>5</v>
      </c>
      <c r="Q20" s="6">
        <f t="shared" si="3"/>
        <v>6</v>
      </c>
      <c r="R20" s="4">
        <f t="shared" si="4"/>
        <v>120000</v>
      </c>
      <c r="T20" s="1">
        <v>5</v>
      </c>
      <c r="U20" s="6">
        <f t="shared" si="5"/>
        <v>1.2000000000000002</v>
      </c>
      <c r="V20" s="4">
        <f t="shared" si="6"/>
        <v>75000</v>
      </c>
      <c r="X20" s="1">
        <v>5</v>
      </c>
      <c r="Y20" s="6">
        <f t="shared" si="7"/>
        <v>1.2000000000000002</v>
      </c>
      <c r="Z20" s="4">
        <f t="shared" si="8"/>
        <v>18000.000000000004</v>
      </c>
      <c r="AB20" s="1">
        <v>5</v>
      </c>
      <c r="AC20" s="6">
        <f t="shared" si="9"/>
        <v>0.67199999999999993</v>
      </c>
      <c r="AD20" s="4">
        <f t="shared" si="10"/>
        <v>10079.999999999998</v>
      </c>
    </row>
    <row r="21" spans="2:30" x14ac:dyDescent="0.25">
      <c r="B21" s="1">
        <v>6</v>
      </c>
      <c r="C21" s="6">
        <f t="shared" si="0"/>
        <v>15.275</v>
      </c>
      <c r="D21" s="6">
        <f t="shared" si="11"/>
        <v>6.25</v>
      </c>
      <c r="E21" s="6">
        <f t="shared" si="12"/>
        <v>1.25</v>
      </c>
      <c r="F21" s="6">
        <f t="shared" si="13"/>
        <v>1.25</v>
      </c>
      <c r="G21" s="6">
        <f t="shared" si="14"/>
        <v>0.7</v>
      </c>
      <c r="H21" s="10">
        <v>25</v>
      </c>
      <c r="I21" s="43"/>
      <c r="L21" s="1">
        <v>6</v>
      </c>
      <c r="M21" s="6">
        <f t="shared" si="1"/>
        <v>15.275</v>
      </c>
      <c r="N21" s="4">
        <f t="shared" si="2"/>
        <v>229125</v>
      </c>
      <c r="O21" s="56"/>
      <c r="P21" s="1">
        <v>6</v>
      </c>
      <c r="Q21" s="6">
        <f t="shared" si="3"/>
        <v>6.25</v>
      </c>
      <c r="R21" s="4">
        <f t="shared" si="4"/>
        <v>125000</v>
      </c>
      <c r="T21" s="1">
        <v>6</v>
      </c>
      <c r="U21" s="6">
        <f t="shared" si="5"/>
        <v>1.25</v>
      </c>
      <c r="V21" s="4">
        <f t="shared" si="6"/>
        <v>90000</v>
      </c>
      <c r="X21" s="1">
        <v>6</v>
      </c>
      <c r="Y21" s="6">
        <f t="shared" si="7"/>
        <v>1.25</v>
      </c>
      <c r="Z21" s="4">
        <f t="shared" si="8"/>
        <v>18750</v>
      </c>
      <c r="AB21" s="1">
        <v>6</v>
      </c>
      <c r="AC21" s="6">
        <f t="shared" si="9"/>
        <v>0.7</v>
      </c>
      <c r="AD21" s="4">
        <f t="shared" si="10"/>
        <v>10500</v>
      </c>
    </row>
    <row r="22" spans="2:30" x14ac:dyDescent="0.25">
      <c r="B22" s="1">
        <v>7</v>
      </c>
      <c r="C22" s="6">
        <f t="shared" si="0"/>
        <v>15.885999999999999</v>
      </c>
      <c r="D22" s="6">
        <f t="shared" si="11"/>
        <v>6.5</v>
      </c>
      <c r="E22" s="6">
        <f t="shared" si="12"/>
        <v>1.3</v>
      </c>
      <c r="F22" s="6">
        <f t="shared" si="13"/>
        <v>1.3</v>
      </c>
      <c r="G22" s="6">
        <f t="shared" si="14"/>
        <v>0.72799999999999998</v>
      </c>
      <c r="H22" s="10">
        <v>26</v>
      </c>
      <c r="I22" s="43"/>
      <c r="L22" s="1">
        <v>7</v>
      </c>
      <c r="M22" s="6">
        <f t="shared" si="1"/>
        <v>15.885999999999999</v>
      </c>
      <c r="N22" s="4">
        <f t="shared" si="2"/>
        <v>238290</v>
      </c>
      <c r="O22" s="56"/>
      <c r="P22" s="1">
        <v>7</v>
      </c>
      <c r="Q22" s="6">
        <f t="shared" si="3"/>
        <v>6.5</v>
      </c>
      <c r="R22" s="4">
        <f t="shared" si="4"/>
        <v>130000</v>
      </c>
      <c r="T22" s="1">
        <v>7</v>
      </c>
      <c r="U22" s="6">
        <f t="shared" si="5"/>
        <v>1.3</v>
      </c>
      <c r="V22" s="4">
        <f t="shared" si="6"/>
        <v>105000</v>
      </c>
      <c r="X22" s="1">
        <v>7</v>
      </c>
      <c r="Y22" s="6">
        <f t="shared" si="7"/>
        <v>1.3</v>
      </c>
      <c r="Z22" s="4">
        <f t="shared" si="8"/>
        <v>19500</v>
      </c>
      <c r="AB22" s="1">
        <v>7</v>
      </c>
      <c r="AC22" s="6">
        <f t="shared" si="9"/>
        <v>0.72799999999999998</v>
      </c>
      <c r="AD22" s="4">
        <f t="shared" si="10"/>
        <v>10920</v>
      </c>
    </row>
    <row r="23" spans="2:30" x14ac:dyDescent="0.25">
      <c r="B23" s="1">
        <v>8</v>
      </c>
      <c r="C23" s="6">
        <f t="shared" si="0"/>
        <v>15.275</v>
      </c>
      <c r="D23" s="6">
        <f t="shared" si="11"/>
        <v>6.25</v>
      </c>
      <c r="E23" s="6">
        <f t="shared" si="12"/>
        <v>1.25</v>
      </c>
      <c r="F23" s="6">
        <f t="shared" si="13"/>
        <v>1.25</v>
      </c>
      <c r="G23" s="6">
        <v>5</v>
      </c>
      <c r="H23" s="10">
        <v>25</v>
      </c>
      <c r="I23" s="43"/>
      <c r="L23" s="1">
        <v>8</v>
      </c>
      <c r="M23" s="6">
        <f t="shared" si="1"/>
        <v>15.275</v>
      </c>
      <c r="N23" s="4">
        <f t="shared" si="2"/>
        <v>229125</v>
      </c>
      <c r="O23" s="56"/>
      <c r="P23" s="1">
        <v>8</v>
      </c>
      <c r="Q23" s="6">
        <f t="shared" si="3"/>
        <v>6.25</v>
      </c>
      <c r="R23" s="4">
        <f t="shared" si="4"/>
        <v>125000</v>
      </c>
      <c r="T23" s="1">
        <v>8</v>
      </c>
      <c r="U23" s="6">
        <f t="shared" si="5"/>
        <v>1.25</v>
      </c>
      <c r="V23" s="4">
        <f t="shared" si="6"/>
        <v>120000</v>
      </c>
      <c r="X23" s="1">
        <v>8</v>
      </c>
      <c r="Y23" s="6">
        <f t="shared" si="7"/>
        <v>1.25</v>
      </c>
      <c r="Z23" s="4">
        <f t="shared" si="8"/>
        <v>18750</v>
      </c>
      <c r="AB23" s="1">
        <v>8</v>
      </c>
      <c r="AC23" s="6">
        <f t="shared" si="9"/>
        <v>5</v>
      </c>
      <c r="AD23" s="4">
        <f t="shared" si="10"/>
        <v>75000</v>
      </c>
    </row>
    <row r="24" spans="2:30" x14ac:dyDescent="0.25">
      <c r="B24" s="1">
        <v>9</v>
      </c>
      <c r="C24" s="6">
        <f t="shared" si="0"/>
        <v>15.275</v>
      </c>
      <c r="D24" s="6">
        <f t="shared" si="11"/>
        <v>6.25</v>
      </c>
      <c r="E24" s="6">
        <f t="shared" si="12"/>
        <v>1.25</v>
      </c>
      <c r="F24" s="6">
        <f t="shared" si="13"/>
        <v>1.25</v>
      </c>
      <c r="G24" s="6">
        <f t="shared" si="14"/>
        <v>0.7</v>
      </c>
      <c r="H24" s="6">
        <v>25</v>
      </c>
      <c r="L24" s="1">
        <v>9</v>
      </c>
      <c r="M24" s="6">
        <f t="shared" si="1"/>
        <v>15.275</v>
      </c>
      <c r="N24" s="4">
        <f t="shared" si="2"/>
        <v>229125</v>
      </c>
      <c r="O24" s="56"/>
      <c r="P24" s="1">
        <v>9</v>
      </c>
      <c r="Q24" s="6">
        <f t="shared" si="3"/>
        <v>6.25</v>
      </c>
      <c r="R24" s="4">
        <f t="shared" si="4"/>
        <v>125000</v>
      </c>
      <c r="T24" s="1">
        <v>9</v>
      </c>
      <c r="U24" s="6">
        <f t="shared" si="5"/>
        <v>1.25</v>
      </c>
      <c r="V24" s="4">
        <f t="shared" si="6"/>
        <v>135000</v>
      </c>
      <c r="X24" s="1">
        <v>9</v>
      </c>
      <c r="Y24" s="6">
        <f t="shared" si="7"/>
        <v>1.25</v>
      </c>
      <c r="Z24" s="4">
        <f t="shared" si="8"/>
        <v>18750</v>
      </c>
      <c r="AB24" s="1">
        <v>9</v>
      </c>
      <c r="AC24" s="6">
        <f t="shared" si="9"/>
        <v>0.7</v>
      </c>
      <c r="AD24" s="4">
        <f t="shared" si="10"/>
        <v>10500</v>
      </c>
    </row>
    <row r="25" spans="2:30" x14ac:dyDescent="0.25">
      <c r="B25" s="1">
        <v>10</v>
      </c>
      <c r="C25" s="6">
        <f t="shared" si="0"/>
        <v>15.275</v>
      </c>
      <c r="D25" s="6">
        <f t="shared" si="11"/>
        <v>6.25</v>
      </c>
      <c r="E25" s="6">
        <f t="shared" si="12"/>
        <v>1.25</v>
      </c>
      <c r="F25" s="6">
        <f t="shared" si="13"/>
        <v>1.25</v>
      </c>
      <c r="G25" s="6">
        <f t="shared" si="14"/>
        <v>0.7</v>
      </c>
      <c r="H25" s="6">
        <v>25</v>
      </c>
      <c r="L25" s="1">
        <v>10</v>
      </c>
      <c r="M25" s="6">
        <f t="shared" si="1"/>
        <v>15.275</v>
      </c>
      <c r="N25" s="4">
        <f t="shared" si="2"/>
        <v>229125</v>
      </c>
      <c r="O25" s="56"/>
      <c r="P25" s="1">
        <v>10</v>
      </c>
      <c r="Q25" s="6">
        <f t="shared" si="3"/>
        <v>6.25</v>
      </c>
      <c r="R25" s="4">
        <f t="shared" si="4"/>
        <v>125000</v>
      </c>
      <c r="T25" s="1">
        <v>10</v>
      </c>
      <c r="U25" s="6">
        <f t="shared" si="5"/>
        <v>1.25</v>
      </c>
      <c r="V25" s="4">
        <f t="shared" si="6"/>
        <v>150000</v>
      </c>
      <c r="X25" s="1">
        <v>10</v>
      </c>
      <c r="Y25" s="6">
        <f t="shared" si="7"/>
        <v>1.25</v>
      </c>
      <c r="Z25" s="4">
        <f t="shared" si="8"/>
        <v>18750</v>
      </c>
      <c r="AB25" s="1">
        <v>10</v>
      </c>
      <c r="AC25" s="6">
        <f t="shared" si="9"/>
        <v>0.7</v>
      </c>
      <c r="AD25" s="4">
        <f t="shared" si="10"/>
        <v>10500</v>
      </c>
    </row>
    <row r="26" spans="2:30" x14ac:dyDescent="0.25">
      <c r="B26" s="1">
        <v>11</v>
      </c>
      <c r="C26" s="6">
        <f t="shared" si="0"/>
        <v>15.885999999999999</v>
      </c>
      <c r="D26" s="6">
        <f t="shared" si="11"/>
        <v>6.5</v>
      </c>
      <c r="E26" s="6">
        <f t="shared" si="12"/>
        <v>1.3</v>
      </c>
      <c r="F26" s="6">
        <f t="shared" si="13"/>
        <v>1.3</v>
      </c>
      <c r="G26" s="6">
        <v>9</v>
      </c>
      <c r="H26" s="6">
        <v>26</v>
      </c>
      <c r="L26" s="1">
        <v>11</v>
      </c>
      <c r="M26" s="6">
        <f t="shared" si="1"/>
        <v>15.885999999999999</v>
      </c>
      <c r="N26" s="4">
        <f t="shared" si="2"/>
        <v>238290</v>
      </c>
      <c r="O26" s="56"/>
      <c r="P26" s="1">
        <v>11</v>
      </c>
      <c r="Q26" s="6">
        <f t="shared" si="3"/>
        <v>6.5</v>
      </c>
      <c r="R26" s="4">
        <f t="shared" si="4"/>
        <v>130000</v>
      </c>
      <c r="T26" s="1">
        <v>11</v>
      </c>
      <c r="U26" s="6">
        <f t="shared" si="5"/>
        <v>1.3</v>
      </c>
      <c r="V26" s="4">
        <f t="shared" si="6"/>
        <v>165000</v>
      </c>
      <c r="X26" s="1">
        <v>11</v>
      </c>
      <c r="Y26" s="6">
        <f t="shared" si="7"/>
        <v>1.3</v>
      </c>
      <c r="Z26" s="4">
        <f t="shared" si="8"/>
        <v>19500</v>
      </c>
      <c r="AB26" s="1">
        <v>11</v>
      </c>
      <c r="AC26" s="6">
        <f t="shared" si="9"/>
        <v>9</v>
      </c>
      <c r="AD26" s="4">
        <f t="shared" si="10"/>
        <v>135000</v>
      </c>
    </row>
    <row r="27" spans="2:30" x14ac:dyDescent="0.25">
      <c r="B27" s="1">
        <v>12</v>
      </c>
      <c r="C27" s="6">
        <f t="shared" si="0"/>
        <v>15.885999999999999</v>
      </c>
      <c r="D27" s="6">
        <f t="shared" si="11"/>
        <v>6.5</v>
      </c>
      <c r="E27" s="6">
        <f t="shared" si="12"/>
        <v>1.3</v>
      </c>
      <c r="F27" s="6">
        <f t="shared" si="13"/>
        <v>1.3</v>
      </c>
      <c r="G27" s="6">
        <f t="shared" si="14"/>
        <v>0.72799999999999998</v>
      </c>
      <c r="H27" s="6">
        <v>26</v>
      </c>
      <c r="L27" s="1">
        <v>12</v>
      </c>
      <c r="M27" s="6">
        <f t="shared" si="1"/>
        <v>15.885999999999999</v>
      </c>
      <c r="N27" s="4">
        <f t="shared" si="2"/>
        <v>238290</v>
      </c>
      <c r="O27" s="56"/>
      <c r="P27" s="1">
        <v>12</v>
      </c>
      <c r="Q27" s="6">
        <f t="shared" si="3"/>
        <v>6.5</v>
      </c>
      <c r="R27" s="4">
        <f t="shared" si="4"/>
        <v>130000</v>
      </c>
      <c r="T27" s="1">
        <v>12</v>
      </c>
      <c r="U27" s="6">
        <f t="shared" si="5"/>
        <v>1.3</v>
      </c>
      <c r="V27" s="4">
        <f t="shared" si="6"/>
        <v>180000</v>
      </c>
      <c r="X27" s="1">
        <v>12</v>
      </c>
      <c r="Y27" s="6">
        <f t="shared" si="7"/>
        <v>1.3</v>
      </c>
      <c r="Z27" s="4">
        <f t="shared" si="8"/>
        <v>19500</v>
      </c>
      <c r="AB27" s="1">
        <v>12</v>
      </c>
      <c r="AC27" s="6">
        <f t="shared" si="9"/>
        <v>0.72799999999999998</v>
      </c>
      <c r="AD27" s="4">
        <f t="shared" si="10"/>
        <v>10920</v>
      </c>
    </row>
    <row r="28" spans="2:30" x14ac:dyDescent="0.25">
      <c r="B28" s="1">
        <v>13</v>
      </c>
      <c r="C28" s="6">
        <f t="shared" si="0"/>
        <v>15.885999999999999</v>
      </c>
      <c r="D28" s="6">
        <f t="shared" si="11"/>
        <v>6.5</v>
      </c>
      <c r="E28" s="6">
        <f t="shared" si="12"/>
        <v>1.3</v>
      </c>
      <c r="F28" s="6">
        <v>5</v>
      </c>
      <c r="G28" s="6">
        <v>8</v>
      </c>
      <c r="H28" s="6">
        <v>26</v>
      </c>
      <c r="L28" s="1">
        <v>13</v>
      </c>
      <c r="M28" s="6">
        <f t="shared" si="1"/>
        <v>15.885999999999999</v>
      </c>
      <c r="N28" s="4">
        <f t="shared" si="2"/>
        <v>238290</v>
      </c>
      <c r="O28" s="56"/>
      <c r="P28" s="1">
        <v>13</v>
      </c>
      <c r="Q28" s="6">
        <f t="shared" si="3"/>
        <v>6.5</v>
      </c>
      <c r="R28" s="4">
        <f t="shared" si="4"/>
        <v>130000</v>
      </c>
      <c r="T28" s="1">
        <v>13</v>
      </c>
      <c r="U28" s="6">
        <f t="shared" si="5"/>
        <v>1.3</v>
      </c>
      <c r="V28" s="4">
        <f t="shared" si="6"/>
        <v>195000</v>
      </c>
      <c r="X28" s="1">
        <v>13</v>
      </c>
      <c r="Y28" s="6">
        <f t="shared" si="7"/>
        <v>5</v>
      </c>
      <c r="Z28" s="4">
        <f t="shared" si="8"/>
        <v>75000</v>
      </c>
      <c r="AB28" s="1">
        <v>13</v>
      </c>
      <c r="AC28" s="6">
        <f t="shared" si="9"/>
        <v>8</v>
      </c>
      <c r="AD28" s="4">
        <f t="shared" si="10"/>
        <v>120000</v>
      </c>
    </row>
    <row r="29" spans="2:30" x14ac:dyDescent="0.25">
      <c r="B29" s="1">
        <v>14</v>
      </c>
      <c r="C29" s="6">
        <f t="shared" si="0"/>
        <v>15.885999999999999</v>
      </c>
      <c r="D29" s="6">
        <f t="shared" si="11"/>
        <v>6.5</v>
      </c>
      <c r="E29" s="6">
        <f t="shared" si="12"/>
        <v>1.3</v>
      </c>
      <c r="F29" s="6">
        <f t="shared" si="13"/>
        <v>1.3</v>
      </c>
      <c r="G29" s="6">
        <v>7</v>
      </c>
      <c r="H29" s="6">
        <v>26</v>
      </c>
      <c r="L29" s="1">
        <v>14</v>
      </c>
      <c r="M29" s="6">
        <f t="shared" si="1"/>
        <v>15.885999999999999</v>
      </c>
      <c r="N29" s="4">
        <f t="shared" si="2"/>
        <v>238290</v>
      </c>
      <c r="O29" s="56"/>
      <c r="P29" s="1">
        <v>14</v>
      </c>
      <c r="Q29" s="6">
        <f t="shared" si="3"/>
        <v>6.5</v>
      </c>
      <c r="R29" s="4">
        <f t="shared" si="4"/>
        <v>130000</v>
      </c>
      <c r="T29" s="1">
        <v>14</v>
      </c>
      <c r="U29" s="6">
        <f t="shared" si="5"/>
        <v>1.3</v>
      </c>
      <c r="V29" s="4">
        <f t="shared" si="6"/>
        <v>210000</v>
      </c>
      <c r="X29" s="1">
        <v>14</v>
      </c>
      <c r="Y29" s="6">
        <f t="shared" si="7"/>
        <v>1.3</v>
      </c>
      <c r="Z29" s="4">
        <f t="shared" si="8"/>
        <v>19500</v>
      </c>
      <c r="AB29" s="1">
        <v>14</v>
      </c>
      <c r="AC29" s="6">
        <f t="shared" si="9"/>
        <v>7</v>
      </c>
      <c r="AD29" s="4">
        <f t="shared" si="10"/>
        <v>105000</v>
      </c>
    </row>
    <row r="30" spans="2:30" x14ac:dyDescent="0.25">
      <c r="B30" s="1">
        <v>15</v>
      </c>
      <c r="C30" s="6">
        <f t="shared" si="0"/>
        <v>14.664</v>
      </c>
      <c r="D30" s="6">
        <f t="shared" si="11"/>
        <v>6</v>
      </c>
      <c r="E30" s="6">
        <f t="shared" si="12"/>
        <v>1.2000000000000002</v>
      </c>
      <c r="F30" s="6">
        <f t="shared" si="13"/>
        <v>1.2000000000000002</v>
      </c>
      <c r="G30" s="6">
        <f t="shared" si="14"/>
        <v>0.67199999999999993</v>
      </c>
      <c r="H30" s="6">
        <v>24</v>
      </c>
      <c r="L30" s="1">
        <v>15</v>
      </c>
      <c r="M30" s="6">
        <f t="shared" si="1"/>
        <v>14.664</v>
      </c>
      <c r="N30" s="4">
        <f t="shared" si="2"/>
        <v>219960</v>
      </c>
      <c r="O30" s="56"/>
      <c r="P30" s="1">
        <v>15</v>
      </c>
      <c r="Q30" s="6">
        <f t="shared" si="3"/>
        <v>6</v>
      </c>
      <c r="R30" s="4">
        <f t="shared" si="4"/>
        <v>120000</v>
      </c>
      <c r="T30" s="1">
        <v>15</v>
      </c>
      <c r="U30" s="6">
        <f t="shared" si="5"/>
        <v>1.2000000000000002</v>
      </c>
      <c r="V30" s="4">
        <f t="shared" si="6"/>
        <v>225000</v>
      </c>
      <c r="X30" s="1">
        <v>15</v>
      </c>
      <c r="Y30" s="6">
        <f t="shared" si="7"/>
        <v>1.2000000000000002</v>
      </c>
      <c r="Z30" s="4">
        <f t="shared" si="8"/>
        <v>18000.000000000004</v>
      </c>
      <c r="AB30" s="1">
        <v>15</v>
      </c>
      <c r="AC30" s="6">
        <f t="shared" si="9"/>
        <v>0.67199999999999993</v>
      </c>
      <c r="AD30" s="4">
        <f t="shared" si="10"/>
        <v>10079.999999999998</v>
      </c>
    </row>
    <row r="31" spans="2:30" x14ac:dyDescent="0.25">
      <c r="B31" s="1">
        <v>16</v>
      </c>
      <c r="C31" s="6">
        <f t="shared" si="0"/>
        <v>16.497</v>
      </c>
      <c r="D31" s="6">
        <f t="shared" si="11"/>
        <v>6.75</v>
      </c>
      <c r="E31" s="6">
        <f t="shared" si="12"/>
        <v>1.35</v>
      </c>
      <c r="F31" s="6">
        <f t="shared" si="13"/>
        <v>1.35</v>
      </c>
      <c r="G31" s="6">
        <f t="shared" si="14"/>
        <v>0.75599999999999989</v>
      </c>
      <c r="H31" s="6">
        <v>27</v>
      </c>
      <c r="L31" s="1">
        <v>16</v>
      </c>
      <c r="M31" s="6">
        <f t="shared" si="1"/>
        <v>16.497</v>
      </c>
      <c r="N31" s="4">
        <f t="shared" si="2"/>
        <v>247455</v>
      </c>
      <c r="O31" s="56"/>
      <c r="P31" s="1">
        <v>16</v>
      </c>
      <c r="Q31" s="6">
        <f t="shared" si="3"/>
        <v>6.75</v>
      </c>
      <c r="R31" s="4">
        <f t="shared" si="4"/>
        <v>135000</v>
      </c>
      <c r="T31" s="1">
        <v>16</v>
      </c>
      <c r="U31" s="6">
        <f t="shared" si="5"/>
        <v>1.35</v>
      </c>
      <c r="V31" s="4">
        <f t="shared" si="6"/>
        <v>240000</v>
      </c>
      <c r="X31" s="1">
        <v>16</v>
      </c>
      <c r="Y31" s="6">
        <f t="shared" si="7"/>
        <v>1.35</v>
      </c>
      <c r="Z31" s="4">
        <f t="shared" si="8"/>
        <v>20250</v>
      </c>
      <c r="AB31" s="1">
        <v>16</v>
      </c>
      <c r="AC31" s="6">
        <f t="shared" si="9"/>
        <v>0.75599999999999989</v>
      </c>
      <c r="AD31" s="4">
        <f t="shared" si="10"/>
        <v>11339.999999999998</v>
      </c>
    </row>
    <row r="32" spans="2:30" x14ac:dyDescent="0.25">
      <c r="B32" s="1">
        <v>17</v>
      </c>
      <c r="C32" s="6">
        <f t="shared" si="0"/>
        <v>18.329999999999998</v>
      </c>
      <c r="D32" s="6">
        <f t="shared" si="11"/>
        <v>7.5</v>
      </c>
      <c r="E32" s="6">
        <f t="shared" si="12"/>
        <v>1.5</v>
      </c>
      <c r="F32" s="6">
        <f t="shared" si="13"/>
        <v>1.5</v>
      </c>
      <c r="G32" s="6">
        <f t="shared" si="14"/>
        <v>0.83999999999999986</v>
      </c>
      <c r="H32" s="6">
        <v>30</v>
      </c>
      <c r="L32" s="1">
        <v>17</v>
      </c>
      <c r="M32" s="6">
        <f t="shared" si="1"/>
        <v>18.329999999999998</v>
      </c>
      <c r="N32" s="4">
        <f t="shared" si="2"/>
        <v>274950</v>
      </c>
      <c r="O32" s="56"/>
      <c r="P32" s="1">
        <v>17</v>
      </c>
      <c r="Q32" s="6">
        <f t="shared" si="3"/>
        <v>7.5</v>
      </c>
      <c r="R32" s="4">
        <f t="shared" si="4"/>
        <v>150000</v>
      </c>
      <c r="T32" s="1">
        <v>17</v>
      </c>
      <c r="U32" s="6">
        <f t="shared" si="5"/>
        <v>1.5</v>
      </c>
      <c r="V32" s="4">
        <f t="shared" si="6"/>
        <v>255000</v>
      </c>
      <c r="X32" s="1">
        <v>17</v>
      </c>
      <c r="Y32" s="6">
        <f t="shared" si="7"/>
        <v>1.5</v>
      </c>
      <c r="Z32" s="4">
        <f t="shared" si="8"/>
        <v>22500</v>
      </c>
      <c r="AB32" s="1">
        <v>17</v>
      </c>
      <c r="AC32" s="6">
        <f t="shared" si="9"/>
        <v>0.83999999999999986</v>
      </c>
      <c r="AD32" s="4">
        <f t="shared" si="10"/>
        <v>12599.999999999998</v>
      </c>
    </row>
    <row r="33" spans="2:30" x14ac:dyDescent="0.25">
      <c r="B33" s="1">
        <v>18</v>
      </c>
      <c r="C33" s="6">
        <f t="shared" si="0"/>
        <v>18.329999999999998</v>
      </c>
      <c r="D33" s="6">
        <f t="shared" si="11"/>
        <v>7.5</v>
      </c>
      <c r="E33" s="6">
        <f t="shared" si="12"/>
        <v>1.5</v>
      </c>
      <c r="F33" s="6">
        <f t="shared" si="13"/>
        <v>1.5</v>
      </c>
      <c r="G33" s="6">
        <v>6</v>
      </c>
      <c r="H33" s="6">
        <v>30</v>
      </c>
      <c r="L33" s="1">
        <v>18</v>
      </c>
      <c r="M33" s="6">
        <f t="shared" si="1"/>
        <v>18.329999999999998</v>
      </c>
      <c r="N33" s="4">
        <f t="shared" si="2"/>
        <v>274950</v>
      </c>
      <c r="O33" s="56"/>
      <c r="P33" s="1">
        <v>18</v>
      </c>
      <c r="Q33" s="6">
        <f t="shared" si="3"/>
        <v>7.5</v>
      </c>
      <c r="R33" s="4">
        <f t="shared" si="4"/>
        <v>150000</v>
      </c>
      <c r="T33" s="1">
        <v>18</v>
      </c>
      <c r="U33" s="6">
        <f t="shared" si="5"/>
        <v>1.5</v>
      </c>
      <c r="V33" s="4">
        <f t="shared" si="6"/>
        <v>270000</v>
      </c>
      <c r="X33" s="1">
        <v>18</v>
      </c>
      <c r="Y33" s="6">
        <f t="shared" si="7"/>
        <v>1.5</v>
      </c>
      <c r="Z33" s="4">
        <f t="shared" si="8"/>
        <v>22500</v>
      </c>
      <c r="AB33" s="1">
        <v>18</v>
      </c>
      <c r="AC33" s="6">
        <f t="shared" si="9"/>
        <v>6</v>
      </c>
      <c r="AD33" s="4">
        <f t="shared" si="10"/>
        <v>90000</v>
      </c>
    </row>
    <row r="34" spans="2:30" x14ac:dyDescent="0.25">
      <c r="B34" s="1">
        <v>19</v>
      </c>
      <c r="C34" s="6">
        <f t="shared" si="0"/>
        <v>14.664</v>
      </c>
      <c r="D34" s="6">
        <f t="shared" si="11"/>
        <v>6</v>
      </c>
      <c r="E34" s="6">
        <f t="shared" si="12"/>
        <v>1.2000000000000002</v>
      </c>
      <c r="F34" s="6">
        <f t="shared" si="13"/>
        <v>1.2000000000000002</v>
      </c>
      <c r="G34" s="6">
        <f t="shared" si="14"/>
        <v>0.67199999999999993</v>
      </c>
      <c r="H34" s="6">
        <v>24</v>
      </c>
      <c r="L34" s="1">
        <v>19</v>
      </c>
      <c r="M34" s="6">
        <f t="shared" si="1"/>
        <v>14.664</v>
      </c>
      <c r="N34" s="4">
        <f t="shared" si="2"/>
        <v>219960</v>
      </c>
      <c r="O34" s="56"/>
      <c r="P34" s="1">
        <v>19</v>
      </c>
      <c r="Q34" s="6">
        <f t="shared" si="3"/>
        <v>6</v>
      </c>
      <c r="R34" s="4">
        <f t="shared" si="4"/>
        <v>120000</v>
      </c>
      <c r="T34" s="1">
        <v>19</v>
      </c>
      <c r="U34" s="6">
        <f t="shared" si="5"/>
        <v>1.2000000000000002</v>
      </c>
      <c r="V34" s="4">
        <f t="shared" si="6"/>
        <v>285000</v>
      </c>
      <c r="X34" s="1">
        <v>19</v>
      </c>
      <c r="Y34" s="6">
        <f t="shared" si="7"/>
        <v>1.2000000000000002</v>
      </c>
      <c r="Z34" s="4">
        <f t="shared" si="8"/>
        <v>18000.000000000004</v>
      </c>
      <c r="AB34" s="1">
        <v>19</v>
      </c>
      <c r="AC34" s="6">
        <f t="shared" si="9"/>
        <v>0.67199999999999993</v>
      </c>
      <c r="AD34" s="4">
        <f t="shared" si="10"/>
        <v>10079.999999999998</v>
      </c>
    </row>
    <row r="35" spans="2:30" x14ac:dyDescent="0.25">
      <c r="B35" s="1">
        <v>20</v>
      </c>
      <c r="C35" s="6">
        <f t="shared" si="0"/>
        <v>15.275</v>
      </c>
      <c r="D35" s="6">
        <f t="shared" si="11"/>
        <v>6.25</v>
      </c>
      <c r="E35" s="6">
        <f t="shared" si="12"/>
        <v>1.25</v>
      </c>
      <c r="F35" s="6">
        <f t="shared" si="13"/>
        <v>1.25</v>
      </c>
      <c r="G35" s="6">
        <f t="shared" si="14"/>
        <v>0.7</v>
      </c>
      <c r="H35" s="6">
        <v>25</v>
      </c>
      <c r="L35" s="1">
        <v>20</v>
      </c>
      <c r="M35" s="6">
        <f t="shared" si="1"/>
        <v>15.275</v>
      </c>
      <c r="N35" s="4">
        <f t="shared" si="2"/>
        <v>229125</v>
      </c>
      <c r="O35" s="56"/>
      <c r="P35" s="1">
        <v>20</v>
      </c>
      <c r="Q35" s="6">
        <f t="shared" si="3"/>
        <v>6.25</v>
      </c>
      <c r="R35" s="4">
        <f t="shared" si="4"/>
        <v>125000</v>
      </c>
      <c r="T35" s="1">
        <v>20</v>
      </c>
      <c r="U35" s="6">
        <f t="shared" si="5"/>
        <v>1.25</v>
      </c>
      <c r="V35" s="4">
        <f t="shared" si="6"/>
        <v>300000</v>
      </c>
      <c r="X35" s="1">
        <v>20</v>
      </c>
      <c r="Y35" s="6">
        <f t="shared" si="7"/>
        <v>1.25</v>
      </c>
      <c r="Z35" s="4">
        <f t="shared" si="8"/>
        <v>18750</v>
      </c>
      <c r="AB35" s="1">
        <v>20</v>
      </c>
      <c r="AC35" s="6">
        <f t="shared" si="9"/>
        <v>0.7</v>
      </c>
      <c r="AD35" s="4">
        <f t="shared" si="10"/>
        <v>10500</v>
      </c>
    </row>
    <row r="36" spans="2:30" x14ac:dyDescent="0.25">
      <c r="B36" s="1">
        <v>21</v>
      </c>
      <c r="C36" s="6">
        <f t="shared" si="0"/>
        <v>15.885999999999999</v>
      </c>
      <c r="D36" s="6">
        <f t="shared" si="11"/>
        <v>6.5</v>
      </c>
      <c r="E36" s="6">
        <f t="shared" si="12"/>
        <v>1.3</v>
      </c>
      <c r="F36" s="6">
        <v>7</v>
      </c>
      <c r="G36" s="6">
        <f t="shared" si="14"/>
        <v>0.72799999999999998</v>
      </c>
      <c r="H36" s="6">
        <v>26</v>
      </c>
      <c r="L36" s="1">
        <v>21</v>
      </c>
      <c r="M36" s="6">
        <f t="shared" si="1"/>
        <v>15.885999999999999</v>
      </c>
      <c r="N36" s="4">
        <f t="shared" si="2"/>
        <v>238290</v>
      </c>
      <c r="O36" s="56"/>
      <c r="P36" s="1">
        <v>21</v>
      </c>
      <c r="Q36" s="6">
        <f t="shared" si="3"/>
        <v>6.5</v>
      </c>
      <c r="R36" s="4">
        <f t="shared" si="4"/>
        <v>130000</v>
      </c>
      <c r="T36" s="1">
        <v>21</v>
      </c>
      <c r="U36" s="6">
        <f t="shared" si="5"/>
        <v>1.3</v>
      </c>
      <c r="V36" s="4">
        <f t="shared" si="6"/>
        <v>315000</v>
      </c>
      <c r="X36" s="1">
        <v>21</v>
      </c>
      <c r="Y36" s="6">
        <f t="shared" si="7"/>
        <v>7</v>
      </c>
      <c r="Z36" s="4">
        <f t="shared" si="8"/>
        <v>105000</v>
      </c>
      <c r="AB36" s="1">
        <v>21</v>
      </c>
      <c r="AC36" s="6">
        <f t="shared" si="9"/>
        <v>0.72799999999999998</v>
      </c>
      <c r="AD36" s="4">
        <f t="shared" si="10"/>
        <v>10920</v>
      </c>
    </row>
    <row r="37" spans="2:30" x14ac:dyDescent="0.25">
      <c r="B37" s="1">
        <v>22</v>
      </c>
      <c r="C37" s="6">
        <f t="shared" si="0"/>
        <v>18.329999999999998</v>
      </c>
      <c r="D37" s="6">
        <f t="shared" si="11"/>
        <v>7.5</v>
      </c>
      <c r="E37" s="6">
        <f t="shared" si="12"/>
        <v>1.5</v>
      </c>
      <c r="F37" s="6">
        <f t="shared" si="13"/>
        <v>1.5</v>
      </c>
      <c r="G37" s="6">
        <f t="shared" si="14"/>
        <v>0.83999999999999986</v>
      </c>
      <c r="H37" s="6">
        <v>30</v>
      </c>
      <c r="L37" s="1">
        <v>22</v>
      </c>
      <c r="M37" s="6">
        <f t="shared" si="1"/>
        <v>18.329999999999998</v>
      </c>
      <c r="N37" s="4">
        <f t="shared" si="2"/>
        <v>274950</v>
      </c>
      <c r="O37" s="56"/>
      <c r="P37" s="1">
        <v>22</v>
      </c>
      <c r="Q37" s="6">
        <f t="shared" si="3"/>
        <v>7.5</v>
      </c>
      <c r="R37" s="4">
        <f t="shared" si="4"/>
        <v>150000</v>
      </c>
      <c r="T37" s="1">
        <v>22</v>
      </c>
      <c r="U37" s="6">
        <f t="shared" si="5"/>
        <v>1.5</v>
      </c>
      <c r="V37" s="4">
        <f t="shared" si="6"/>
        <v>330000</v>
      </c>
      <c r="X37" s="1">
        <v>22</v>
      </c>
      <c r="Y37" s="6">
        <f t="shared" si="7"/>
        <v>1.5</v>
      </c>
      <c r="Z37" s="4">
        <f t="shared" si="8"/>
        <v>22500</v>
      </c>
      <c r="AB37" s="1">
        <v>22</v>
      </c>
      <c r="AC37" s="6">
        <f t="shared" si="9"/>
        <v>0.83999999999999986</v>
      </c>
      <c r="AD37" s="4">
        <f t="shared" si="10"/>
        <v>12599.999999999998</v>
      </c>
    </row>
    <row r="38" spans="2:30" x14ac:dyDescent="0.25">
      <c r="B38" s="1">
        <v>23</v>
      </c>
      <c r="C38" s="6">
        <v>28</v>
      </c>
      <c r="D38" s="6">
        <f t="shared" si="11"/>
        <v>7.25</v>
      </c>
      <c r="E38" s="6">
        <f t="shared" si="12"/>
        <v>1.4500000000000002</v>
      </c>
      <c r="F38" s="6">
        <f t="shared" si="13"/>
        <v>1.4500000000000002</v>
      </c>
      <c r="G38" s="6">
        <f t="shared" si="14"/>
        <v>0.81199999999999994</v>
      </c>
      <c r="H38" s="6">
        <v>29</v>
      </c>
      <c r="L38" s="1">
        <v>23</v>
      </c>
      <c r="M38" s="6">
        <f t="shared" si="1"/>
        <v>28</v>
      </c>
      <c r="N38" s="4">
        <f t="shared" si="2"/>
        <v>420000</v>
      </c>
      <c r="O38" s="56"/>
      <c r="P38" s="1">
        <v>23</v>
      </c>
      <c r="Q38" s="6">
        <f t="shared" si="3"/>
        <v>7.25</v>
      </c>
      <c r="R38" s="4">
        <f t="shared" si="4"/>
        <v>145000</v>
      </c>
      <c r="T38" s="1">
        <v>23</v>
      </c>
      <c r="U38" s="6">
        <f t="shared" si="5"/>
        <v>1.4500000000000002</v>
      </c>
      <c r="V38" s="4">
        <f t="shared" si="6"/>
        <v>345000</v>
      </c>
      <c r="X38" s="1">
        <v>23</v>
      </c>
      <c r="Y38" s="6">
        <f t="shared" si="7"/>
        <v>1.4500000000000002</v>
      </c>
      <c r="Z38" s="4">
        <f t="shared" si="8"/>
        <v>21750.000000000004</v>
      </c>
      <c r="AB38" s="1">
        <v>23</v>
      </c>
      <c r="AC38" s="6">
        <f t="shared" si="9"/>
        <v>0.81199999999999994</v>
      </c>
      <c r="AD38" s="4">
        <f t="shared" si="10"/>
        <v>12180</v>
      </c>
    </row>
    <row r="39" spans="2:30" x14ac:dyDescent="0.25">
      <c r="B39" s="1">
        <v>24</v>
      </c>
      <c r="C39" s="6">
        <f t="shared" si="0"/>
        <v>15.275</v>
      </c>
      <c r="D39" s="6">
        <f t="shared" si="11"/>
        <v>6.25</v>
      </c>
      <c r="E39" s="6">
        <f t="shared" si="12"/>
        <v>1.25</v>
      </c>
      <c r="F39" s="6">
        <f t="shared" si="13"/>
        <v>1.25</v>
      </c>
      <c r="G39" s="6">
        <v>9</v>
      </c>
      <c r="H39" s="6">
        <v>25</v>
      </c>
      <c r="L39" s="1">
        <v>24</v>
      </c>
      <c r="M39" s="6">
        <f t="shared" si="1"/>
        <v>15.275</v>
      </c>
      <c r="N39" s="4">
        <f t="shared" si="2"/>
        <v>229125</v>
      </c>
      <c r="O39" s="56"/>
      <c r="P39" s="1">
        <v>24</v>
      </c>
      <c r="Q39" s="6">
        <f t="shared" si="3"/>
        <v>6.25</v>
      </c>
      <c r="R39" s="4">
        <f t="shared" si="4"/>
        <v>125000</v>
      </c>
      <c r="T39" s="1">
        <v>24</v>
      </c>
      <c r="U39" s="6">
        <f t="shared" si="5"/>
        <v>1.25</v>
      </c>
      <c r="V39" s="4">
        <f t="shared" si="6"/>
        <v>360000</v>
      </c>
      <c r="X39" s="1">
        <v>24</v>
      </c>
      <c r="Y39" s="6">
        <f t="shared" si="7"/>
        <v>1.25</v>
      </c>
      <c r="Z39" s="4">
        <f t="shared" si="8"/>
        <v>18750</v>
      </c>
      <c r="AB39" s="1">
        <v>24</v>
      </c>
      <c r="AC39" s="6">
        <f t="shared" si="9"/>
        <v>9</v>
      </c>
      <c r="AD39" s="4">
        <f t="shared" si="10"/>
        <v>135000</v>
      </c>
    </row>
    <row r="40" spans="2:30" x14ac:dyDescent="0.25">
      <c r="B40" s="1">
        <v>25</v>
      </c>
      <c r="C40" s="6">
        <f t="shared" si="0"/>
        <v>16.497</v>
      </c>
      <c r="D40" s="6">
        <f t="shared" si="11"/>
        <v>6.75</v>
      </c>
      <c r="E40" s="6">
        <f t="shared" si="12"/>
        <v>1.35</v>
      </c>
      <c r="F40" s="6">
        <f t="shared" si="13"/>
        <v>1.35</v>
      </c>
      <c r="G40" s="6">
        <v>5</v>
      </c>
      <c r="H40" s="6">
        <v>27</v>
      </c>
      <c r="L40" s="1">
        <v>25</v>
      </c>
      <c r="M40" s="6">
        <f t="shared" si="1"/>
        <v>16.497</v>
      </c>
      <c r="N40" s="4">
        <f t="shared" si="2"/>
        <v>247455</v>
      </c>
      <c r="O40" s="56"/>
      <c r="P40" s="1">
        <v>25</v>
      </c>
      <c r="Q40" s="6">
        <f t="shared" si="3"/>
        <v>6.75</v>
      </c>
      <c r="R40" s="4">
        <f t="shared" si="4"/>
        <v>135000</v>
      </c>
      <c r="T40" s="1">
        <v>25</v>
      </c>
      <c r="U40" s="6">
        <f t="shared" si="5"/>
        <v>1.35</v>
      </c>
      <c r="V40" s="4">
        <f t="shared" si="6"/>
        <v>375000</v>
      </c>
      <c r="X40" s="1">
        <v>25</v>
      </c>
      <c r="Y40" s="6">
        <f t="shared" si="7"/>
        <v>1.35</v>
      </c>
      <c r="Z40" s="4">
        <f t="shared" si="8"/>
        <v>20250</v>
      </c>
      <c r="AB40" s="1">
        <v>25</v>
      </c>
      <c r="AC40" s="6">
        <f t="shared" si="9"/>
        <v>5</v>
      </c>
      <c r="AD40" s="4">
        <f t="shared" si="10"/>
        <v>75000</v>
      </c>
    </row>
    <row r="41" spans="2:30" x14ac:dyDescent="0.25">
      <c r="B41" s="1">
        <v>26</v>
      </c>
      <c r="C41" s="6">
        <f t="shared" si="0"/>
        <v>15.275</v>
      </c>
      <c r="D41" s="6">
        <v>8</v>
      </c>
      <c r="E41" s="6">
        <f t="shared" si="12"/>
        <v>1.25</v>
      </c>
      <c r="F41" s="6">
        <f t="shared" si="13"/>
        <v>1.25</v>
      </c>
      <c r="G41" s="6">
        <v>7</v>
      </c>
      <c r="H41" s="6">
        <v>25</v>
      </c>
      <c r="L41" s="1">
        <v>26</v>
      </c>
      <c r="M41" s="6">
        <f t="shared" si="1"/>
        <v>15.275</v>
      </c>
      <c r="N41" s="4">
        <f t="shared" si="2"/>
        <v>229125</v>
      </c>
      <c r="O41" s="56"/>
      <c r="P41" s="1">
        <v>26</v>
      </c>
      <c r="Q41" s="6">
        <f t="shared" si="3"/>
        <v>8</v>
      </c>
      <c r="R41" s="4">
        <f t="shared" si="4"/>
        <v>160000</v>
      </c>
      <c r="T41" s="1">
        <v>26</v>
      </c>
      <c r="U41" s="6">
        <f t="shared" si="5"/>
        <v>1.25</v>
      </c>
      <c r="V41" s="4">
        <f t="shared" si="6"/>
        <v>390000</v>
      </c>
      <c r="X41" s="1">
        <v>26</v>
      </c>
      <c r="Y41" s="6">
        <f t="shared" si="7"/>
        <v>1.25</v>
      </c>
      <c r="Z41" s="4">
        <f t="shared" si="8"/>
        <v>18750</v>
      </c>
      <c r="AB41" s="1">
        <v>26</v>
      </c>
      <c r="AC41" s="6">
        <f t="shared" si="9"/>
        <v>7</v>
      </c>
      <c r="AD41" s="4">
        <f t="shared" si="10"/>
        <v>105000</v>
      </c>
    </row>
    <row r="42" spans="2:30" x14ac:dyDescent="0.25">
      <c r="B42" s="1">
        <v>27</v>
      </c>
      <c r="C42" s="6">
        <f t="shared" si="0"/>
        <v>15.275</v>
      </c>
      <c r="D42" s="6">
        <f t="shared" si="11"/>
        <v>6.25</v>
      </c>
      <c r="E42" s="6">
        <f t="shared" si="12"/>
        <v>1.25</v>
      </c>
      <c r="F42" s="6">
        <f t="shared" si="13"/>
        <v>1.25</v>
      </c>
      <c r="G42" s="6">
        <f t="shared" si="14"/>
        <v>0.7</v>
      </c>
      <c r="H42" s="6">
        <v>25</v>
      </c>
      <c r="L42" s="1">
        <v>27</v>
      </c>
      <c r="M42" s="6">
        <f t="shared" si="1"/>
        <v>15.275</v>
      </c>
      <c r="N42" s="4">
        <f t="shared" si="2"/>
        <v>229125</v>
      </c>
      <c r="O42" s="56"/>
      <c r="P42" s="1">
        <v>27</v>
      </c>
      <c r="Q42" s="6">
        <f t="shared" si="3"/>
        <v>6.25</v>
      </c>
      <c r="R42" s="4">
        <f t="shared" si="4"/>
        <v>125000</v>
      </c>
      <c r="T42" s="1">
        <v>27</v>
      </c>
      <c r="U42" s="6">
        <f t="shared" si="5"/>
        <v>1.25</v>
      </c>
      <c r="V42" s="4">
        <f t="shared" si="6"/>
        <v>405000</v>
      </c>
      <c r="X42" s="1">
        <v>27</v>
      </c>
      <c r="Y42" s="6">
        <f t="shared" si="7"/>
        <v>1.25</v>
      </c>
      <c r="Z42" s="4">
        <f t="shared" si="8"/>
        <v>18750</v>
      </c>
      <c r="AB42" s="1">
        <v>27</v>
      </c>
      <c r="AC42" s="6">
        <f t="shared" si="9"/>
        <v>0.7</v>
      </c>
      <c r="AD42" s="4">
        <f t="shared" si="10"/>
        <v>10500</v>
      </c>
    </row>
    <row r="43" spans="2:30" x14ac:dyDescent="0.25">
      <c r="B43" s="1">
        <v>28</v>
      </c>
      <c r="C43" s="6">
        <f t="shared" si="0"/>
        <v>15.885999999999999</v>
      </c>
      <c r="D43" s="6">
        <f t="shared" si="11"/>
        <v>6.5</v>
      </c>
      <c r="E43" s="6">
        <f t="shared" si="12"/>
        <v>1.3</v>
      </c>
      <c r="F43" s="6">
        <f t="shared" si="13"/>
        <v>1.3</v>
      </c>
      <c r="G43" s="6">
        <f t="shared" si="14"/>
        <v>0.72799999999999998</v>
      </c>
      <c r="H43" s="6">
        <v>26</v>
      </c>
      <c r="L43" s="1">
        <v>28</v>
      </c>
      <c r="M43" s="6">
        <f t="shared" si="1"/>
        <v>15.885999999999999</v>
      </c>
      <c r="N43" s="4">
        <f t="shared" si="2"/>
        <v>238290</v>
      </c>
      <c r="O43" s="56"/>
      <c r="P43" s="1">
        <v>28</v>
      </c>
      <c r="Q43" s="6">
        <f t="shared" si="3"/>
        <v>6.5</v>
      </c>
      <c r="R43" s="4">
        <f t="shared" si="4"/>
        <v>130000</v>
      </c>
      <c r="T43" s="1">
        <v>28</v>
      </c>
      <c r="U43" s="6">
        <f t="shared" si="5"/>
        <v>1.3</v>
      </c>
      <c r="V43" s="4">
        <f t="shared" si="6"/>
        <v>420000</v>
      </c>
      <c r="X43" s="1">
        <v>28</v>
      </c>
      <c r="Y43" s="6">
        <f t="shared" si="7"/>
        <v>1.3</v>
      </c>
      <c r="Z43" s="4">
        <f t="shared" si="8"/>
        <v>19500</v>
      </c>
      <c r="AB43" s="1">
        <v>28</v>
      </c>
      <c r="AC43" s="6">
        <f t="shared" si="9"/>
        <v>0.72799999999999998</v>
      </c>
      <c r="AD43" s="4">
        <f t="shared" si="10"/>
        <v>10920</v>
      </c>
    </row>
    <row r="44" spans="2:30" x14ac:dyDescent="0.25">
      <c r="B44" s="1">
        <v>29</v>
      </c>
      <c r="C44" s="6">
        <f t="shared" si="0"/>
        <v>14.664</v>
      </c>
      <c r="D44" s="6">
        <f t="shared" si="11"/>
        <v>6</v>
      </c>
      <c r="E44" s="6">
        <f t="shared" si="12"/>
        <v>1.2000000000000002</v>
      </c>
      <c r="F44" s="6">
        <f t="shared" si="13"/>
        <v>1.2000000000000002</v>
      </c>
      <c r="G44" s="6">
        <f t="shared" si="14"/>
        <v>0.67199999999999993</v>
      </c>
      <c r="H44" s="6">
        <v>24</v>
      </c>
      <c r="L44" s="1">
        <v>29</v>
      </c>
      <c r="M44" s="6">
        <f t="shared" si="1"/>
        <v>14.664</v>
      </c>
      <c r="N44" s="4">
        <f t="shared" si="2"/>
        <v>219960</v>
      </c>
      <c r="O44" s="56"/>
      <c r="P44" s="1">
        <v>29</v>
      </c>
      <c r="Q44" s="6">
        <f t="shared" si="3"/>
        <v>6</v>
      </c>
      <c r="R44" s="4">
        <f t="shared" si="4"/>
        <v>120000</v>
      </c>
      <c r="T44" s="1">
        <v>29</v>
      </c>
      <c r="U44" s="6">
        <f t="shared" si="5"/>
        <v>1.2000000000000002</v>
      </c>
      <c r="V44" s="4">
        <f t="shared" si="6"/>
        <v>435000</v>
      </c>
      <c r="X44" s="1">
        <v>29</v>
      </c>
      <c r="Y44" s="6">
        <f t="shared" si="7"/>
        <v>1.2000000000000002</v>
      </c>
      <c r="Z44" s="4">
        <f t="shared" si="8"/>
        <v>18000.000000000004</v>
      </c>
      <c r="AB44" s="1">
        <v>29</v>
      </c>
      <c r="AC44" s="6">
        <f t="shared" si="9"/>
        <v>0.67199999999999993</v>
      </c>
      <c r="AD44" s="4">
        <f t="shared" si="10"/>
        <v>10079.999999999998</v>
      </c>
    </row>
    <row r="45" spans="2:30" x14ac:dyDescent="0.25">
      <c r="B45" s="1">
        <v>30</v>
      </c>
      <c r="C45" s="6">
        <f t="shared" si="0"/>
        <v>17.108000000000001</v>
      </c>
      <c r="D45" s="6">
        <f t="shared" si="11"/>
        <v>7</v>
      </c>
      <c r="E45" s="6">
        <f t="shared" si="12"/>
        <v>1.4000000000000001</v>
      </c>
      <c r="F45" s="6">
        <f t="shared" si="13"/>
        <v>1.4000000000000001</v>
      </c>
      <c r="G45" s="6">
        <f t="shared" si="14"/>
        <v>0.78399999999999992</v>
      </c>
      <c r="H45" s="6">
        <v>28</v>
      </c>
      <c r="L45" s="1">
        <v>30</v>
      </c>
      <c r="M45" s="6">
        <f t="shared" si="1"/>
        <v>17.108000000000001</v>
      </c>
      <c r="N45" s="4">
        <f t="shared" si="2"/>
        <v>256620</v>
      </c>
      <c r="O45" s="56"/>
      <c r="P45" s="1">
        <v>30</v>
      </c>
      <c r="Q45" s="6">
        <f t="shared" si="3"/>
        <v>7</v>
      </c>
      <c r="R45" s="4">
        <f t="shared" si="4"/>
        <v>140000</v>
      </c>
      <c r="T45" s="1">
        <v>30</v>
      </c>
      <c r="U45" s="6">
        <f t="shared" si="5"/>
        <v>1.4000000000000001</v>
      </c>
      <c r="V45" s="4">
        <f t="shared" si="6"/>
        <v>450000</v>
      </c>
      <c r="X45" s="1">
        <v>30</v>
      </c>
      <c r="Y45" s="6">
        <f t="shared" si="7"/>
        <v>1.4000000000000001</v>
      </c>
      <c r="Z45" s="4">
        <f t="shared" si="8"/>
        <v>21000.000000000004</v>
      </c>
      <c r="AB45" s="1">
        <v>30</v>
      </c>
      <c r="AC45" s="6">
        <f t="shared" si="9"/>
        <v>0.78399999999999992</v>
      </c>
      <c r="AD45" s="4">
        <f t="shared" si="10"/>
        <v>11759.999999999998</v>
      </c>
    </row>
    <row r="46" spans="2:30" x14ac:dyDescent="0.25">
      <c r="B46" s="65" t="s">
        <v>10</v>
      </c>
      <c r="C46" s="66"/>
      <c r="D46" s="66"/>
      <c r="E46" s="66"/>
      <c r="F46" s="66"/>
      <c r="G46" s="67"/>
      <c r="H46" s="6">
        <f>SUM(H16:H45)</f>
        <v>778</v>
      </c>
      <c r="I46" s="5">
        <f>SUM(H16:H45)</f>
        <v>778</v>
      </c>
      <c r="L46" s="14" t="s">
        <v>25</v>
      </c>
      <c r="M46" s="45">
        <f>SUM(M16:M45)</f>
        <v>485.6389999999999</v>
      </c>
      <c r="N46" s="15">
        <f>SUM(N16:N45)</f>
        <v>7284585</v>
      </c>
      <c r="P46" s="14" t="s">
        <v>25</v>
      </c>
      <c r="Q46" s="14"/>
      <c r="R46" s="15">
        <f>SUM(R16:R45)</f>
        <v>3995000</v>
      </c>
      <c r="T46" s="14" t="s">
        <v>25</v>
      </c>
      <c r="U46" s="14"/>
      <c r="V46" s="15">
        <f>SUM(V16:V45)</f>
        <v>6975000</v>
      </c>
      <c r="X46" s="14" t="s">
        <v>25</v>
      </c>
      <c r="Y46" s="14"/>
      <c r="Z46" s="15">
        <f>SUM(Z16:Z45)</f>
        <v>897000</v>
      </c>
      <c r="AB46" s="14" t="s">
        <v>25</v>
      </c>
      <c r="AC46" s="14"/>
      <c r="AD46" s="15">
        <f>SUM(AD16:AD45)</f>
        <v>1462560</v>
      </c>
    </row>
    <row r="48" spans="2:30" x14ac:dyDescent="0.25">
      <c r="B48" s="68" t="s">
        <v>94</v>
      </c>
      <c r="C48" s="69"/>
      <c r="D48" s="69"/>
      <c r="E48" s="69"/>
      <c r="F48" s="70"/>
      <c r="G48" s="62">
        <f>MODE(H16:H45)</f>
        <v>25</v>
      </c>
      <c r="H48" s="63"/>
      <c r="I48" s="29">
        <f>MODE(H16:H45)</f>
        <v>25</v>
      </c>
      <c r="J48" s="29"/>
    </row>
    <row r="49" spans="2:16" x14ac:dyDescent="0.25">
      <c r="B49" s="68" t="s">
        <v>92</v>
      </c>
      <c r="C49" s="69"/>
      <c r="D49" s="69"/>
      <c r="E49" s="69"/>
      <c r="F49" s="70"/>
      <c r="G49" s="60">
        <f>AVERAGE(H16:H45)</f>
        <v>25.933333333333334</v>
      </c>
      <c r="H49" s="61"/>
      <c r="I49" s="30">
        <f>AVERAGE(H16:H45)</f>
        <v>25.933333333333334</v>
      </c>
      <c r="J49" s="30"/>
    </row>
    <row r="50" spans="2:16" x14ac:dyDescent="0.25">
      <c r="B50" s="68" t="s">
        <v>93</v>
      </c>
      <c r="C50" s="69"/>
      <c r="D50" s="69"/>
      <c r="E50" s="69"/>
      <c r="F50" s="70"/>
      <c r="H50" s="21">
        <f>N46+R46+V46+Z46+AD46</f>
        <v>20614145</v>
      </c>
      <c r="I50" s="44"/>
      <c r="J50" s="44"/>
      <c r="K50" s="16"/>
    </row>
    <row r="51" spans="2:16" x14ac:dyDescent="0.25">
      <c r="E51" s="16"/>
      <c r="G51" s="29"/>
      <c r="H51" s="30"/>
      <c r="I51" s="30"/>
      <c r="J51" s="30"/>
    </row>
    <row r="53" spans="2:16" x14ac:dyDescent="0.25">
      <c r="B53" s="22" t="s">
        <v>2</v>
      </c>
      <c r="C53" s="22" t="s">
        <v>23</v>
      </c>
    </row>
    <row r="54" spans="2:16" x14ac:dyDescent="0.25">
      <c r="B54" s="1">
        <v>1</v>
      </c>
      <c r="C54" s="21">
        <f t="shared" ref="C54:C83" si="15">N16+R16+V16+Z16+AD16</f>
        <v>729960</v>
      </c>
      <c r="D54" s="16"/>
    </row>
    <row r="55" spans="2:16" x14ac:dyDescent="0.25">
      <c r="B55" s="1">
        <v>2</v>
      </c>
      <c r="C55" s="21">
        <f t="shared" si="15"/>
        <v>708290</v>
      </c>
      <c r="D55" s="16"/>
      <c r="N55" s="74" t="s">
        <v>40</v>
      </c>
      <c r="O55" s="74"/>
    </row>
    <row r="56" spans="2:16" x14ac:dyDescent="0.25">
      <c r="B56" s="1">
        <v>3</v>
      </c>
      <c r="C56" s="21">
        <f t="shared" si="15"/>
        <v>428375</v>
      </c>
      <c r="D56" s="16"/>
      <c r="E56" s="71" t="s">
        <v>26</v>
      </c>
      <c r="F56" s="71"/>
      <c r="G56" s="1">
        <f>COUNT(VENTA)</f>
        <v>30</v>
      </c>
      <c r="H56"/>
      <c r="I56"/>
      <c r="J56"/>
      <c r="M56" t="s">
        <v>116</v>
      </c>
      <c r="N56" s="74" t="s">
        <v>41</v>
      </c>
      <c r="O56" s="74"/>
    </row>
    <row r="57" spans="2:16" x14ac:dyDescent="0.25">
      <c r="B57" s="1">
        <v>4</v>
      </c>
      <c r="C57" s="21">
        <f t="shared" si="15"/>
        <v>428040</v>
      </c>
      <c r="D57" s="16"/>
      <c r="E57" s="71" t="s">
        <v>27</v>
      </c>
      <c r="F57" s="71"/>
      <c r="G57" s="24">
        <f>MAX(VENTA)</f>
        <v>943930</v>
      </c>
      <c r="H57"/>
      <c r="I57" s="23">
        <f>MAX(VENTA)</f>
        <v>943930</v>
      </c>
      <c r="J57"/>
      <c r="M57">
        <v>1</v>
      </c>
      <c r="N57" s="25">
        <f>G58</f>
        <v>428040</v>
      </c>
      <c r="O57" s="25">
        <f>G58+G61</f>
        <v>515478.98305084743</v>
      </c>
      <c r="P57" t="s">
        <v>42</v>
      </c>
    </row>
    <row r="58" spans="2:16" x14ac:dyDescent="0.25">
      <c r="B58" s="1">
        <v>5</v>
      </c>
      <c r="C58" s="21">
        <f t="shared" si="15"/>
        <v>443040</v>
      </c>
      <c r="D58" s="16"/>
      <c r="E58" s="1" t="s">
        <v>28</v>
      </c>
      <c r="F58" s="1"/>
      <c r="G58" s="24">
        <f>MIN(VENTA)</f>
        <v>428040</v>
      </c>
      <c r="H58"/>
      <c r="I58" s="50">
        <f>MIN(VENTA)</f>
        <v>428040</v>
      </c>
      <c r="J58"/>
      <c r="M58">
        <v>2</v>
      </c>
      <c r="N58" s="25">
        <f>O57</f>
        <v>515478.98305084743</v>
      </c>
      <c r="O58" s="25">
        <f>N58+$G$61</f>
        <v>602917.96610169485</v>
      </c>
    </row>
    <row r="59" spans="2:16" x14ac:dyDescent="0.25">
      <c r="B59" s="1">
        <v>6</v>
      </c>
      <c r="C59" s="21">
        <f t="shared" si="15"/>
        <v>473375</v>
      </c>
      <c r="D59" s="16"/>
      <c r="E59" s="71" t="s">
        <v>29</v>
      </c>
      <c r="F59" s="71"/>
      <c r="G59" s="24">
        <f>G57-G58</f>
        <v>515890</v>
      </c>
      <c r="H59" t="s">
        <v>37</v>
      </c>
      <c r="I59"/>
      <c r="J59"/>
      <c r="M59">
        <v>3</v>
      </c>
      <c r="N59" s="25">
        <f t="shared" ref="N59:N62" si="16">O58</f>
        <v>602917.96610169485</v>
      </c>
      <c r="O59" s="25">
        <f t="shared" ref="O59:O62" si="17">N59+$G$61</f>
        <v>690356.94915254228</v>
      </c>
    </row>
    <row r="60" spans="2:16" ht="18" x14ac:dyDescent="0.35">
      <c r="B60" s="1">
        <v>7</v>
      </c>
      <c r="C60" s="21">
        <f t="shared" si="15"/>
        <v>503710</v>
      </c>
      <c r="D60" s="16"/>
      <c r="E60" s="71" t="s">
        <v>30</v>
      </c>
      <c r="F60" s="71"/>
      <c r="G60" s="6">
        <f>ROUND((1+3.322*LOG10(G56)),1)</f>
        <v>5.9</v>
      </c>
      <c r="H60" t="s">
        <v>38</v>
      </c>
      <c r="I60"/>
      <c r="J60" s="5">
        <f>ROUND(1+3.322*LOG10(G56),1)</f>
        <v>5.9</v>
      </c>
      <c r="K60" s="5">
        <f>ROUND(1+3.322*LOG10(G56),1)</f>
        <v>5.9</v>
      </c>
      <c r="M60">
        <v>4</v>
      </c>
      <c r="N60" s="25">
        <f t="shared" si="16"/>
        <v>690356.94915254228</v>
      </c>
      <c r="O60" s="25">
        <f t="shared" si="17"/>
        <v>777795.9322033897</v>
      </c>
    </row>
    <row r="61" spans="2:16" x14ac:dyDescent="0.25">
      <c r="B61" s="1">
        <v>8</v>
      </c>
      <c r="C61" s="21">
        <f t="shared" si="15"/>
        <v>567875</v>
      </c>
      <c r="D61" s="16"/>
      <c r="E61" s="71" t="s">
        <v>31</v>
      </c>
      <c r="F61" s="71"/>
      <c r="G61" s="24">
        <f>G59/G60</f>
        <v>87438.983050847455</v>
      </c>
      <c r="H61" t="s">
        <v>39</v>
      </c>
      <c r="I61"/>
      <c r="J61" s="57"/>
      <c r="K61" s="57">
        <f>G59/G60</f>
        <v>87438.983050847455</v>
      </c>
      <c r="M61">
        <v>5</v>
      </c>
      <c r="N61" s="25">
        <f t="shared" si="16"/>
        <v>777795.9322033897</v>
      </c>
      <c r="O61" s="25">
        <f t="shared" si="17"/>
        <v>865234.91525423713</v>
      </c>
    </row>
    <row r="62" spans="2:16" x14ac:dyDescent="0.25">
      <c r="B62" s="1">
        <v>9</v>
      </c>
      <c r="C62" s="21">
        <f t="shared" si="15"/>
        <v>518375</v>
      </c>
      <c r="D62" s="16"/>
      <c r="E62" s="71" t="s">
        <v>32</v>
      </c>
      <c r="F62" s="71"/>
      <c r="G62" s="24">
        <f>AVERAGE(VENTA)</f>
        <v>687138.16666666663</v>
      </c>
      <c r="H62"/>
      <c r="I62"/>
      <c r="J62"/>
      <c r="K62" s="50">
        <f>AVERAGE(VENTA)</f>
        <v>687138.16666666663</v>
      </c>
      <c r="M62">
        <v>6</v>
      </c>
      <c r="N62" s="25">
        <f t="shared" si="16"/>
        <v>865234.91525423713</v>
      </c>
      <c r="O62" s="25">
        <f t="shared" si="17"/>
        <v>952673.89830508456</v>
      </c>
    </row>
    <row r="63" spans="2:16" x14ac:dyDescent="0.25">
      <c r="B63" s="1">
        <v>10</v>
      </c>
      <c r="C63" s="21">
        <f t="shared" si="15"/>
        <v>533375</v>
      </c>
      <c r="D63" s="16"/>
      <c r="E63" s="71" t="s">
        <v>33</v>
      </c>
      <c r="F63" s="71"/>
      <c r="G63" s="24">
        <f>MEDIAN(VENTA)</f>
        <v>705540</v>
      </c>
      <c r="H63"/>
      <c r="I63"/>
      <c r="J63"/>
    </row>
    <row r="64" spans="2:16" x14ac:dyDescent="0.25">
      <c r="B64" s="1">
        <v>11</v>
      </c>
      <c r="C64" s="21">
        <f t="shared" si="15"/>
        <v>687790</v>
      </c>
      <c r="D64" s="16"/>
      <c r="E64" s="64"/>
      <c r="F64" s="64"/>
      <c r="G64" s="28"/>
      <c r="H64"/>
      <c r="I64"/>
      <c r="J64"/>
    </row>
    <row r="65" spans="2:18" x14ac:dyDescent="0.25">
      <c r="B65" s="1">
        <v>12</v>
      </c>
      <c r="C65" s="21">
        <f t="shared" si="15"/>
        <v>578710</v>
      </c>
      <c r="D65" s="16"/>
    </row>
    <row r="66" spans="2:18" x14ac:dyDescent="0.25">
      <c r="B66" s="1">
        <v>13</v>
      </c>
      <c r="C66" s="21">
        <f t="shared" si="15"/>
        <v>758290</v>
      </c>
      <c r="D66" s="16"/>
      <c r="E66" t="s">
        <v>35</v>
      </c>
    </row>
    <row r="67" spans="2:18" x14ac:dyDescent="0.25">
      <c r="B67" s="1">
        <v>14</v>
      </c>
      <c r="C67" s="21">
        <f t="shared" si="15"/>
        <v>702790</v>
      </c>
      <c r="D67" s="16"/>
      <c r="E67" t="s">
        <v>36</v>
      </c>
    </row>
    <row r="68" spans="2:18" x14ac:dyDescent="0.25">
      <c r="B68" s="1">
        <v>15</v>
      </c>
      <c r="C68" s="21">
        <f t="shared" si="15"/>
        <v>593040</v>
      </c>
      <c r="D68" s="16"/>
    </row>
    <row r="69" spans="2:18" x14ac:dyDescent="0.25">
      <c r="B69" s="1">
        <v>16</v>
      </c>
      <c r="C69" s="21">
        <f t="shared" si="15"/>
        <v>654045</v>
      </c>
      <c r="D69" s="16"/>
      <c r="E69" t="s">
        <v>50</v>
      </c>
    </row>
    <row r="70" spans="2:18" x14ac:dyDescent="0.25">
      <c r="B70" s="1">
        <v>17</v>
      </c>
      <c r="C70" s="21">
        <f t="shared" si="15"/>
        <v>715050</v>
      </c>
      <c r="D70" s="16"/>
      <c r="E70" s="72" t="s">
        <v>44</v>
      </c>
      <c r="F70" s="72"/>
      <c r="G70" s="72"/>
      <c r="K70" s="73" t="s">
        <v>43</v>
      </c>
      <c r="L70" s="73"/>
      <c r="M70" s="73"/>
      <c r="O70" s="72" t="s">
        <v>55</v>
      </c>
      <c r="P70" s="72"/>
      <c r="Q70" s="72"/>
    </row>
    <row r="71" spans="2:18" x14ac:dyDescent="0.25">
      <c r="B71" s="1">
        <v>18</v>
      </c>
      <c r="C71" s="21">
        <f t="shared" si="15"/>
        <v>807450</v>
      </c>
      <c r="D71" s="16"/>
    </row>
    <row r="72" spans="2:18" x14ac:dyDescent="0.25">
      <c r="B72" s="1">
        <v>19</v>
      </c>
      <c r="C72" s="21">
        <f t="shared" si="15"/>
        <v>653040</v>
      </c>
      <c r="D72" s="16"/>
      <c r="E72" s="1" t="s">
        <v>45</v>
      </c>
      <c r="F72" s="2">
        <v>0.25</v>
      </c>
      <c r="G72" s="24">
        <f>QUARTILE(VENTA,1)</f>
        <v>570583.75</v>
      </c>
      <c r="H72" s="5">
        <f>QUARTILE(VENTA,1)</f>
        <v>570583.75</v>
      </c>
      <c r="I72" s="23"/>
      <c r="K72" s="1" t="s">
        <v>61</v>
      </c>
      <c r="L72" s="2">
        <v>0.1</v>
      </c>
      <c r="M72" s="26">
        <f>PERCENTILE(VENTA,0.1)</f>
        <v>470341.5</v>
      </c>
      <c r="N72">
        <f>PERCENTILE(VENTA,0.1)</f>
        <v>470341.5</v>
      </c>
      <c r="O72" s="1" t="s">
        <v>56</v>
      </c>
      <c r="P72" s="2">
        <v>0.05</v>
      </c>
      <c r="Q72" s="26">
        <f>PERCENTILE(VENTA,0.5)</f>
        <v>705540</v>
      </c>
    </row>
    <row r="73" spans="2:18" x14ac:dyDescent="0.25">
      <c r="B73" s="1">
        <v>20</v>
      </c>
      <c r="C73" s="21">
        <f t="shared" si="15"/>
        <v>683375</v>
      </c>
      <c r="D73" s="16"/>
      <c r="E73" s="1" t="s">
        <v>46</v>
      </c>
      <c r="F73" s="2">
        <v>0.5</v>
      </c>
      <c r="G73" s="24">
        <f>QUARTILE(VENTA,2)</f>
        <v>705540</v>
      </c>
      <c r="K73" s="1" t="s">
        <v>62</v>
      </c>
      <c r="L73" s="2">
        <v>0.3</v>
      </c>
      <c r="M73" s="26">
        <f>PERCENTILE(VENTA,0.3)</f>
        <v>588741</v>
      </c>
      <c r="O73" s="1" t="s">
        <v>57</v>
      </c>
      <c r="P73" s="2">
        <v>7.0000000000000007E-2</v>
      </c>
      <c r="Q73" s="26">
        <f>PERCENTILE(VENTA,0.7)</f>
        <v>792798</v>
      </c>
    </row>
    <row r="74" spans="2:18" x14ac:dyDescent="0.25">
      <c r="B74" s="1">
        <v>21</v>
      </c>
      <c r="C74" s="21">
        <f t="shared" si="15"/>
        <v>799210</v>
      </c>
      <c r="D74" s="16"/>
      <c r="E74" s="1" t="s">
        <v>47</v>
      </c>
      <c r="F74" s="2">
        <v>0.75</v>
      </c>
      <c r="G74" s="24">
        <f>QUARTILE(VENTA,3)</f>
        <v>802082.5</v>
      </c>
      <c r="K74" s="1" t="s">
        <v>63</v>
      </c>
      <c r="L74" s="2">
        <v>0.5</v>
      </c>
      <c r="M74" s="26">
        <f>PERCENTILE(VENTA,0.5)</f>
        <v>705540</v>
      </c>
      <c r="O74" s="1" t="s">
        <v>58</v>
      </c>
      <c r="P74" s="2">
        <v>0.45</v>
      </c>
      <c r="Q74" s="26">
        <f>PERCENTILE(VENTA,0.45)</f>
        <v>688540</v>
      </c>
    </row>
    <row r="75" spans="2:18" x14ac:dyDescent="0.25">
      <c r="B75" s="1">
        <v>22</v>
      </c>
      <c r="C75" s="21">
        <f t="shared" si="15"/>
        <v>790050</v>
      </c>
      <c r="D75" s="16"/>
      <c r="E75" s="1" t="s">
        <v>48</v>
      </c>
      <c r="F75" s="2">
        <v>1</v>
      </c>
      <c r="G75" s="24">
        <f>QUARTILE(VENTA,4)</f>
        <v>943930</v>
      </c>
      <c r="K75" s="1" t="s">
        <v>64</v>
      </c>
      <c r="L75" s="2">
        <v>0.7</v>
      </c>
      <c r="M75" s="26">
        <f>PERCENTILE(VENTA,0.7)</f>
        <v>792798</v>
      </c>
      <c r="O75" s="1" t="s">
        <v>59</v>
      </c>
      <c r="P75" s="2">
        <v>0.6</v>
      </c>
      <c r="Q75" s="26">
        <f>PERCENTILE(VENTA,0.6)</f>
        <v>741292</v>
      </c>
    </row>
    <row r="76" spans="2:18" x14ac:dyDescent="0.25">
      <c r="B76" s="1">
        <v>23</v>
      </c>
      <c r="C76" s="21">
        <f t="shared" si="15"/>
        <v>943930</v>
      </c>
      <c r="D76" s="16"/>
      <c r="K76" s="1"/>
      <c r="L76" s="1"/>
      <c r="M76" s="1"/>
    </row>
    <row r="77" spans="2:18" x14ac:dyDescent="0.25">
      <c r="B77" s="1">
        <v>24</v>
      </c>
      <c r="C77" s="21">
        <f t="shared" si="15"/>
        <v>867875</v>
      </c>
      <c r="D77" s="16"/>
      <c r="E77" t="s">
        <v>95</v>
      </c>
      <c r="O77" t="s">
        <v>120</v>
      </c>
      <c r="R77" s="58">
        <f>Q72</f>
        <v>705540</v>
      </c>
    </row>
    <row r="78" spans="2:18" x14ac:dyDescent="0.25">
      <c r="B78" s="1">
        <v>25</v>
      </c>
      <c r="C78" s="21">
        <f t="shared" si="15"/>
        <v>852705</v>
      </c>
      <c r="D78" s="16"/>
      <c r="O78" t="s">
        <v>124</v>
      </c>
      <c r="R78" s="58">
        <f t="shared" ref="R78:R80" si="18">Q73</f>
        <v>792798</v>
      </c>
    </row>
    <row r="79" spans="2:18" x14ac:dyDescent="0.25">
      <c r="B79" s="1">
        <v>26</v>
      </c>
      <c r="C79" s="21">
        <f t="shared" si="15"/>
        <v>902875</v>
      </c>
      <c r="D79" s="16"/>
      <c r="E79" t="s">
        <v>117</v>
      </c>
      <c r="K79" t="s">
        <v>120</v>
      </c>
      <c r="N79" s="58">
        <f>M72</f>
        <v>470341.5</v>
      </c>
      <c r="O79" t="s">
        <v>125</v>
      </c>
      <c r="R79" s="58">
        <f t="shared" si="18"/>
        <v>688540</v>
      </c>
    </row>
    <row r="80" spans="2:18" x14ac:dyDescent="0.25">
      <c r="B80" s="1">
        <v>27</v>
      </c>
      <c r="C80" s="21">
        <f t="shared" si="15"/>
        <v>788375</v>
      </c>
      <c r="D80" s="16"/>
      <c r="E80" t="s">
        <v>118</v>
      </c>
      <c r="K80" t="s">
        <v>121</v>
      </c>
      <c r="N80" s="58">
        <f>M73</f>
        <v>588741</v>
      </c>
      <c r="O80" t="s">
        <v>126</v>
      </c>
      <c r="R80" s="58">
        <f t="shared" si="18"/>
        <v>741292</v>
      </c>
    </row>
    <row r="81" spans="2:18" x14ac:dyDescent="0.25">
      <c r="B81" s="1">
        <v>28</v>
      </c>
      <c r="C81" s="21">
        <f t="shared" si="15"/>
        <v>818710</v>
      </c>
      <c r="D81" s="16"/>
      <c r="E81" t="s">
        <v>119</v>
      </c>
      <c r="K81" t="s">
        <v>122</v>
      </c>
      <c r="N81" s="58">
        <f>M74</f>
        <v>705540</v>
      </c>
    </row>
    <row r="82" spans="2:18" x14ac:dyDescent="0.25">
      <c r="B82" s="1">
        <v>29</v>
      </c>
      <c r="C82" s="21">
        <f t="shared" si="15"/>
        <v>803040</v>
      </c>
      <c r="D82" s="16"/>
      <c r="K82" t="s">
        <v>123</v>
      </c>
      <c r="N82" s="58">
        <f>M75</f>
        <v>792798</v>
      </c>
    </row>
    <row r="83" spans="2:18" x14ac:dyDescent="0.25">
      <c r="B83" s="1">
        <v>30</v>
      </c>
      <c r="C83" s="21">
        <f t="shared" si="15"/>
        <v>879380</v>
      </c>
      <c r="D83" s="16"/>
    </row>
    <row r="84" spans="2:18" x14ac:dyDescent="0.25">
      <c r="B84" s="1" t="s">
        <v>24</v>
      </c>
      <c r="C84" s="21">
        <f>SUM(C54:C83)</f>
        <v>20614145</v>
      </c>
    </row>
    <row r="85" spans="2:18" x14ac:dyDescent="0.25">
      <c r="E85" t="s">
        <v>2</v>
      </c>
      <c r="F85" t="s">
        <v>23</v>
      </c>
      <c r="Q85" t="s">
        <v>2</v>
      </c>
      <c r="R85" t="s">
        <v>23</v>
      </c>
    </row>
    <row r="86" spans="2:18" x14ac:dyDescent="0.25">
      <c r="E86">
        <v>1</v>
      </c>
      <c r="F86" s="23">
        <v>729960</v>
      </c>
      <c r="G86" t="s">
        <v>51</v>
      </c>
      <c r="Q86">
        <v>4</v>
      </c>
      <c r="R86">
        <v>428040</v>
      </c>
    </row>
    <row r="87" spans="2:18" x14ac:dyDescent="0.25">
      <c r="E87">
        <v>2</v>
      </c>
      <c r="F87" s="23">
        <v>708290</v>
      </c>
      <c r="Q87">
        <v>3</v>
      </c>
      <c r="R87">
        <v>428375</v>
      </c>
    </row>
    <row r="88" spans="2:18" x14ac:dyDescent="0.25">
      <c r="E88">
        <v>3</v>
      </c>
      <c r="F88" s="23">
        <v>428375</v>
      </c>
      <c r="Q88">
        <v>5</v>
      </c>
      <c r="R88">
        <v>443040</v>
      </c>
    </row>
    <row r="89" spans="2:18" x14ac:dyDescent="0.25">
      <c r="E89">
        <v>4</v>
      </c>
      <c r="F89" s="23">
        <v>428040</v>
      </c>
      <c r="Q89">
        <v>6</v>
      </c>
      <c r="R89">
        <v>473375</v>
      </c>
    </row>
    <row r="90" spans="2:18" x14ac:dyDescent="0.25">
      <c r="E90">
        <v>5</v>
      </c>
      <c r="F90" s="23">
        <v>443040</v>
      </c>
      <c r="Q90">
        <v>7</v>
      </c>
      <c r="R90">
        <v>503710</v>
      </c>
    </row>
    <row r="91" spans="2:18" x14ac:dyDescent="0.25">
      <c r="E91">
        <v>6</v>
      </c>
      <c r="F91" s="23">
        <v>473375</v>
      </c>
      <c r="Q91">
        <v>9</v>
      </c>
      <c r="R91">
        <v>518375</v>
      </c>
    </row>
    <row r="92" spans="2:18" x14ac:dyDescent="0.25">
      <c r="E92">
        <v>7</v>
      </c>
      <c r="F92" s="23">
        <v>503710</v>
      </c>
      <c r="Q92">
        <v>10</v>
      </c>
      <c r="R92">
        <v>533375</v>
      </c>
    </row>
    <row r="93" spans="2:18" x14ac:dyDescent="0.25">
      <c r="E93">
        <v>8</v>
      </c>
      <c r="F93" s="23">
        <v>567875</v>
      </c>
      <c r="Q93">
        <v>8</v>
      </c>
      <c r="R93">
        <v>567875</v>
      </c>
    </row>
    <row r="94" spans="2:18" x14ac:dyDescent="0.25">
      <c r="E94">
        <v>9</v>
      </c>
      <c r="F94" s="23">
        <v>518375</v>
      </c>
      <c r="Q94">
        <v>12</v>
      </c>
      <c r="R94">
        <v>578710</v>
      </c>
    </row>
    <row r="95" spans="2:18" x14ac:dyDescent="0.25">
      <c r="E95">
        <v>10</v>
      </c>
      <c r="F95" s="23">
        <v>533375</v>
      </c>
      <c r="Q95">
        <v>15</v>
      </c>
      <c r="R95">
        <v>593040</v>
      </c>
    </row>
    <row r="96" spans="2:18" x14ac:dyDescent="0.25">
      <c r="E96">
        <v>11</v>
      </c>
      <c r="F96" s="23">
        <v>687790</v>
      </c>
      <c r="Q96">
        <v>19</v>
      </c>
      <c r="R96">
        <v>653040</v>
      </c>
    </row>
    <row r="97" spans="5:18" x14ac:dyDescent="0.25">
      <c r="E97">
        <v>12</v>
      </c>
      <c r="F97" s="23">
        <v>578710</v>
      </c>
      <c r="Q97">
        <v>16</v>
      </c>
      <c r="R97">
        <v>654045</v>
      </c>
    </row>
    <row r="98" spans="5:18" x14ac:dyDescent="0.25">
      <c r="E98">
        <v>13</v>
      </c>
      <c r="F98" s="23">
        <v>758290</v>
      </c>
      <c r="Q98">
        <v>20</v>
      </c>
      <c r="R98">
        <v>683375</v>
      </c>
    </row>
    <row r="99" spans="5:18" x14ac:dyDescent="0.25">
      <c r="E99">
        <v>14</v>
      </c>
      <c r="F99" s="23">
        <v>702790</v>
      </c>
      <c r="Q99">
        <v>11</v>
      </c>
      <c r="R99">
        <v>687790</v>
      </c>
    </row>
    <row r="100" spans="5:18" x14ac:dyDescent="0.25">
      <c r="E100">
        <v>15</v>
      </c>
      <c r="F100" s="23">
        <v>593040</v>
      </c>
      <c r="Q100">
        <v>14</v>
      </c>
      <c r="R100">
        <v>702790</v>
      </c>
    </row>
    <row r="101" spans="5:18" x14ac:dyDescent="0.25">
      <c r="E101">
        <v>16</v>
      </c>
      <c r="F101" s="23">
        <v>654045</v>
      </c>
      <c r="Q101">
        <v>2</v>
      </c>
      <c r="R101">
        <v>708290</v>
      </c>
    </row>
    <row r="102" spans="5:18" x14ac:dyDescent="0.25">
      <c r="E102">
        <v>17</v>
      </c>
      <c r="F102" s="23">
        <v>715050</v>
      </c>
      <c r="Q102">
        <v>17</v>
      </c>
      <c r="R102">
        <v>715050</v>
      </c>
    </row>
    <row r="103" spans="5:18" x14ac:dyDescent="0.25">
      <c r="E103">
        <v>18</v>
      </c>
      <c r="F103" s="23">
        <v>807450</v>
      </c>
      <c r="Q103">
        <v>1</v>
      </c>
      <c r="R103">
        <v>729960</v>
      </c>
    </row>
    <row r="104" spans="5:18" x14ac:dyDescent="0.25">
      <c r="E104">
        <v>19</v>
      </c>
      <c r="F104" s="23">
        <v>653040</v>
      </c>
      <c r="Q104">
        <v>13</v>
      </c>
      <c r="R104">
        <v>758290</v>
      </c>
    </row>
    <row r="105" spans="5:18" x14ac:dyDescent="0.25">
      <c r="E105">
        <v>20</v>
      </c>
      <c r="F105" s="23">
        <v>683375</v>
      </c>
      <c r="Q105">
        <v>27</v>
      </c>
      <c r="R105">
        <v>788375</v>
      </c>
    </row>
    <row r="106" spans="5:18" x14ac:dyDescent="0.25">
      <c r="E106">
        <v>21</v>
      </c>
      <c r="F106" s="23">
        <v>799210</v>
      </c>
      <c r="Q106">
        <v>22</v>
      </c>
      <c r="R106">
        <v>790050</v>
      </c>
    </row>
    <row r="107" spans="5:18" x14ac:dyDescent="0.25">
      <c r="E107">
        <v>22</v>
      </c>
      <c r="F107" s="23">
        <v>790050</v>
      </c>
      <c r="Q107">
        <v>21</v>
      </c>
      <c r="R107">
        <v>799210</v>
      </c>
    </row>
    <row r="108" spans="5:18" x14ac:dyDescent="0.25">
      <c r="E108">
        <v>23</v>
      </c>
      <c r="F108" s="23">
        <v>943930</v>
      </c>
      <c r="Q108">
        <v>29</v>
      </c>
      <c r="R108">
        <v>803040</v>
      </c>
    </row>
    <row r="109" spans="5:18" x14ac:dyDescent="0.25">
      <c r="E109">
        <v>24</v>
      </c>
      <c r="F109" s="23">
        <v>867875</v>
      </c>
      <c r="Q109">
        <v>18</v>
      </c>
      <c r="R109">
        <v>807450</v>
      </c>
    </row>
    <row r="110" spans="5:18" x14ac:dyDescent="0.25">
      <c r="E110">
        <v>25</v>
      </c>
      <c r="F110" s="23">
        <v>852705</v>
      </c>
      <c r="Q110">
        <v>28</v>
      </c>
      <c r="R110">
        <v>818710</v>
      </c>
    </row>
    <row r="111" spans="5:18" x14ac:dyDescent="0.25">
      <c r="E111">
        <v>26</v>
      </c>
      <c r="F111" s="23">
        <v>902875</v>
      </c>
      <c r="Q111">
        <v>25</v>
      </c>
      <c r="R111">
        <v>852705</v>
      </c>
    </row>
    <row r="112" spans="5:18" x14ac:dyDescent="0.25">
      <c r="E112">
        <v>27</v>
      </c>
      <c r="F112" s="23">
        <v>788375</v>
      </c>
      <c r="Q112">
        <v>24</v>
      </c>
      <c r="R112">
        <v>867875</v>
      </c>
    </row>
    <row r="113" spans="5:18" x14ac:dyDescent="0.25">
      <c r="E113">
        <v>28</v>
      </c>
      <c r="F113" s="23">
        <v>818710</v>
      </c>
      <c r="Q113">
        <v>30</v>
      </c>
      <c r="R113">
        <v>879380</v>
      </c>
    </row>
    <row r="114" spans="5:18" x14ac:dyDescent="0.25">
      <c r="E114">
        <v>29</v>
      </c>
      <c r="F114" s="23">
        <v>803040</v>
      </c>
      <c r="Q114">
        <v>26</v>
      </c>
      <c r="R114">
        <v>902875</v>
      </c>
    </row>
    <row r="115" spans="5:18" x14ac:dyDescent="0.25">
      <c r="E115">
        <v>30</v>
      </c>
      <c r="F115" s="23">
        <v>879380</v>
      </c>
      <c r="Q115">
        <v>23</v>
      </c>
      <c r="R115">
        <v>943930</v>
      </c>
    </row>
  </sheetData>
  <sortState xmlns:xlrd2="http://schemas.microsoft.com/office/spreadsheetml/2017/richdata2" ref="Q86:R115">
    <sortCondition ref="R86:R115"/>
  </sortState>
  <mergeCells count="26">
    <mergeCell ref="E70:G70"/>
    <mergeCell ref="K70:M70"/>
    <mergeCell ref="O70:Q70"/>
    <mergeCell ref="N55:O55"/>
    <mergeCell ref="N56:O56"/>
    <mergeCell ref="E57:F57"/>
    <mergeCell ref="E59:F59"/>
    <mergeCell ref="E60:F60"/>
    <mergeCell ref="E56:F56"/>
    <mergeCell ref="B50:F50"/>
    <mergeCell ref="E63:F63"/>
    <mergeCell ref="E64:F64"/>
    <mergeCell ref="B48:F48"/>
    <mergeCell ref="B49:F49"/>
    <mergeCell ref="E61:F61"/>
    <mergeCell ref="E62:F62"/>
    <mergeCell ref="H9:N9"/>
    <mergeCell ref="B14:H14"/>
    <mergeCell ref="B46:G46"/>
    <mergeCell ref="L14:N14"/>
    <mergeCell ref="P14:R14"/>
    <mergeCell ref="T14:V14"/>
    <mergeCell ref="X14:Z14"/>
    <mergeCell ref="AB14:AD14"/>
    <mergeCell ref="G49:H49"/>
    <mergeCell ref="G48:H48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B46C-9B18-44CB-B2EC-27DE85C722B0}">
  <dimension ref="A2:N39"/>
  <sheetViews>
    <sheetView workbookViewId="0">
      <selection activeCell="F23" sqref="F23"/>
    </sheetView>
  </sheetViews>
  <sheetFormatPr baseColWidth="10" defaultRowHeight="15" x14ac:dyDescent="0.25"/>
  <cols>
    <col min="3" max="3" width="15.5703125" bestFit="1" customWidth="1"/>
    <col min="5" max="5" width="14.5703125" customWidth="1"/>
    <col min="6" max="6" width="11.85546875" bestFit="1" customWidth="1"/>
    <col min="8" max="8" width="28.5703125" customWidth="1"/>
  </cols>
  <sheetData>
    <row r="2" spans="1:14" ht="15.75" x14ac:dyDescent="0.25">
      <c r="A2" s="76" t="s">
        <v>67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25">
      <c r="B4" s="75" t="s">
        <v>66</v>
      </c>
      <c r="C4" s="75"/>
    </row>
    <row r="5" spans="1:14" x14ac:dyDescent="0.25">
      <c r="B5" s="1" t="s">
        <v>2</v>
      </c>
      <c r="C5" s="1" t="s">
        <v>23</v>
      </c>
      <c r="E5" s="1" t="s">
        <v>65</v>
      </c>
      <c r="F5" s="24">
        <f>AVERAGE(VENTA2)</f>
        <v>687138.16666666663</v>
      </c>
    </row>
    <row r="6" spans="1:14" x14ac:dyDescent="0.25">
      <c r="B6" s="1">
        <v>4</v>
      </c>
      <c r="C6" s="3">
        <v>428040</v>
      </c>
    </row>
    <row r="7" spans="1:14" x14ac:dyDescent="0.25">
      <c r="B7" s="1">
        <v>3</v>
      </c>
      <c r="C7" s="3">
        <v>428375</v>
      </c>
      <c r="E7" s="1" t="s">
        <v>68</v>
      </c>
      <c r="F7" s="24">
        <f>_xlfn.STDEV.S(VENTA2)</f>
        <v>150716.96998177902</v>
      </c>
      <c r="G7" t="s">
        <v>69</v>
      </c>
    </row>
    <row r="8" spans="1:14" x14ac:dyDescent="0.25">
      <c r="B8" s="1">
        <v>5</v>
      </c>
      <c r="C8" s="3">
        <v>443040</v>
      </c>
    </row>
    <row r="9" spans="1:14" x14ac:dyDescent="0.25">
      <c r="B9" s="1">
        <v>6</v>
      </c>
      <c r="C9" s="3">
        <v>473375</v>
      </c>
      <c r="E9" s="1" t="s">
        <v>70</v>
      </c>
      <c r="F9" s="32">
        <f>F7/F5</f>
        <v>0.21934012298125249</v>
      </c>
      <c r="G9" s="27">
        <f>F9</f>
        <v>0.21934012298125249</v>
      </c>
      <c r="H9" t="s">
        <v>72</v>
      </c>
    </row>
    <row r="10" spans="1:14" x14ac:dyDescent="0.25">
      <c r="B10" s="1">
        <v>7</v>
      </c>
      <c r="C10" s="3">
        <v>503710</v>
      </c>
      <c r="E10" s="1" t="s">
        <v>71</v>
      </c>
      <c r="F10" s="1"/>
      <c r="H10" t="s">
        <v>74</v>
      </c>
    </row>
    <row r="11" spans="1:14" x14ac:dyDescent="0.25">
      <c r="B11" s="1">
        <v>9</v>
      </c>
      <c r="C11" s="3">
        <v>518375</v>
      </c>
    </row>
    <row r="12" spans="1:14" x14ac:dyDescent="0.25">
      <c r="B12" s="1">
        <v>10</v>
      </c>
      <c r="C12" s="3">
        <v>533375</v>
      </c>
    </row>
    <row r="13" spans="1:14" x14ac:dyDescent="0.25">
      <c r="B13" s="1">
        <v>8</v>
      </c>
      <c r="C13" s="3">
        <v>567875</v>
      </c>
      <c r="E13" s="1" t="s">
        <v>77</v>
      </c>
      <c r="F13" s="1">
        <v>30</v>
      </c>
      <c r="H13" t="s">
        <v>78</v>
      </c>
    </row>
    <row r="14" spans="1:14" x14ac:dyDescent="0.25">
      <c r="B14" s="1">
        <v>12</v>
      </c>
      <c r="C14" s="3">
        <v>578710</v>
      </c>
    </row>
    <row r="15" spans="1:14" x14ac:dyDescent="0.25">
      <c r="B15" s="1">
        <v>15</v>
      </c>
      <c r="C15" s="3">
        <v>593040</v>
      </c>
      <c r="E15" s="1" t="s">
        <v>73</v>
      </c>
      <c r="F15" s="33">
        <f>F7/SQRT(F13)</f>
        <v>27517.028085949787</v>
      </c>
      <c r="H15" t="s">
        <v>76</v>
      </c>
      <c r="M15" t="s">
        <v>75</v>
      </c>
    </row>
    <row r="16" spans="1:14" x14ac:dyDescent="0.25">
      <c r="B16" s="1">
        <v>19</v>
      </c>
      <c r="C16" s="3">
        <v>653040</v>
      </c>
      <c r="H16" t="s">
        <v>79</v>
      </c>
    </row>
    <row r="17" spans="2:8" x14ac:dyDescent="0.25">
      <c r="B17" s="1">
        <v>16</v>
      </c>
      <c r="C17" s="3">
        <v>654045</v>
      </c>
      <c r="H17" t="s">
        <v>80</v>
      </c>
    </row>
    <row r="18" spans="2:8" x14ac:dyDescent="0.25">
      <c r="B18" s="1">
        <v>20</v>
      </c>
      <c r="C18" s="3">
        <v>683375</v>
      </c>
    </row>
    <row r="19" spans="2:8" x14ac:dyDescent="0.25">
      <c r="B19" s="1">
        <v>11</v>
      </c>
      <c r="C19" s="3">
        <v>687790</v>
      </c>
    </row>
    <row r="20" spans="2:8" x14ac:dyDescent="0.25">
      <c r="B20" s="1">
        <v>14</v>
      </c>
      <c r="C20" s="3">
        <v>702790</v>
      </c>
    </row>
    <row r="21" spans="2:8" x14ac:dyDescent="0.25">
      <c r="B21" s="1">
        <v>2</v>
      </c>
      <c r="C21" s="3">
        <v>708290</v>
      </c>
      <c r="E21">
        <f>_xlfn.STDEV.S(VENTA2)</f>
        <v>150716.96998177902</v>
      </c>
    </row>
    <row r="22" spans="2:8" x14ac:dyDescent="0.25">
      <c r="B22" s="1">
        <v>17</v>
      </c>
      <c r="C22" s="3">
        <v>715050</v>
      </c>
    </row>
    <row r="23" spans="2:8" x14ac:dyDescent="0.25">
      <c r="B23" s="1">
        <v>1</v>
      </c>
      <c r="C23" s="3">
        <v>729960</v>
      </c>
    </row>
    <row r="24" spans="2:8" x14ac:dyDescent="0.25">
      <c r="B24" s="1">
        <v>13</v>
      </c>
      <c r="C24" s="3">
        <v>758290</v>
      </c>
    </row>
    <row r="25" spans="2:8" x14ac:dyDescent="0.25">
      <c r="B25" s="1">
        <v>27</v>
      </c>
      <c r="C25" s="3">
        <v>788375</v>
      </c>
    </row>
    <row r="26" spans="2:8" x14ac:dyDescent="0.25">
      <c r="B26" s="1">
        <v>22</v>
      </c>
      <c r="C26" s="3">
        <v>790050</v>
      </c>
    </row>
    <row r="27" spans="2:8" x14ac:dyDescent="0.25">
      <c r="B27" s="1">
        <v>21</v>
      </c>
      <c r="C27" s="3">
        <v>799210</v>
      </c>
    </row>
    <row r="28" spans="2:8" x14ac:dyDescent="0.25">
      <c r="B28" s="1">
        <v>29</v>
      </c>
      <c r="C28" s="3">
        <v>803040</v>
      </c>
    </row>
    <row r="29" spans="2:8" x14ac:dyDescent="0.25">
      <c r="B29" s="1">
        <v>18</v>
      </c>
      <c r="C29" s="3">
        <v>807450</v>
      </c>
    </row>
    <row r="30" spans="2:8" x14ac:dyDescent="0.25">
      <c r="B30" s="1">
        <v>28</v>
      </c>
      <c r="C30" s="3">
        <v>818710</v>
      </c>
    </row>
    <row r="31" spans="2:8" x14ac:dyDescent="0.25">
      <c r="B31" s="1">
        <v>25</v>
      </c>
      <c r="C31" s="3">
        <v>852705</v>
      </c>
    </row>
    <row r="32" spans="2:8" x14ac:dyDescent="0.25">
      <c r="B32" s="1">
        <v>24</v>
      </c>
      <c r="C32" s="3">
        <v>867875</v>
      </c>
    </row>
    <row r="33" spans="2:4" x14ac:dyDescent="0.25">
      <c r="B33" s="1">
        <v>30</v>
      </c>
      <c r="C33" s="3">
        <v>879380</v>
      </c>
    </row>
    <row r="34" spans="2:4" x14ac:dyDescent="0.25">
      <c r="B34" s="1">
        <v>26</v>
      </c>
      <c r="C34" s="3">
        <v>902875</v>
      </c>
    </row>
    <row r="35" spans="2:4" x14ac:dyDescent="0.25">
      <c r="B35" s="1">
        <v>23</v>
      </c>
      <c r="C35" s="3">
        <v>943930</v>
      </c>
    </row>
    <row r="36" spans="2:4" x14ac:dyDescent="0.25">
      <c r="B36" s="1" t="s">
        <v>24</v>
      </c>
      <c r="C36" s="3">
        <f>SUM(VENTA2)</f>
        <v>20614145</v>
      </c>
    </row>
    <row r="39" spans="2:4" x14ac:dyDescent="0.25">
      <c r="C39" s="50">
        <f>AVERAGE(VENTA2)</f>
        <v>687138.16666666663</v>
      </c>
      <c r="D39" s="50">
        <f>MAX(VENTA2)</f>
        <v>943930</v>
      </c>
    </row>
  </sheetData>
  <sortState xmlns:xlrd2="http://schemas.microsoft.com/office/spreadsheetml/2017/richdata2" ref="B6:C35">
    <sortCondition ref="C6:C35"/>
  </sortState>
  <mergeCells count="2">
    <mergeCell ref="B4:C4"/>
    <mergeCell ref="A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ED8F-20E5-430A-9C1E-033A4D0EA9CD}">
  <dimension ref="B2:Q56"/>
  <sheetViews>
    <sheetView workbookViewId="0">
      <selection activeCell="D5" sqref="D5:D34"/>
    </sheetView>
  </sheetViews>
  <sheetFormatPr baseColWidth="10" defaultRowHeight="15" x14ac:dyDescent="0.25"/>
  <cols>
    <col min="3" max="3" width="15.5703125" bestFit="1" customWidth="1"/>
    <col min="4" max="4" width="14.140625" bestFit="1" customWidth="1"/>
    <col min="5" max="5" width="15.5703125" customWidth="1"/>
    <col min="6" max="6" width="14.140625" bestFit="1" customWidth="1"/>
    <col min="14" max="14" width="22.85546875" bestFit="1" customWidth="1"/>
    <col min="15" max="15" width="17.85546875" bestFit="1" customWidth="1"/>
    <col min="16" max="16" width="22.85546875" bestFit="1" customWidth="1"/>
    <col min="17" max="17" width="17.85546875" bestFit="1" customWidth="1"/>
  </cols>
  <sheetData>
    <row r="2" spans="2:17" x14ac:dyDescent="0.25">
      <c r="B2" s="72" t="s">
        <v>101</v>
      </c>
      <c r="C2" s="72"/>
      <c r="D2" s="72"/>
      <c r="E2" s="72"/>
      <c r="F2" s="72"/>
      <c r="H2">
        <v>1</v>
      </c>
      <c r="I2">
        <v>1</v>
      </c>
      <c r="J2">
        <v>2</v>
      </c>
      <c r="K2">
        <v>3</v>
      </c>
      <c r="L2">
        <v>4</v>
      </c>
      <c r="M2">
        <v>5</v>
      </c>
      <c r="N2">
        <f>MODE(H2:M2)</f>
        <v>1</v>
      </c>
    </row>
    <row r="4" spans="2:17" x14ac:dyDescent="0.25">
      <c r="B4" s="31" t="s">
        <v>2</v>
      </c>
      <c r="C4" s="31" t="s">
        <v>96</v>
      </c>
      <c r="D4" s="31" t="s">
        <v>97</v>
      </c>
      <c r="E4" s="31"/>
      <c r="F4" s="31" t="s">
        <v>97</v>
      </c>
      <c r="H4" s="51" t="s">
        <v>112</v>
      </c>
      <c r="N4" s="35" t="s">
        <v>81</v>
      </c>
      <c r="O4" s="35"/>
      <c r="P4" s="35" t="s">
        <v>82</v>
      </c>
      <c r="Q4" s="35"/>
    </row>
    <row r="5" spans="2:17" x14ac:dyDescent="0.25">
      <c r="B5" s="1">
        <v>1</v>
      </c>
      <c r="C5" s="4">
        <v>729960</v>
      </c>
      <c r="D5" s="3">
        <v>410000</v>
      </c>
      <c r="E5" s="4"/>
      <c r="F5" s="3">
        <v>410000</v>
      </c>
      <c r="N5" s="1"/>
      <c r="O5" s="1"/>
      <c r="P5" s="1"/>
      <c r="Q5" s="1"/>
    </row>
    <row r="6" spans="2:17" x14ac:dyDescent="0.25">
      <c r="B6" s="1">
        <v>2</v>
      </c>
      <c r="C6" s="4">
        <v>708290</v>
      </c>
      <c r="D6" s="3">
        <v>530000</v>
      </c>
      <c r="E6" s="4"/>
      <c r="F6" s="3">
        <v>530000</v>
      </c>
      <c r="N6" s="1" t="s">
        <v>32</v>
      </c>
      <c r="O6" s="36">
        <v>687138.16666666663</v>
      </c>
      <c r="P6" s="1" t="s">
        <v>32</v>
      </c>
      <c r="Q6" s="36">
        <v>672666.66666666663</v>
      </c>
    </row>
    <row r="7" spans="2:17" x14ac:dyDescent="0.25">
      <c r="B7" s="1">
        <v>3</v>
      </c>
      <c r="C7" s="4">
        <v>428375</v>
      </c>
      <c r="D7" s="3">
        <v>475000</v>
      </c>
      <c r="E7" s="4"/>
      <c r="F7" s="3">
        <v>475000</v>
      </c>
      <c r="H7" t="s">
        <v>113</v>
      </c>
      <c r="N7" s="1" t="s">
        <v>83</v>
      </c>
      <c r="O7" s="36">
        <v>26040.916799429095</v>
      </c>
      <c r="P7" s="1" t="s">
        <v>83</v>
      </c>
      <c r="Q7" s="36">
        <v>28225.867867228404</v>
      </c>
    </row>
    <row r="8" spans="2:17" x14ac:dyDescent="0.25">
      <c r="B8" s="1">
        <v>4</v>
      </c>
      <c r="C8" s="4">
        <v>428040</v>
      </c>
      <c r="D8" s="3">
        <v>510000</v>
      </c>
      <c r="E8" s="4"/>
      <c r="F8" s="3">
        <v>510000</v>
      </c>
      <c r="N8" s="1" t="s">
        <v>33</v>
      </c>
      <c r="O8" s="36">
        <v>627500</v>
      </c>
      <c r="P8" s="1" t="s">
        <v>33</v>
      </c>
      <c r="Q8" s="36">
        <v>632500</v>
      </c>
    </row>
    <row r="9" spans="2:17" x14ac:dyDescent="0.25">
      <c r="B9" s="1">
        <v>5</v>
      </c>
      <c r="C9" s="4">
        <v>443040</v>
      </c>
      <c r="D9" s="3">
        <v>480000</v>
      </c>
      <c r="E9" s="4"/>
      <c r="F9" s="3">
        <v>480000</v>
      </c>
      <c r="N9" s="1" t="s">
        <v>34</v>
      </c>
      <c r="O9" s="36" t="e">
        <v>#N/A</v>
      </c>
      <c r="P9" s="1" t="s">
        <v>34</v>
      </c>
      <c r="Q9" s="36">
        <v>610000</v>
      </c>
    </row>
    <row r="10" spans="2:17" x14ac:dyDescent="0.25">
      <c r="B10" s="1">
        <v>6</v>
      </c>
      <c r="C10" s="4">
        <v>473375</v>
      </c>
      <c r="D10" s="3">
        <v>390000</v>
      </c>
      <c r="E10" s="4"/>
      <c r="F10" s="3">
        <v>390000</v>
      </c>
      <c r="N10" s="1" t="s">
        <v>84</v>
      </c>
      <c r="O10" s="36">
        <v>142631.97549162549</v>
      </c>
      <c r="P10" s="1" t="s">
        <v>84</v>
      </c>
      <c r="Q10" s="36">
        <v>154599.4453604123</v>
      </c>
    </row>
    <row r="11" spans="2:17" x14ac:dyDescent="0.25">
      <c r="B11" s="1">
        <v>7</v>
      </c>
      <c r="C11" s="4">
        <v>503710</v>
      </c>
      <c r="D11" s="3">
        <v>600000</v>
      </c>
      <c r="E11" s="4"/>
      <c r="F11" s="3">
        <v>600000</v>
      </c>
      <c r="N11" s="1" t="s">
        <v>85</v>
      </c>
      <c r="O11" s="36">
        <v>20343880432.643654</v>
      </c>
      <c r="P11" s="1" t="s">
        <v>85</v>
      </c>
      <c r="Q11" s="36">
        <v>23900988505.747105</v>
      </c>
    </row>
    <row r="12" spans="2:17" x14ac:dyDescent="0.25">
      <c r="B12" s="1">
        <v>8</v>
      </c>
      <c r="C12" s="4">
        <v>567875</v>
      </c>
      <c r="D12" s="3">
        <v>550000</v>
      </c>
      <c r="E12" s="4"/>
      <c r="F12" s="3">
        <v>550000</v>
      </c>
      <c r="N12" s="1" t="s">
        <v>86</v>
      </c>
      <c r="O12" s="36">
        <v>-1.2929550909959993</v>
      </c>
      <c r="P12" s="1" t="s">
        <v>86</v>
      </c>
      <c r="Q12" s="36">
        <v>-0.93393727641073854</v>
      </c>
    </row>
    <row r="13" spans="2:17" x14ac:dyDescent="0.25">
      <c r="B13" s="1">
        <v>9</v>
      </c>
      <c r="C13" s="4">
        <v>518375</v>
      </c>
      <c r="D13" s="3">
        <v>589000</v>
      </c>
      <c r="E13" s="4"/>
      <c r="F13" s="3">
        <v>589000</v>
      </c>
      <c r="N13" s="1" t="s">
        <v>87</v>
      </c>
      <c r="O13" s="36">
        <v>-8.1510893093202766E-2</v>
      </c>
      <c r="P13" s="1" t="s">
        <v>87</v>
      </c>
      <c r="Q13" s="36">
        <v>6.0840612244115647E-2</v>
      </c>
    </row>
    <row r="14" spans="2:17" x14ac:dyDescent="0.25">
      <c r="B14" s="1">
        <v>10</v>
      </c>
      <c r="C14" s="4">
        <v>533375</v>
      </c>
      <c r="D14" s="3">
        <v>610000</v>
      </c>
      <c r="E14" s="4"/>
      <c r="F14" s="3">
        <v>610000</v>
      </c>
      <c r="N14" s="1" t="s">
        <v>29</v>
      </c>
      <c r="O14" s="36">
        <v>485000</v>
      </c>
      <c r="P14" s="1" t="s">
        <v>29</v>
      </c>
      <c r="Q14" s="36">
        <v>560000</v>
      </c>
    </row>
    <row r="15" spans="2:17" x14ac:dyDescent="0.25">
      <c r="B15" s="1">
        <v>11</v>
      </c>
      <c r="C15" s="4">
        <v>687790</v>
      </c>
      <c r="D15" s="3">
        <v>580000</v>
      </c>
      <c r="E15" s="4"/>
      <c r="F15" s="3">
        <v>580000</v>
      </c>
      <c r="N15" s="1" t="s">
        <v>88</v>
      </c>
      <c r="O15" s="36">
        <v>390000</v>
      </c>
      <c r="P15" s="1" t="s">
        <v>88</v>
      </c>
      <c r="Q15" s="36">
        <v>390000</v>
      </c>
    </row>
    <row r="16" spans="2:17" x14ac:dyDescent="0.25">
      <c r="B16" s="1">
        <v>12</v>
      </c>
      <c r="C16" s="4">
        <v>578710</v>
      </c>
      <c r="D16" s="3">
        <v>590000</v>
      </c>
      <c r="E16" s="4"/>
      <c r="F16" s="3">
        <v>590000</v>
      </c>
      <c r="N16" s="1" t="s">
        <v>89</v>
      </c>
      <c r="O16" s="36">
        <v>875000</v>
      </c>
      <c r="P16" s="1" t="s">
        <v>89</v>
      </c>
      <c r="Q16" s="36">
        <v>950000</v>
      </c>
    </row>
    <row r="17" spans="2:17" x14ac:dyDescent="0.25">
      <c r="B17" s="1">
        <v>13</v>
      </c>
      <c r="C17" s="4">
        <v>758290</v>
      </c>
      <c r="D17" s="3">
        <v>610000</v>
      </c>
      <c r="E17" s="4"/>
      <c r="F17" s="3">
        <v>610000</v>
      </c>
      <c r="N17" s="1" t="s">
        <v>90</v>
      </c>
      <c r="O17" s="36">
        <v>18939710</v>
      </c>
      <c r="P17" s="1" t="s">
        <v>90</v>
      </c>
      <c r="Q17" s="36">
        <v>20180000</v>
      </c>
    </row>
    <row r="18" spans="2:17" x14ac:dyDescent="0.25">
      <c r="B18" s="1">
        <v>14</v>
      </c>
      <c r="C18" s="4">
        <v>702790</v>
      </c>
      <c r="D18" s="3">
        <v>586000</v>
      </c>
      <c r="E18" s="4"/>
      <c r="F18" s="3">
        <v>586000</v>
      </c>
      <c r="N18" s="1" t="s">
        <v>91</v>
      </c>
      <c r="O18" s="1">
        <v>30</v>
      </c>
      <c r="P18" s="1" t="s">
        <v>91</v>
      </c>
      <c r="Q18" s="1">
        <v>30</v>
      </c>
    </row>
    <row r="19" spans="2:17" x14ac:dyDescent="0.25">
      <c r="B19" s="1">
        <v>15</v>
      </c>
      <c r="C19" s="4">
        <v>593040</v>
      </c>
      <c r="D19" s="3">
        <v>625000</v>
      </c>
      <c r="E19" s="4"/>
      <c r="F19" s="3">
        <v>625000</v>
      </c>
    </row>
    <row r="20" spans="2:17" x14ac:dyDescent="0.25">
      <c r="B20" s="1">
        <v>16</v>
      </c>
      <c r="C20" s="4">
        <v>654045</v>
      </c>
      <c r="D20" s="3">
        <v>640000</v>
      </c>
      <c r="E20" s="4"/>
      <c r="F20" s="3">
        <v>640000</v>
      </c>
    </row>
    <row r="21" spans="2:17" x14ac:dyDescent="0.25">
      <c r="B21" s="1">
        <v>17</v>
      </c>
      <c r="C21" s="4">
        <v>715050</v>
      </c>
      <c r="D21" s="3">
        <v>780000</v>
      </c>
      <c r="E21" s="4"/>
      <c r="F21" s="3">
        <v>780000</v>
      </c>
    </row>
    <row r="22" spans="2:17" x14ac:dyDescent="0.25">
      <c r="B22" s="1">
        <v>18</v>
      </c>
      <c r="C22" s="4">
        <v>807450</v>
      </c>
      <c r="D22" s="3">
        <v>950000</v>
      </c>
      <c r="E22" s="4"/>
      <c r="F22" s="3">
        <v>950000</v>
      </c>
    </row>
    <row r="23" spans="2:17" x14ac:dyDescent="0.25">
      <c r="B23" s="1">
        <v>19</v>
      </c>
      <c r="C23" s="4">
        <v>653040</v>
      </c>
      <c r="D23" s="3">
        <v>720000</v>
      </c>
      <c r="E23" s="4"/>
      <c r="F23" s="3">
        <v>720000</v>
      </c>
    </row>
    <row r="24" spans="2:17" x14ac:dyDescent="0.25">
      <c r="B24" s="1">
        <v>20</v>
      </c>
      <c r="C24" s="4">
        <v>683375</v>
      </c>
      <c r="D24" s="3">
        <v>745000</v>
      </c>
      <c r="E24" s="4"/>
      <c r="F24" s="3">
        <v>745000</v>
      </c>
    </row>
    <row r="25" spans="2:17" x14ac:dyDescent="0.25">
      <c r="B25" s="1">
        <v>21</v>
      </c>
      <c r="C25" s="4">
        <v>799210</v>
      </c>
      <c r="D25" s="3">
        <v>785000</v>
      </c>
      <c r="E25" s="4"/>
      <c r="F25" s="3">
        <v>785000</v>
      </c>
    </row>
    <row r="26" spans="2:17" x14ac:dyDescent="0.25">
      <c r="B26" s="1">
        <v>22</v>
      </c>
      <c r="C26" s="4">
        <v>790050</v>
      </c>
      <c r="D26" s="3">
        <v>810000</v>
      </c>
      <c r="E26" s="4"/>
      <c r="F26" s="3">
        <v>810000</v>
      </c>
    </row>
    <row r="27" spans="2:17" x14ac:dyDescent="0.25">
      <c r="B27" s="1">
        <v>23</v>
      </c>
      <c r="C27" s="4">
        <v>943930</v>
      </c>
      <c r="D27" s="3">
        <v>820000</v>
      </c>
      <c r="E27" s="4"/>
      <c r="F27" s="3">
        <v>820000</v>
      </c>
    </row>
    <row r="28" spans="2:17" x14ac:dyDescent="0.25">
      <c r="B28" s="1">
        <v>24</v>
      </c>
      <c r="C28" s="4">
        <v>867875</v>
      </c>
      <c r="D28" s="3">
        <v>690000</v>
      </c>
      <c r="E28" s="4"/>
      <c r="F28" s="3">
        <v>690000</v>
      </c>
    </row>
    <row r="29" spans="2:17" x14ac:dyDescent="0.25">
      <c r="B29" s="1">
        <v>25</v>
      </c>
      <c r="C29" s="4">
        <v>852705</v>
      </c>
      <c r="D29" s="3">
        <v>750000</v>
      </c>
      <c r="E29" s="4"/>
      <c r="F29" s="3">
        <v>750000</v>
      </c>
    </row>
    <row r="30" spans="2:17" x14ac:dyDescent="0.25">
      <c r="B30" s="1">
        <v>26</v>
      </c>
      <c r="C30" s="4">
        <v>902875</v>
      </c>
      <c r="D30" s="3">
        <v>825000</v>
      </c>
      <c r="E30" s="4"/>
      <c r="F30" s="3">
        <v>825000</v>
      </c>
    </row>
    <row r="31" spans="2:17" x14ac:dyDescent="0.25">
      <c r="B31" s="1">
        <v>27</v>
      </c>
      <c r="C31" s="4">
        <v>788375</v>
      </c>
      <c r="D31" s="3">
        <v>830000</v>
      </c>
      <c r="E31" s="4"/>
      <c r="F31" s="3">
        <v>830000</v>
      </c>
    </row>
    <row r="32" spans="2:17" x14ac:dyDescent="0.25">
      <c r="B32" s="1">
        <v>28</v>
      </c>
      <c r="C32" s="4">
        <v>818710</v>
      </c>
      <c r="D32" s="3">
        <v>870000</v>
      </c>
      <c r="E32" s="4"/>
      <c r="F32" s="3">
        <v>870000</v>
      </c>
    </row>
    <row r="33" spans="2:6" x14ac:dyDescent="0.25">
      <c r="B33" s="1">
        <v>29</v>
      </c>
      <c r="C33" s="4">
        <v>803040</v>
      </c>
      <c r="D33" s="3">
        <v>910000</v>
      </c>
      <c r="E33" s="4"/>
      <c r="F33" s="3">
        <v>910000</v>
      </c>
    </row>
    <row r="34" spans="2:6" x14ac:dyDescent="0.25">
      <c r="B34" s="1">
        <v>30</v>
      </c>
      <c r="C34" s="4">
        <v>879380</v>
      </c>
      <c r="D34" s="3">
        <v>920000</v>
      </c>
      <c r="E34" s="4"/>
      <c r="F34" s="3">
        <v>920000</v>
      </c>
    </row>
    <row r="35" spans="2:6" x14ac:dyDescent="0.25">
      <c r="C35" s="16">
        <f>AVERAGE(C5:C34)</f>
        <v>687138.16666666663</v>
      </c>
      <c r="D35" s="55">
        <f>AVERAGE(D5:D34)</f>
        <v>672666.66666666663</v>
      </c>
      <c r="F35" s="55">
        <f>AVERAGE(F5:F34)</f>
        <v>672666.66666666663</v>
      </c>
    </row>
    <row r="53" spans="3:8" x14ac:dyDescent="0.25">
      <c r="C53" t="s">
        <v>114</v>
      </c>
      <c r="E53" t="s">
        <v>115</v>
      </c>
    </row>
    <row r="54" spans="3:8" x14ac:dyDescent="0.25">
      <c r="C54" s="52">
        <v>4.5</v>
      </c>
      <c r="D54" s="53">
        <f>AVERAGE(A54:C54)</f>
        <v>4.5</v>
      </c>
      <c r="E54" s="52">
        <v>2</v>
      </c>
      <c r="F54" s="53">
        <f>AVERAGE(C54:E54)</f>
        <v>3.6666666666666665</v>
      </c>
      <c r="G54" s="53">
        <v>3</v>
      </c>
    </row>
    <row r="56" spans="3:8" x14ac:dyDescent="0.25">
      <c r="C56" s="54">
        <f>C54*40%</f>
        <v>1.8</v>
      </c>
      <c r="D56" s="54">
        <f>E54*0.1</f>
        <v>0.2</v>
      </c>
      <c r="E56" s="54">
        <f>E54*0.25</f>
        <v>0.5</v>
      </c>
      <c r="F56" s="54">
        <f>G54*0.1</f>
        <v>0.30000000000000004</v>
      </c>
      <c r="G56" s="54">
        <f>G54*0.1</f>
        <v>0.30000000000000004</v>
      </c>
      <c r="H56" s="54">
        <f>SUM(C56:F56)</f>
        <v>2.8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EF0A-8982-4B8C-92F0-7C5F2794D58F}">
  <dimension ref="B2:AF97"/>
  <sheetViews>
    <sheetView topLeftCell="A4" workbookViewId="0">
      <selection activeCell="D26" sqref="D26"/>
    </sheetView>
  </sheetViews>
  <sheetFormatPr baseColWidth="10" defaultRowHeight="15" x14ac:dyDescent="0.25"/>
  <cols>
    <col min="1" max="1" width="3.28515625" customWidth="1"/>
    <col min="2" max="2" width="13.28515625" customWidth="1"/>
    <col min="3" max="3" width="12.7109375" customWidth="1"/>
    <col min="4" max="4" width="10.5703125" customWidth="1"/>
    <col min="5" max="5" width="13.5703125" customWidth="1"/>
    <col min="6" max="6" width="14" customWidth="1"/>
    <col min="7" max="7" width="12.28515625" customWidth="1"/>
    <col min="8" max="12" width="8.140625" style="5" customWidth="1"/>
    <col min="13" max="13" width="7" customWidth="1"/>
    <col min="14" max="14" width="11.140625" customWidth="1"/>
    <col min="15" max="15" width="14.28515625" customWidth="1"/>
    <col min="16" max="16" width="16.7109375" customWidth="1"/>
    <col min="17" max="17" width="11.28515625" customWidth="1"/>
    <col min="20" max="20" width="12" bestFit="1" customWidth="1"/>
    <col min="21" max="21" width="5.140625" customWidth="1"/>
    <col min="24" max="24" width="12.5703125" customWidth="1"/>
    <col min="25" max="25" width="3.140625" customWidth="1"/>
    <col min="28" max="28" width="13.5703125" customWidth="1"/>
    <col min="29" max="29" width="4.42578125" customWidth="1"/>
  </cols>
  <sheetData>
    <row r="2" spans="2:32" x14ac:dyDescent="0.25">
      <c r="B2" t="s">
        <v>16</v>
      </c>
    </row>
    <row r="3" spans="2:32" x14ac:dyDescent="0.25">
      <c r="B3" t="s">
        <v>17</v>
      </c>
    </row>
    <row r="5" spans="2:32" x14ac:dyDescent="0.25">
      <c r="B5" t="s">
        <v>14</v>
      </c>
    </row>
    <row r="7" spans="2:32" x14ac:dyDescent="0.25">
      <c r="B7" s="19" t="s">
        <v>15</v>
      </c>
      <c r="C7" s="20" t="s">
        <v>0</v>
      </c>
    </row>
    <row r="8" spans="2:32" x14ac:dyDescent="0.25">
      <c r="B8" s="1" t="s">
        <v>22</v>
      </c>
      <c r="C8" s="17">
        <v>15000</v>
      </c>
    </row>
    <row r="9" spans="2:32" x14ac:dyDescent="0.25">
      <c r="B9" s="1" t="s">
        <v>5</v>
      </c>
      <c r="C9" s="17">
        <v>20000</v>
      </c>
      <c r="H9" s="64"/>
      <c r="I9" s="64"/>
      <c r="J9" s="64"/>
      <c r="K9" s="64"/>
      <c r="L9" s="64"/>
      <c r="M9" s="64"/>
      <c r="N9" s="64"/>
      <c r="O9" s="64"/>
      <c r="P9" s="64"/>
    </row>
    <row r="10" spans="2:32" x14ac:dyDescent="0.25">
      <c r="B10" s="1" t="s">
        <v>8</v>
      </c>
      <c r="C10" s="17">
        <v>15000</v>
      </c>
    </row>
    <row r="11" spans="2:32" ht="30" x14ac:dyDescent="0.25">
      <c r="B11" s="18" t="s">
        <v>9</v>
      </c>
      <c r="C11" s="17">
        <v>15000</v>
      </c>
    </row>
    <row r="12" spans="2:32" x14ac:dyDescent="0.25">
      <c r="B12" s="1" t="s">
        <v>4</v>
      </c>
      <c r="C12" s="17">
        <v>15000</v>
      </c>
    </row>
    <row r="14" spans="2:32" x14ac:dyDescent="0.25">
      <c r="B14" s="59" t="s">
        <v>1</v>
      </c>
      <c r="C14" s="59"/>
      <c r="D14" s="59"/>
      <c r="E14" s="59"/>
      <c r="F14" s="59"/>
      <c r="G14" s="59"/>
      <c r="H14" s="59"/>
      <c r="I14" s="40"/>
      <c r="J14" s="40" t="s">
        <v>106</v>
      </c>
      <c r="K14" s="40"/>
      <c r="L14" s="40"/>
      <c r="M14" s="9"/>
      <c r="N14" s="59" t="s">
        <v>13</v>
      </c>
      <c r="O14" s="59"/>
      <c r="P14" s="59"/>
      <c r="R14" s="59" t="s">
        <v>18</v>
      </c>
      <c r="S14" s="59"/>
      <c r="T14" s="59"/>
      <c r="V14" s="59" t="s">
        <v>19</v>
      </c>
      <c r="W14" s="59"/>
      <c r="X14" s="59"/>
      <c r="Z14" s="59" t="s">
        <v>20</v>
      </c>
      <c r="AA14" s="59"/>
      <c r="AB14" s="59"/>
      <c r="AD14" s="59" t="s">
        <v>21</v>
      </c>
      <c r="AE14" s="59"/>
      <c r="AF14" s="59"/>
    </row>
    <row r="15" spans="2:32" ht="33" customHeight="1" x14ac:dyDescent="0.25">
      <c r="B15" s="11" t="s">
        <v>2</v>
      </c>
      <c r="C15" s="12" t="s">
        <v>107</v>
      </c>
      <c r="D15" s="13" t="s">
        <v>3</v>
      </c>
      <c r="E15" s="11"/>
      <c r="F15" s="12"/>
      <c r="G15" s="12"/>
      <c r="I15" s="41"/>
      <c r="J15" s="41">
        <v>476</v>
      </c>
      <c r="K15" s="41"/>
      <c r="L15" s="41"/>
      <c r="N15" s="11" t="s">
        <v>2</v>
      </c>
      <c r="O15" s="12" t="s">
        <v>12</v>
      </c>
      <c r="P15" s="12" t="s">
        <v>11</v>
      </c>
      <c r="R15" s="11" t="s">
        <v>2</v>
      </c>
      <c r="S15" s="12" t="s">
        <v>12</v>
      </c>
      <c r="T15" s="12" t="s">
        <v>11</v>
      </c>
      <c r="V15" s="11" t="s">
        <v>2</v>
      </c>
      <c r="W15" s="12" t="s">
        <v>12</v>
      </c>
      <c r="X15" s="12" t="s">
        <v>11</v>
      </c>
      <c r="Z15" s="11" t="s">
        <v>2</v>
      </c>
      <c r="AA15" s="12" t="s">
        <v>12</v>
      </c>
      <c r="AB15" s="12" t="s">
        <v>11</v>
      </c>
      <c r="AD15" s="11" t="s">
        <v>2</v>
      </c>
      <c r="AE15" s="12" t="s">
        <v>12</v>
      </c>
      <c r="AF15" s="12" t="s">
        <v>11</v>
      </c>
    </row>
    <row r="16" spans="2:32" x14ac:dyDescent="0.25">
      <c r="B16" s="1">
        <v>1</v>
      </c>
      <c r="C16" s="6">
        <v>20</v>
      </c>
      <c r="D16" s="6">
        <v>10000</v>
      </c>
      <c r="E16" s="6">
        <f>C16*D16</f>
        <v>200000</v>
      </c>
      <c r="F16" s="6"/>
      <c r="G16" s="6"/>
      <c r="J16" s="5">
        <v>20</v>
      </c>
      <c r="N16" s="1">
        <v>1</v>
      </c>
      <c r="O16" s="6">
        <v>15</v>
      </c>
      <c r="P16" s="4">
        <f>O16*$C$8</f>
        <v>225000</v>
      </c>
      <c r="R16" s="1">
        <v>1</v>
      </c>
      <c r="S16" s="6">
        <v>6</v>
      </c>
      <c r="T16" s="4">
        <f>S16*$C$9</f>
        <v>120000</v>
      </c>
      <c r="V16" s="1">
        <v>1</v>
      </c>
      <c r="W16" s="6">
        <v>1</v>
      </c>
      <c r="X16" s="4">
        <f>V16*$C$10</f>
        <v>15000</v>
      </c>
      <c r="Z16" s="1">
        <v>1</v>
      </c>
      <c r="AA16" s="6">
        <v>1</v>
      </c>
      <c r="AB16" s="4">
        <f>AA16*$C$11</f>
        <v>15000</v>
      </c>
      <c r="AD16" s="1">
        <v>1</v>
      </c>
      <c r="AE16" s="6">
        <v>1</v>
      </c>
      <c r="AF16" s="4">
        <f>AE16*$C$11</f>
        <v>15000</v>
      </c>
    </row>
    <row r="17" spans="2:32" x14ac:dyDescent="0.25">
      <c r="B17" s="1">
        <v>2</v>
      </c>
      <c r="C17" s="6">
        <v>1</v>
      </c>
      <c r="D17" s="6">
        <v>10000</v>
      </c>
      <c r="E17" s="6"/>
      <c r="F17" s="6"/>
      <c r="G17" s="6"/>
      <c r="I17" s="42"/>
      <c r="J17" s="42">
        <f>J16+2</f>
        <v>22</v>
      </c>
      <c r="K17" s="42"/>
      <c r="L17" s="42"/>
      <c r="N17" s="1">
        <v>2</v>
      </c>
      <c r="O17" s="6">
        <v>16</v>
      </c>
      <c r="P17" s="4">
        <f t="shared" ref="P17:P27" si="0">O17*$C$8</f>
        <v>240000</v>
      </c>
      <c r="R17" s="1">
        <v>2</v>
      </c>
      <c r="S17" s="6">
        <v>6.5</v>
      </c>
      <c r="T17" s="4">
        <f t="shared" ref="T17:T27" si="1">S17*$C$9</f>
        <v>130000</v>
      </c>
      <c r="V17" s="1">
        <v>2</v>
      </c>
      <c r="W17" s="6">
        <v>1</v>
      </c>
      <c r="X17" s="4">
        <f t="shared" ref="X17:X27" si="2">V17*$C$10</f>
        <v>30000</v>
      </c>
      <c r="Z17" s="1">
        <v>2</v>
      </c>
      <c r="AA17" s="6">
        <v>1</v>
      </c>
      <c r="AB17" s="4">
        <f t="shared" ref="AB17:AB27" si="3">AA17*$C$11</f>
        <v>15000</v>
      </c>
      <c r="AD17" s="1">
        <v>2</v>
      </c>
      <c r="AE17" s="6">
        <v>1</v>
      </c>
      <c r="AF17" s="4">
        <f t="shared" ref="AF17:AF27" si="4">AE17*$C$11</f>
        <v>15000</v>
      </c>
    </row>
    <row r="18" spans="2:32" x14ac:dyDescent="0.25">
      <c r="B18" s="1">
        <v>3</v>
      </c>
      <c r="C18" s="6">
        <v>1</v>
      </c>
      <c r="D18" s="6">
        <v>10000</v>
      </c>
      <c r="E18" s="6"/>
      <c r="F18" s="6"/>
      <c r="G18" s="6"/>
      <c r="I18" s="42"/>
      <c r="J18" s="42">
        <f t="shared" ref="J18:J27" si="5">J17+2</f>
        <v>24</v>
      </c>
      <c r="K18" s="42"/>
      <c r="L18" s="42"/>
      <c r="N18" s="1">
        <v>3</v>
      </c>
      <c r="O18" s="6">
        <v>15</v>
      </c>
      <c r="P18" s="4">
        <f t="shared" si="0"/>
        <v>225000</v>
      </c>
      <c r="R18" s="1">
        <v>3</v>
      </c>
      <c r="S18" s="6">
        <v>6.25</v>
      </c>
      <c r="T18" s="4">
        <f t="shared" si="1"/>
        <v>125000</v>
      </c>
      <c r="V18" s="1">
        <v>3</v>
      </c>
      <c r="W18" s="6">
        <v>1</v>
      </c>
      <c r="X18" s="4">
        <f t="shared" si="2"/>
        <v>45000</v>
      </c>
      <c r="Z18" s="1">
        <v>3</v>
      </c>
      <c r="AA18" s="6">
        <v>1</v>
      </c>
      <c r="AB18" s="4">
        <f t="shared" si="3"/>
        <v>15000</v>
      </c>
      <c r="AD18" s="1">
        <v>3</v>
      </c>
      <c r="AE18" s="6">
        <v>1</v>
      </c>
      <c r="AF18" s="4">
        <f t="shared" si="4"/>
        <v>15000</v>
      </c>
    </row>
    <row r="19" spans="2:32" x14ac:dyDescent="0.25">
      <c r="B19" s="1">
        <v>4</v>
      </c>
      <c r="C19" s="6">
        <v>1</v>
      </c>
      <c r="D19" s="6">
        <v>10000</v>
      </c>
      <c r="E19" s="6"/>
      <c r="F19" s="6"/>
      <c r="G19" s="6"/>
      <c r="I19" s="42"/>
      <c r="J19" s="42">
        <f t="shared" si="5"/>
        <v>26</v>
      </c>
      <c r="K19" s="42"/>
      <c r="L19" s="42"/>
      <c r="M19" s="8"/>
      <c r="N19" s="1">
        <v>4</v>
      </c>
      <c r="O19" s="6">
        <v>15</v>
      </c>
      <c r="P19" s="4">
        <f t="shared" si="0"/>
        <v>225000</v>
      </c>
      <c r="R19" s="1">
        <v>4</v>
      </c>
      <c r="S19" s="6">
        <v>6</v>
      </c>
      <c r="T19" s="4">
        <f t="shared" si="1"/>
        <v>120000</v>
      </c>
      <c r="V19" s="1">
        <v>4</v>
      </c>
      <c r="W19" s="6">
        <v>1</v>
      </c>
      <c r="X19" s="4">
        <f t="shared" si="2"/>
        <v>60000</v>
      </c>
      <c r="Z19" s="1">
        <v>4</v>
      </c>
      <c r="AA19" s="6">
        <v>1</v>
      </c>
      <c r="AB19" s="4">
        <f t="shared" si="3"/>
        <v>15000</v>
      </c>
      <c r="AD19" s="1">
        <v>4</v>
      </c>
      <c r="AE19" s="6">
        <v>1</v>
      </c>
      <c r="AF19" s="4">
        <f t="shared" si="4"/>
        <v>15000</v>
      </c>
    </row>
    <row r="20" spans="2:32" x14ac:dyDescent="0.25">
      <c r="B20" s="1">
        <v>5</v>
      </c>
      <c r="C20" s="6">
        <v>1</v>
      </c>
      <c r="D20" s="6">
        <v>10000</v>
      </c>
      <c r="E20" s="6"/>
      <c r="F20" s="6"/>
      <c r="G20" s="6"/>
      <c r="I20" s="42"/>
      <c r="J20" s="42">
        <f t="shared" si="5"/>
        <v>28</v>
      </c>
      <c r="K20" s="42"/>
      <c r="L20" s="42"/>
      <c r="M20" s="8"/>
      <c r="N20" s="1">
        <v>5</v>
      </c>
      <c r="O20" s="6">
        <v>15</v>
      </c>
      <c r="P20" s="4">
        <f t="shared" si="0"/>
        <v>225000</v>
      </c>
      <c r="R20" s="1">
        <v>5</v>
      </c>
      <c r="S20" s="6">
        <v>6</v>
      </c>
      <c r="T20" s="4">
        <f t="shared" si="1"/>
        <v>120000</v>
      </c>
      <c r="V20" s="1">
        <v>5</v>
      </c>
      <c r="W20" s="6">
        <v>1</v>
      </c>
      <c r="X20" s="4">
        <f t="shared" si="2"/>
        <v>75000</v>
      </c>
      <c r="Z20" s="1">
        <v>5</v>
      </c>
      <c r="AA20" s="6">
        <v>1</v>
      </c>
      <c r="AB20" s="4">
        <f t="shared" si="3"/>
        <v>15000</v>
      </c>
      <c r="AD20" s="1">
        <v>5</v>
      </c>
      <c r="AE20" s="6">
        <v>1</v>
      </c>
      <c r="AF20" s="4">
        <f t="shared" si="4"/>
        <v>15000</v>
      </c>
    </row>
    <row r="21" spans="2:32" x14ac:dyDescent="0.25">
      <c r="B21" s="1">
        <v>6</v>
      </c>
      <c r="C21" s="6">
        <v>1</v>
      </c>
      <c r="D21" s="6">
        <v>10000</v>
      </c>
      <c r="E21" s="6"/>
      <c r="F21" s="6"/>
      <c r="G21" s="6"/>
      <c r="I21" s="43"/>
      <c r="J21" s="42">
        <f t="shared" si="5"/>
        <v>30</v>
      </c>
      <c r="K21" s="43"/>
      <c r="L21" s="43"/>
      <c r="N21" s="1">
        <v>6</v>
      </c>
      <c r="O21" s="6">
        <v>15</v>
      </c>
      <c r="P21" s="4">
        <f t="shared" si="0"/>
        <v>225000</v>
      </c>
      <c r="R21" s="1">
        <v>6</v>
      </c>
      <c r="S21" s="6">
        <v>6.25</v>
      </c>
      <c r="T21" s="4">
        <f t="shared" si="1"/>
        <v>125000</v>
      </c>
      <c r="V21" s="1">
        <v>6</v>
      </c>
      <c r="W21" s="6">
        <v>1</v>
      </c>
      <c r="X21" s="4">
        <f t="shared" si="2"/>
        <v>90000</v>
      </c>
      <c r="Z21" s="1">
        <v>6</v>
      </c>
      <c r="AA21" s="6">
        <v>1</v>
      </c>
      <c r="AB21" s="4">
        <f t="shared" si="3"/>
        <v>15000</v>
      </c>
      <c r="AD21" s="1">
        <v>6</v>
      </c>
      <c r="AE21" s="6">
        <v>1</v>
      </c>
      <c r="AF21" s="4">
        <f t="shared" si="4"/>
        <v>15000</v>
      </c>
    </row>
    <row r="22" spans="2:32" x14ac:dyDescent="0.25">
      <c r="B22" s="1">
        <v>7</v>
      </c>
      <c r="C22" s="6">
        <v>1</v>
      </c>
      <c r="D22" s="6">
        <v>10000</v>
      </c>
      <c r="E22" s="6"/>
      <c r="F22" s="6"/>
      <c r="G22" s="6"/>
      <c r="I22" s="43"/>
      <c r="J22" s="42">
        <f t="shared" si="5"/>
        <v>32</v>
      </c>
      <c r="K22" s="43"/>
      <c r="L22" s="43"/>
      <c r="N22" s="1">
        <v>7</v>
      </c>
      <c r="O22" s="6">
        <v>16</v>
      </c>
      <c r="P22" s="4">
        <f t="shared" si="0"/>
        <v>240000</v>
      </c>
      <c r="R22" s="1">
        <v>7</v>
      </c>
      <c r="S22" s="6">
        <v>6.5</v>
      </c>
      <c r="T22" s="4">
        <f t="shared" si="1"/>
        <v>130000</v>
      </c>
      <c r="V22" s="1">
        <v>7</v>
      </c>
      <c r="W22" s="6">
        <v>1</v>
      </c>
      <c r="X22" s="4">
        <f t="shared" si="2"/>
        <v>105000</v>
      </c>
      <c r="Z22" s="1">
        <v>7</v>
      </c>
      <c r="AA22" s="6">
        <v>1</v>
      </c>
      <c r="AB22" s="4">
        <f t="shared" si="3"/>
        <v>15000</v>
      </c>
      <c r="AD22" s="1">
        <v>7</v>
      </c>
      <c r="AE22" s="6">
        <v>1</v>
      </c>
      <c r="AF22" s="4">
        <f t="shared" si="4"/>
        <v>15000</v>
      </c>
    </row>
    <row r="23" spans="2:32" x14ac:dyDescent="0.25">
      <c r="B23" s="1">
        <v>8</v>
      </c>
      <c r="C23" s="6">
        <v>1</v>
      </c>
      <c r="D23" s="6">
        <v>10000</v>
      </c>
      <c r="E23" s="6"/>
      <c r="F23" s="6"/>
      <c r="G23" s="6"/>
      <c r="I23" s="43"/>
      <c r="J23" s="42">
        <f t="shared" si="5"/>
        <v>34</v>
      </c>
      <c r="K23" s="43"/>
      <c r="L23" s="43"/>
      <c r="N23" s="1">
        <v>8</v>
      </c>
      <c r="O23" s="6">
        <v>15.275</v>
      </c>
      <c r="P23" s="4">
        <f t="shared" si="0"/>
        <v>229125</v>
      </c>
      <c r="R23" s="1">
        <v>8</v>
      </c>
      <c r="S23" s="6">
        <v>6.25</v>
      </c>
      <c r="T23" s="4">
        <f t="shared" si="1"/>
        <v>125000</v>
      </c>
      <c r="V23" s="1">
        <v>8</v>
      </c>
      <c r="W23" s="6">
        <v>1</v>
      </c>
      <c r="X23" s="4">
        <f t="shared" si="2"/>
        <v>120000</v>
      </c>
      <c r="Z23" s="1">
        <v>8</v>
      </c>
      <c r="AA23" s="6">
        <v>1</v>
      </c>
      <c r="AB23" s="4">
        <f t="shared" si="3"/>
        <v>15000</v>
      </c>
      <c r="AD23" s="1">
        <v>8</v>
      </c>
      <c r="AE23" s="6">
        <v>1</v>
      </c>
      <c r="AF23" s="4">
        <f t="shared" si="4"/>
        <v>15000</v>
      </c>
    </row>
    <row r="24" spans="2:32" x14ac:dyDescent="0.25">
      <c r="B24" s="1">
        <v>9</v>
      </c>
      <c r="C24" s="6">
        <v>1</v>
      </c>
      <c r="D24" s="6">
        <v>10000</v>
      </c>
      <c r="E24" s="6"/>
      <c r="F24" s="6"/>
      <c r="G24" s="6"/>
      <c r="J24" s="42">
        <f t="shared" si="5"/>
        <v>36</v>
      </c>
      <c r="N24" s="1">
        <v>9</v>
      </c>
      <c r="O24" s="6">
        <v>15.275</v>
      </c>
      <c r="P24" s="4">
        <f t="shared" si="0"/>
        <v>229125</v>
      </c>
      <c r="R24" s="1">
        <v>9</v>
      </c>
      <c r="S24" s="6">
        <v>6.25</v>
      </c>
      <c r="T24" s="4">
        <f t="shared" si="1"/>
        <v>125000</v>
      </c>
      <c r="V24" s="1">
        <v>9</v>
      </c>
      <c r="W24" s="6">
        <v>1</v>
      </c>
      <c r="X24" s="4">
        <f t="shared" si="2"/>
        <v>135000</v>
      </c>
      <c r="Z24" s="1">
        <v>9</v>
      </c>
      <c r="AA24" s="6">
        <v>1</v>
      </c>
      <c r="AB24" s="4">
        <f t="shared" si="3"/>
        <v>15000</v>
      </c>
      <c r="AD24" s="1">
        <v>9</v>
      </c>
      <c r="AE24" s="6">
        <v>1</v>
      </c>
      <c r="AF24" s="4">
        <f t="shared" si="4"/>
        <v>15000</v>
      </c>
    </row>
    <row r="25" spans="2:32" x14ac:dyDescent="0.25">
      <c r="B25" s="1">
        <v>10</v>
      </c>
      <c r="C25" s="6">
        <v>1</v>
      </c>
      <c r="D25" s="6">
        <v>10000</v>
      </c>
      <c r="E25" s="6"/>
      <c r="F25" s="6"/>
      <c r="G25" s="6"/>
      <c r="J25" s="42">
        <f t="shared" si="5"/>
        <v>38</v>
      </c>
      <c r="N25" s="1">
        <v>10</v>
      </c>
      <c r="O25" s="6">
        <v>15.275</v>
      </c>
      <c r="P25" s="4">
        <f t="shared" si="0"/>
        <v>229125</v>
      </c>
      <c r="R25" s="1">
        <v>10</v>
      </c>
      <c r="S25" s="6">
        <v>6.25</v>
      </c>
      <c r="T25" s="4">
        <f t="shared" si="1"/>
        <v>125000</v>
      </c>
      <c r="V25" s="1">
        <v>10</v>
      </c>
      <c r="W25" s="6">
        <v>1</v>
      </c>
      <c r="X25" s="4">
        <f t="shared" si="2"/>
        <v>150000</v>
      </c>
      <c r="Z25" s="1">
        <v>10</v>
      </c>
      <c r="AA25" s="6">
        <v>1</v>
      </c>
      <c r="AB25" s="4">
        <f t="shared" si="3"/>
        <v>15000</v>
      </c>
      <c r="AD25" s="1">
        <v>10</v>
      </c>
      <c r="AE25" s="6">
        <v>1</v>
      </c>
      <c r="AF25" s="4">
        <f t="shared" si="4"/>
        <v>15000</v>
      </c>
    </row>
    <row r="26" spans="2:32" x14ac:dyDescent="0.25">
      <c r="B26" s="1">
        <v>11</v>
      </c>
      <c r="C26" s="6">
        <v>1</v>
      </c>
      <c r="D26" s="6">
        <v>10000</v>
      </c>
      <c r="E26" s="6"/>
      <c r="F26" s="6"/>
      <c r="G26" s="6"/>
      <c r="J26" s="42">
        <f t="shared" si="5"/>
        <v>40</v>
      </c>
      <c r="N26" s="1">
        <v>11</v>
      </c>
      <c r="O26" s="6">
        <v>16</v>
      </c>
      <c r="P26" s="4">
        <f t="shared" si="0"/>
        <v>240000</v>
      </c>
      <c r="R26" s="1">
        <v>11</v>
      </c>
      <c r="S26" s="6">
        <v>6.5</v>
      </c>
      <c r="T26" s="4">
        <f t="shared" si="1"/>
        <v>130000</v>
      </c>
      <c r="V26" s="1">
        <v>11</v>
      </c>
      <c r="W26" s="6">
        <v>1</v>
      </c>
      <c r="X26" s="4">
        <f t="shared" si="2"/>
        <v>165000</v>
      </c>
      <c r="Z26" s="1">
        <v>11</v>
      </c>
      <c r="AA26" s="6">
        <v>1</v>
      </c>
      <c r="AB26" s="4">
        <f t="shared" si="3"/>
        <v>15000</v>
      </c>
      <c r="AD26" s="1">
        <v>11</v>
      </c>
      <c r="AE26" s="6">
        <v>1</v>
      </c>
      <c r="AF26" s="4">
        <f t="shared" si="4"/>
        <v>15000</v>
      </c>
    </row>
    <row r="27" spans="2:32" x14ac:dyDescent="0.25">
      <c r="B27" s="1">
        <v>12</v>
      </c>
      <c r="C27" s="6">
        <v>1</v>
      </c>
      <c r="D27" s="6">
        <v>10000</v>
      </c>
      <c r="E27" s="6"/>
      <c r="F27" s="6"/>
      <c r="G27" s="6"/>
      <c r="J27" s="42">
        <f t="shared" si="5"/>
        <v>42</v>
      </c>
      <c r="N27" s="1">
        <v>12</v>
      </c>
      <c r="O27" s="6">
        <v>16</v>
      </c>
      <c r="P27" s="4">
        <f t="shared" si="0"/>
        <v>240000</v>
      </c>
      <c r="R27" s="1">
        <v>12</v>
      </c>
      <c r="S27" s="6">
        <v>6.5</v>
      </c>
      <c r="T27" s="4">
        <f t="shared" si="1"/>
        <v>130000</v>
      </c>
      <c r="V27" s="1">
        <v>12</v>
      </c>
      <c r="W27" s="6">
        <v>1</v>
      </c>
      <c r="X27" s="4">
        <f t="shared" si="2"/>
        <v>180000</v>
      </c>
      <c r="Z27" s="1">
        <v>12</v>
      </c>
      <c r="AA27" s="6">
        <v>1</v>
      </c>
      <c r="AB27" s="4">
        <f t="shared" si="3"/>
        <v>15000</v>
      </c>
      <c r="AD27" s="1">
        <v>12</v>
      </c>
      <c r="AE27" s="6">
        <v>1</v>
      </c>
      <c r="AF27" s="4">
        <f t="shared" si="4"/>
        <v>15000</v>
      </c>
    </row>
    <row r="28" spans="2:32" x14ac:dyDescent="0.25">
      <c r="B28" s="37" t="s">
        <v>10</v>
      </c>
      <c r="C28" s="38"/>
      <c r="D28" s="6">
        <f>SUM(D16:D27)</f>
        <v>120000</v>
      </c>
      <c r="E28" s="38"/>
      <c r="F28" s="38"/>
      <c r="G28" s="39"/>
      <c r="N28" s="14" t="s">
        <v>25</v>
      </c>
      <c r="O28" s="45">
        <f>SUM(O16:O27)</f>
        <v>184.82500000000002</v>
      </c>
      <c r="P28" s="15">
        <f>SUM(P16:P27)</f>
        <v>2772375</v>
      </c>
      <c r="R28" s="14" t="s">
        <v>25</v>
      </c>
      <c r="S28" s="14"/>
      <c r="T28" s="15">
        <f>SUM(T16:T27)</f>
        <v>1505000</v>
      </c>
      <c r="V28" s="14" t="s">
        <v>25</v>
      </c>
      <c r="W28" s="14"/>
      <c r="X28" s="15">
        <f>SUM(X16:X27)</f>
        <v>1170000</v>
      </c>
      <c r="Z28" s="14" t="s">
        <v>25</v>
      </c>
      <c r="AA28" s="14"/>
      <c r="AB28" s="15">
        <f>SUM(AB16:AB27)</f>
        <v>180000</v>
      </c>
      <c r="AD28" s="14" t="s">
        <v>25</v>
      </c>
      <c r="AE28" s="14"/>
      <c r="AF28" s="15">
        <f>SUM(AF16:AF27)</f>
        <v>180000</v>
      </c>
    </row>
    <row r="30" spans="2:32" x14ac:dyDescent="0.25">
      <c r="B30" s="68" t="s">
        <v>94</v>
      </c>
      <c r="C30" s="69"/>
      <c r="D30" s="69"/>
      <c r="E30" s="69"/>
      <c r="F30" s="70"/>
      <c r="G30" s="62">
        <f>MODE(D16:D27)</f>
        <v>10000</v>
      </c>
      <c r="H30" s="63"/>
      <c r="I30" s="29"/>
      <c r="J30" s="29"/>
      <c r="K30" s="29"/>
      <c r="L30" s="29"/>
    </row>
    <row r="31" spans="2:32" x14ac:dyDescent="0.25">
      <c r="B31" s="68" t="s">
        <v>92</v>
      </c>
      <c r="C31" s="69"/>
      <c r="D31" s="69"/>
      <c r="E31" s="69"/>
      <c r="F31" s="70"/>
      <c r="G31" s="60">
        <f>AVERAGE(D16:D27)</f>
        <v>10000</v>
      </c>
      <c r="H31" s="61"/>
      <c r="I31" s="30"/>
      <c r="J31" s="30"/>
      <c r="K31" s="30"/>
      <c r="L31" s="30"/>
    </row>
    <row r="32" spans="2:32" x14ac:dyDescent="0.25">
      <c r="B32" s="68" t="s">
        <v>93</v>
      </c>
      <c r="C32" s="69"/>
      <c r="D32" s="69"/>
      <c r="E32" s="69"/>
      <c r="F32" s="70"/>
      <c r="G32" s="77">
        <f>P28+T28+X28+AB28+AF28</f>
        <v>5807375</v>
      </c>
      <c r="H32" s="77"/>
      <c r="I32" s="44"/>
      <c r="J32" s="44"/>
      <c r="K32" s="44"/>
      <c r="L32" s="44"/>
      <c r="M32" s="16"/>
    </row>
    <row r="33" spans="2:18" x14ac:dyDescent="0.25">
      <c r="E33" s="16"/>
      <c r="G33" s="29"/>
      <c r="H33" s="30"/>
      <c r="I33" s="30"/>
      <c r="J33" s="30"/>
      <c r="K33" s="30"/>
      <c r="L33" s="30"/>
    </row>
    <row r="35" spans="2:18" x14ac:dyDescent="0.25">
      <c r="B35" s="22" t="s">
        <v>2</v>
      </c>
      <c r="C35" s="22" t="s">
        <v>23</v>
      </c>
    </row>
    <row r="36" spans="2:18" x14ac:dyDescent="0.25">
      <c r="B36" s="1">
        <v>1</v>
      </c>
      <c r="C36" s="21">
        <f t="shared" ref="C36:C47" si="6">P16+T16+X16+AB16+AF16</f>
        <v>390000</v>
      </c>
    </row>
    <row r="37" spans="2:18" x14ac:dyDescent="0.25">
      <c r="B37" s="1">
        <v>2</v>
      </c>
      <c r="C37" s="21">
        <f t="shared" si="6"/>
        <v>430000</v>
      </c>
      <c r="P37" s="74" t="s">
        <v>40</v>
      </c>
      <c r="Q37" s="74"/>
    </row>
    <row r="38" spans="2:18" x14ac:dyDescent="0.25">
      <c r="B38" s="1">
        <v>3</v>
      </c>
      <c r="C38" s="21">
        <f t="shared" si="6"/>
        <v>425000</v>
      </c>
      <c r="E38" s="71" t="s">
        <v>26</v>
      </c>
      <c r="F38" s="71"/>
      <c r="G38" s="1">
        <f>COUNT(VENTA)</f>
        <v>12</v>
      </c>
      <c r="H38"/>
      <c r="I38"/>
      <c r="J38"/>
      <c r="K38"/>
      <c r="L38"/>
      <c r="P38" s="74" t="s">
        <v>41</v>
      </c>
      <c r="Q38" s="74"/>
    </row>
    <row r="39" spans="2:18" x14ac:dyDescent="0.25">
      <c r="B39" s="1">
        <v>4</v>
      </c>
      <c r="C39" s="21">
        <f t="shared" si="6"/>
        <v>435000</v>
      </c>
      <c r="E39" s="71" t="s">
        <v>27</v>
      </c>
      <c r="F39" s="71"/>
      <c r="G39" s="24" t="e">
        <f>MAX(VENTA)</f>
        <v>#REF!</v>
      </c>
      <c r="H39"/>
      <c r="I39"/>
      <c r="J39"/>
      <c r="K39"/>
      <c r="L39"/>
      <c r="P39" s="25" t="e">
        <f>G40</f>
        <v>#REF!</v>
      </c>
      <c r="Q39" s="25" t="e">
        <f>G40+G43</f>
        <v>#REF!</v>
      </c>
      <c r="R39" t="s">
        <v>42</v>
      </c>
    </row>
    <row r="40" spans="2:18" x14ac:dyDescent="0.25">
      <c r="B40" s="1">
        <v>5</v>
      </c>
      <c r="C40" s="21">
        <f t="shared" si="6"/>
        <v>450000</v>
      </c>
      <c r="E40" s="1" t="s">
        <v>28</v>
      </c>
      <c r="F40" s="1"/>
      <c r="G40" s="24" t="e">
        <f>MIN(VENTA)</f>
        <v>#REF!</v>
      </c>
      <c r="H40"/>
      <c r="I40"/>
      <c r="J40"/>
      <c r="K40"/>
      <c r="L40"/>
      <c r="P40" s="25" t="e">
        <f>Q39</f>
        <v>#REF!</v>
      </c>
      <c r="Q40" s="25" t="e">
        <f>P40+$G$43</f>
        <v>#REF!</v>
      </c>
    </row>
    <row r="41" spans="2:18" x14ac:dyDescent="0.25">
      <c r="B41" s="1">
        <v>6</v>
      </c>
      <c r="C41" s="21">
        <f t="shared" si="6"/>
        <v>470000</v>
      </c>
      <c r="E41" s="71" t="s">
        <v>29</v>
      </c>
      <c r="F41" s="71"/>
      <c r="G41" s="24" t="e">
        <f>G39-G40</f>
        <v>#REF!</v>
      </c>
      <c r="H41" t="s">
        <v>37</v>
      </c>
      <c r="I41"/>
      <c r="J41"/>
      <c r="K41"/>
      <c r="L41"/>
      <c r="P41" s="25" t="e">
        <f t="shared" ref="P41:P44" si="7">Q40</f>
        <v>#REF!</v>
      </c>
      <c r="Q41" s="25" t="e">
        <f t="shared" ref="Q41:Q44" si="8">P41+$G$43</f>
        <v>#REF!</v>
      </c>
    </row>
    <row r="42" spans="2:18" ht="18" x14ac:dyDescent="0.35">
      <c r="B42" s="1">
        <v>7</v>
      </c>
      <c r="C42" s="21">
        <f t="shared" si="6"/>
        <v>505000</v>
      </c>
      <c r="E42" s="71" t="s">
        <v>30</v>
      </c>
      <c r="F42" s="71"/>
      <c r="G42" s="6">
        <f>ROUND((1+3.222*LOG10(G38)),1)</f>
        <v>4.5</v>
      </c>
      <c r="H42" t="s">
        <v>38</v>
      </c>
      <c r="I42"/>
      <c r="J42"/>
      <c r="K42"/>
      <c r="L42"/>
      <c r="P42" s="25" t="e">
        <f t="shared" si="7"/>
        <v>#REF!</v>
      </c>
      <c r="Q42" s="25" t="e">
        <f t="shared" si="8"/>
        <v>#REF!</v>
      </c>
    </row>
    <row r="43" spans="2:18" x14ac:dyDescent="0.25">
      <c r="B43" s="1">
        <v>8</v>
      </c>
      <c r="C43" s="21">
        <f t="shared" si="6"/>
        <v>504125</v>
      </c>
      <c r="E43" s="71" t="s">
        <v>31</v>
      </c>
      <c r="F43" s="71"/>
      <c r="G43" s="24" t="e">
        <f>G41/G42</f>
        <v>#REF!</v>
      </c>
      <c r="H43" t="s">
        <v>39</v>
      </c>
      <c r="I43"/>
      <c r="J43"/>
      <c r="K43"/>
      <c r="L43"/>
      <c r="P43" s="25" t="e">
        <f t="shared" si="7"/>
        <v>#REF!</v>
      </c>
      <c r="Q43" s="25" t="e">
        <f t="shared" si="8"/>
        <v>#REF!</v>
      </c>
    </row>
    <row r="44" spans="2:18" x14ac:dyDescent="0.25">
      <c r="B44" s="1">
        <v>9</v>
      </c>
      <c r="C44" s="21">
        <f t="shared" si="6"/>
        <v>519125</v>
      </c>
      <c r="E44" s="71" t="s">
        <v>32</v>
      </c>
      <c r="F44" s="71"/>
      <c r="G44" s="24" t="e">
        <f>AVERAGE(VENTA)</f>
        <v>#REF!</v>
      </c>
      <c r="H44"/>
      <c r="I44"/>
      <c r="J44"/>
      <c r="K44"/>
      <c r="L44"/>
      <c r="P44" s="25" t="e">
        <f t="shared" si="7"/>
        <v>#REF!</v>
      </c>
      <c r="Q44" s="25" t="e">
        <f t="shared" si="8"/>
        <v>#REF!</v>
      </c>
    </row>
    <row r="45" spans="2:18" x14ac:dyDescent="0.25">
      <c r="B45" s="1">
        <v>10</v>
      </c>
      <c r="C45" s="21">
        <f t="shared" si="6"/>
        <v>534125</v>
      </c>
      <c r="E45" s="71" t="s">
        <v>33</v>
      </c>
      <c r="F45" s="71"/>
      <c r="G45" s="24" t="e">
        <f>MEDIAN(VENTA)</f>
        <v>#REF!</v>
      </c>
      <c r="H45"/>
      <c r="I45"/>
      <c r="J45"/>
      <c r="K45"/>
      <c r="L45"/>
    </row>
    <row r="46" spans="2:18" x14ac:dyDescent="0.25">
      <c r="B46" s="1">
        <v>11</v>
      </c>
      <c r="C46" s="21">
        <f t="shared" si="6"/>
        <v>565000</v>
      </c>
      <c r="E46" s="64"/>
      <c r="F46" s="64"/>
      <c r="G46" s="28"/>
      <c r="H46"/>
      <c r="I46"/>
      <c r="J46"/>
      <c r="K46"/>
      <c r="L46"/>
    </row>
    <row r="47" spans="2:18" x14ac:dyDescent="0.25">
      <c r="B47" s="1">
        <v>12</v>
      </c>
      <c r="C47" s="21">
        <f t="shared" si="6"/>
        <v>580000</v>
      </c>
    </row>
    <row r="48" spans="2:18" x14ac:dyDescent="0.25">
      <c r="B48" s="1">
        <v>13</v>
      </c>
      <c r="C48" s="21" t="e">
        <f>#REF!+#REF!+#REF!+#REF!+#REF!</f>
        <v>#REF!</v>
      </c>
      <c r="E48" t="s">
        <v>35</v>
      </c>
    </row>
    <row r="49" spans="2:19" x14ac:dyDescent="0.25">
      <c r="B49" s="1">
        <v>14</v>
      </c>
      <c r="C49" s="21" t="e">
        <f>#REF!+#REF!+#REF!+#REF!+#REF!</f>
        <v>#REF!</v>
      </c>
      <c r="E49" t="s">
        <v>36</v>
      </c>
    </row>
    <row r="50" spans="2:19" x14ac:dyDescent="0.25">
      <c r="B50" s="1">
        <v>15</v>
      </c>
      <c r="C50" s="21" t="e">
        <f>#REF!+#REF!+#REF!+#REF!+#REF!</f>
        <v>#REF!</v>
      </c>
    </row>
    <row r="51" spans="2:19" x14ac:dyDescent="0.25">
      <c r="B51" s="1">
        <v>16</v>
      </c>
      <c r="C51" s="21" t="e">
        <f>#REF!+#REF!+#REF!+#REF!+#REF!</f>
        <v>#REF!</v>
      </c>
      <c r="E51" t="s">
        <v>50</v>
      </c>
    </row>
    <row r="52" spans="2:19" x14ac:dyDescent="0.25">
      <c r="B52" s="1">
        <v>17</v>
      </c>
      <c r="C52" s="21" t="e">
        <f>#REF!+#REF!+#REF!+#REF!+#REF!</f>
        <v>#REF!</v>
      </c>
      <c r="E52" s="72" t="s">
        <v>44</v>
      </c>
      <c r="F52" s="72"/>
      <c r="G52" s="72"/>
      <c r="M52" s="73" t="s">
        <v>43</v>
      </c>
      <c r="N52" s="73"/>
      <c r="O52" s="73"/>
      <c r="Q52" s="72" t="s">
        <v>55</v>
      </c>
      <c r="R52" s="72"/>
      <c r="S52" s="72"/>
    </row>
    <row r="53" spans="2:19" x14ac:dyDescent="0.25">
      <c r="B53" s="1">
        <v>18</v>
      </c>
      <c r="C53" s="21" t="e">
        <f>#REF!+#REF!+#REF!+#REF!+#REF!</f>
        <v>#REF!</v>
      </c>
    </row>
    <row r="54" spans="2:19" x14ac:dyDescent="0.25">
      <c r="B54" s="1">
        <v>19</v>
      </c>
      <c r="C54" s="21" t="e">
        <f>#REF!+#REF!+#REF!+#REF!+#REF!</f>
        <v>#REF!</v>
      </c>
      <c r="E54" s="1" t="s">
        <v>45</v>
      </c>
      <c r="F54" s="2">
        <v>0.25</v>
      </c>
      <c r="G54" s="24" t="e">
        <f>QUARTILE(VENTA,1)</f>
        <v>#REF!</v>
      </c>
      <c r="M54" s="1" t="s">
        <v>61</v>
      </c>
      <c r="N54" s="2">
        <v>0.1</v>
      </c>
      <c r="O54" s="26" t="e">
        <f>PERCENTILE(VENTA,0.1)</f>
        <v>#REF!</v>
      </c>
      <c r="Q54" s="1" t="s">
        <v>56</v>
      </c>
      <c r="R54" s="2">
        <v>0.05</v>
      </c>
      <c r="S54" s="26" t="e">
        <f>PERCENTILE(VENTA,0.5)</f>
        <v>#REF!</v>
      </c>
    </row>
    <row r="55" spans="2:19" x14ac:dyDescent="0.25">
      <c r="B55" s="1">
        <v>20</v>
      </c>
      <c r="C55" s="21" t="e">
        <f>#REF!+#REF!+#REF!+#REF!+#REF!</f>
        <v>#REF!</v>
      </c>
      <c r="E55" s="1" t="s">
        <v>46</v>
      </c>
      <c r="F55" s="2">
        <v>0.5</v>
      </c>
      <c r="G55" s="24" t="e">
        <f>QUARTILE(VENTA,2)</f>
        <v>#REF!</v>
      </c>
      <c r="M55" s="1" t="s">
        <v>62</v>
      </c>
      <c r="N55" s="2">
        <v>0.3</v>
      </c>
      <c r="O55" s="26" t="e">
        <f>PERCENTILE(VENTA,0.3)</f>
        <v>#REF!</v>
      </c>
      <c r="Q55" s="1" t="s">
        <v>57</v>
      </c>
      <c r="R55" s="2">
        <v>7.0000000000000007E-2</v>
      </c>
      <c r="S55" s="26" t="e">
        <f>PERCENTILE(VENTA,0.7)</f>
        <v>#REF!</v>
      </c>
    </row>
    <row r="56" spans="2:19" x14ac:dyDescent="0.25">
      <c r="B56" s="1">
        <v>21</v>
      </c>
      <c r="C56" s="21" t="e">
        <f>#REF!+#REF!+#REF!+#REF!+#REF!</f>
        <v>#REF!</v>
      </c>
      <c r="E56" s="1" t="s">
        <v>47</v>
      </c>
      <c r="F56" s="2">
        <v>0.75</v>
      </c>
      <c r="G56" s="24" t="e">
        <f>QUARTILE(VENTA,3)</f>
        <v>#REF!</v>
      </c>
      <c r="M56" s="1" t="s">
        <v>63</v>
      </c>
      <c r="N56" s="2">
        <v>0.5</v>
      </c>
      <c r="O56" s="26" t="e">
        <f>PERCENTILE(VENTA,0.5)</f>
        <v>#REF!</v>
      </c>
      <c r="Q56" s="1" t="s">
        <v>58</v>
      </c>
      <c r="R56" s="2">
        <v>0.45</v>
      </c>
      <c r="S56" s="26" t="e">
        <f>PERCENTILE(VENTA,0.45)</f>
        <v>#REF!</v>
      </c>
    </row>
    <row r="57" spans="2:19" x14ac:dyDescent="0.25">
      <c r="B57" s="1">
        <v>22</v>
      </c>
      <c r="C57" s="21" t="e">
        <f>#REF!+#REF!+#REF!+#REF!+#REF!</f>
        <v>#REF!</v>
      </c>
      <c r="E57" s="1" t="s">
        <v>48</v>
      </c>
      <c r="F57" s="2">
        <v>1</v>
      </c>
      <c r="G57" s="24" t="e">
        <f>QUARTILE(VENTA,4)</f>
        <v>#REF!</v>
      </c>
      <c r="M57" s="1" t="s">
        <v>64</v>
      </c>
      <c r="N57" s="2">
        <v>0.7</v>
      </c>
      <c r="O57" s="26" t="e">
        <f>PERCENTILE(VENTA,0.7)</f>
        <v>#REF!</v>
      </c>
      <c r="Q57" s="1" t="s">
        <v>59</v>
      </c>
      <c r="R57" s="2">
        <v>0.6</v>
      </c>
      <c r="S57" s="26" t="e">
        <f>PERCENTILE(VENTA,0.6)</f>
        <v>#REF!</v>
      </c>
    </row>
    <row r="58" spans="2:19" x14ac:dyDescent="0.25">
      <c r="B58" s="1">
        <v>23</v>
      </c>
      <c r="C58" s="21" t="e">
        <f>#REF!+#REF!+#REF!+#REF!+#REF!</f>
        <v>#REF!</v>
      </c>
      <c r="M58" s="1"/>
      <c r="N58" s="1"/>
      <c r="O58" s="1"/>
    </row>
    <row r="59" spans="2:19" x14ac:dyDescent="0.25">
      <c r="B59" s="1">
        <v>24</v>
      </c>
      <c r="C59" s="21" t="e">
        <f>#REF!+#REF!+#REF!+#REF!+#REF!</f>
        <v>#REF!</v>
      </c>
      <c r="E59" t="s">
        <v>95</v>
      </c>
      <c r="Q59" t="s">
        <v>60</v>
      </c>
    </row>
    <row r="60" spans="2:19" x14ac:dyDescent="0.25">
      <c r="B60" s="1">
        <v>25</v>
      </c>
      <c r="C60" s="21" t="e">
        <f>#REF!+#REF!+#REF!+#REF!+#REF!</f>
        <v>#REF!</v>
      </c>
      <c r="Q60" t="s">
        <v>98</v>
      </c>
    </row>
    <row r="61" spans="2:19" x14ac:dyDescent="0.25">
      <c r="B61" s="1">
        <v>26</v>
      </c>
      <c r="C61" s="21" t="e">
        <f>#REF!+#REF!+#REF!+#REF!+#REF!</f>
        <v>#REF!</v>
      </c>
      <c r="E61" t="s">
        <v>49</v>
      </c>
      <c r="M61" t="s">
        <v>102</v>
      </c>
      <c r="Q61" t="s">
        <v>99</v>
      </c>
    </row>
    <row r="62" spans="2:19" x14ac:dyDescent="0.25">
      <c r="B62" s="1">
        <v>27</v>
      </c>
      <c r="C62" s="21" t="e">
        <f>#REF!+#REF!+#REF!+#REF!+#REF!</f>
        <v>#REF!</v>
      </c>
      <c r="E62" t="s">
        <v>52</v>
      </c>
      <c r="M62" t="s">
        <v>103</v>
      </c>
      <c r="Q62" t="s">
        <v>100</v>
      </c>
    </row>
    <row r="63" spans="2:19" x14ac:dyDescent="0.25">
      <c r="B63" s="1">
        <v>28</v>
      </c>
      <c r="C63" s="21" t="e">
        <f>#REF!+#REF!+#REF!+#REF!+#REF!</f>
        <v>#REF!</v>
      </c>
      <c r="E63" t="s">
        <v>53</v>
      </c>
      <c r="M63" t="s">
        <v>104</v>
      </c>
    </row>
    <row r="64" spans="2:19" x14ac:dyDescent="0.25">
      <c r="B64" s="1">
        <v>29</v>
      </c>
      <c r="C64" s="21" t="e">
        <f>#REF!+#REF!+#REF!+#REF!+#REF!</f>
        <v>#REF!</v>
      </c>
      <c r="E64" t="s">
        <v>54</v>
      </c>
      <c r="M64" t="s">
        <v>105</v>
      </c>
    </row>
    <row r="65" spans="2:7" x14ac:dyDescent="0.25">
      <c r="B65" s="1">
        <v>30</v>
      </c>
      <c r="C65" s="21" t="e">
        <f>#REF!+#REF!+#REF!+#REF!+#REF!</f>
        <v>#REF!</v>
      </c>
    </row>
    <row r="66" spans="2:7" x14ac:dyDescent="0.25">
      <c r="B66" s="1" t="s">
        <v>24</v>
      </c>
      <c r="C66" s="21" t="e">
        <f>SUM(C36:C65)</f>
        <v>#REF!</v>
      </c>
    </row>
    <row r="67" spans="2:7" x14ac:dyDescent="0.25">
      <c r="E67" t="s">
        <v>2</v>
      </c>
      <c r="F67" t="s">
        <v>23</v>
      </c>
    </row>
    <row r="68" spans="2:7" x14ac:dyDescent="0.25">
      <c r="E68">
        <v>1</v>
      </c>
      <c r="F68" s="23">
        <v>390000</v>
      </c>
      <c r="G68" t="s">
        <v>51</v>
      </c>
    </row>
    <row r="69" spans="2:7" x14ac:dyDescent="0.25">
      <c r="E69">
        <v>2</v>
      </c>
      <c r="F69" s="23">
        <v>425000</v>
      </c>
    </row>
    <row r="70" spans="2:7" x14ac:dyDescent="0.25">
      <c r="E70">
        <v>3</v>
      </c>
      <c r="F70" s="23">
        <v>430000</v>
      </c>
    </row>
    <row r="71" spans="2:7" x14ac:dyDescent="0.25">
      <c r="E71">
        <v>4</v>
      </c>
      <c r="F71" s="23">
        <v>435000</v>
      </c>
    </row>
    <row r="72" spans="2:7" x14ac:dyDescent="0.25">
      <c r="E72">
        <v>5</v>
      </c>
      <c r="F72" s="23">
        <v>450000</v>
      </c>
    </row>
    <row r="73" spans="2:7" x14ac:dyDescent="0.25">
      <c r="E73">
        <v>6</v>
      </c>
      <c r="F73" s="23">
        <v>470000</v>
      </c>
    </row>
    <row r="74" spans="2:7" x14ac:dyDescent="0.25">
      <c r="E74">
        <v>7</v>
      </c>
      <c r="F74" s="23">
        <v>504125</v>
      </c>
    </row>
    <row r="75" spans="2:7" x14ac:dyDescent="0.25">
      <c r="E75">
        <v>8</v>
      </c>
      <c r="F75" s="23">
        <v>505000</v>
      </c>
    </row>
    <row r="76" spans="2:7" x14ac:dyDescent="0.25">
      <c r="E76">
        <v>9</v>
      </c>
      <c r="F76" s="23">
        <v>519125</v>
      </c>
    </row>
    <row r="77" spans="2:7" x14ac:dyDescent="0.25">
      <c r="E77">
        <v>10</v>
      </c>
      <c r="F77" s="23">
        <v>534125</v>
      </c>
    </row>
    <row r="78" spans="2:7" x14ac:dyDescent="0.25">
      <c r="E78">
        <v>11</v>
      </c>
      <c r="F78" s="23">
        <v>565000</v>
      </c>
    </row>
    <row r="79" spans="2:7" x14ac:dyDescent="0.25">
      <c r="E79">
        <v>12</v>
      </c>
      <c r="F79" s="23">
        <v>580000</v>
      </c>
    </row>
    <row r="80" spans="2:7" x14ac:dyDescent="0.25">
      <c r="E80">
        <v>13</v>
      </c>
      <c r="F80" s="23">
        <v>595000</v>
      </c>
    </row>
    <row r="81" spans="5:6" x14ac:dyDescent="0.25">
      <c r="E81">
        <v>14</v>
      </c>
      <c r="F81" s="23">
        <v>600000</v>
      </c>
    </row>
    <row r="82" spans="5:6" x14ac:dyDescent="0.25">
      <c r="E82">
        <v>15</v>
      </c>
      <c r="F82" s="23">
        <v>610000</v>
      </c>
    </row>
    <row r="83" spans="5:6" x14ac:dyDescent="0.25">
      <c r="E83">
        <v>16</v>
      </c>
      <c r="F83" s="23">
        <v>645000</v>
      </c>
    </row>
    <row r="84" spans="5:6" x14ac:dyDescent="0.25">
      <c r="E84">
        <v>17</v>
      </c>
      <c r="F84" s="23">
        <v>654960</v>
      </c>
    </row>
    <row r="85" spans="5:6" x14ac:dyDescent="0.25">
      <c r="E85">
        <v>18</v>
      </c>
      <c r="F85" s="23">
        <v>684125</v>
      </c>
    </row>
    <row r="86" spans="5:6" x14ac:dyDescent="0.25">
      <c r="E86">
        <v>19</v>
      </c>
      <c r="F86" s="23">
        <v>715000</v>
      </c>
    </row>
    <row r="87" spans="5:6" x14ac:dyDescent="0.25">
      <c r="E87">
        <v>20</v>
      </c>
      <c r="F87" s="23">
        <v>720000</v>
      </c>
    </row>
    <row r="88" spans="5:6" x14ac:dyDescent="0.25">
      <c r="E88">
        <v>21</v>
      </c>
      <c r="F88" s="23">
        <v>735000</v>
      </c>
    </row>
    <row r="89" spans="5:6" x14ac:dyDescent="0.25">
      <c r="E89">
        <v>22</v>
      </c>
      <c r="F89" s="23">
        <v>740000</v>
      </c>
    </row>
    <row r="90" spans="5:6" x14ac:dyDescent="0.25">
      <c r="E90">
        <v>23</v>
      </c>
      <c r="F90" s="23">
        <v>774125</v>
      </c>
    </row>
    <row r="91" spans="5:6" x14ac:dyDescent="0.25">
      <c r="E91">
        <v>24</v>
      </c>
      <c r="F91" s="23">
        <v>780000</v>
      </c>
    </row>
    <row r="92" spans="5:6" x14ac:dyDescent="0.25">
      <c r="E92">
        <v>25</v>
      </c>
      <c r="F92" s="23">
        <v>789125</v>
      </c>
    </row>
    <row r="93" spans="5:6" x14ac:dyDescent="0.25">
      <c r="E93">
        <v>26</v>
      </c>
      <c r="F93" s="23">
        <v>790000</v>
      </c>
    </row>
    <row r="94" spans="5:6" x14ac:dyDescent="0.25">
      <c r="E94">
        <v>27</v>
      </c>
      <c r="F94" s="23">
        <v>795000</v>
      </c>
    </row>
    <row r="95" spans="5:6" x14ac:dyDescent="0.25">
      <c r="E95">
        <v>28</v>
      </c>
      <c r="F95" s="23">
        <v>810000</v>
      </c>
    </row>
    <row r="96" spans="5:6" x14ac:dyDescent="0.25">
      <c r="E96">
        <v>29</v>
      </c>
      <c r="F96" s="23">
        <v>820000</v>
      </c>
    </row>
    <row r="97" spans="5:6" x14ac:dyDescent="0.25">
      <c r="E97">
        <v>30</v>
      </c>
      <c r="F97" s="23">
        <v>875000</v>
      </c>
    </row>
  </sheetData>
  <mergeCells count="26">
    <mergeCell ref="E52:G52"/>
    <mergeCell ref="M52:O52"/>
    <mergeCell ref="Q52:S52"/>
    <mergeCell ref="E41:F41"/>
    <mergeCell ref="E42:F42"/>
    <mergeCell ref="E43:F43"/>
    <mergeCell ref="E44:F44"/>
    <mergeCell ref="E45:F45"/>
    <mergeCell ref="E46:F46"/>
    <mergeCell ref="E39:F39"/>
    <mergeCell ref="AD14:AF14"/>
    <mergeCell ref="B30:F30"/>
    <mergeCell ref="G30:H30"/>
    <mergeCell ref="B31:F31"/>
    <mergeCell ref="G31:H31"/>
    <mergeCell ref="Z14:AB14"/>
    <mergeCell ref="B32:F32"/>
    <mergeCell ref="G32:H32"/>
    <mergeCell ref="P37:Q37"/>
    <mergeCell ref="E38:F38"/>
    <mergeCell ref="P38:Q38"/>
    <mergeCell ref="H9:P9"/>
    <mergeCell ref="B14:H14"/>
    <mergeCell ref="N14:P14"/>
    <mergeCell ref="R14:T14"/>
    <mergeCell ref="V14:X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0B53-1B8D-4C10-8564-E9876A9FE6D0}">
  <dimension ref="A1:C7"/>
  <sheetViews>
    <sheetView workbookViewId="0">
      <selection activeCell="O13" sqref="O13"/>
    </sheetView>
  </sheetViews>
  <sheetFormatPr baseColWidth="10" defaultRowHeight="15" x14ac:dyDescent="0.25"/>
  <sheetData>
    <row r="1" spans="1:3" x14ac:dyDescent="0.25">
      <c r="A1" s="47" t="s">
        <v>108</v>
      </c>
      <c r="B1" s="47" t="s">
        <v>110</v>
      </c>
      <c r="C1" s="47" t="s">
        <v>111</v>
      </c>
    </row>
    <row r="2" spans="1:3" x14ac:dyDescent="0.25">
      <c r="A2">
        <v>390000</v>
      </c>
      <c r="B2">
        <v>1</v>
      </c>
      <c r="C2" s="48">
        <v>3.3333333333333333E-2</v>
      </c>
    </row>
    <row r="3" spans="1:3" x14ac:dyDescent="0.25">
      <c r="A3">
        <v>487000</v>
      </c>
      <c r="B3">
        <v>5</v>
      </c>
      <c r="C3" s="48">
        <v>0.2</v>
      </c>
    </row>
    <row r="4" spans="1:3" x14ac:dyDescent="0.25">
      <c r="A4">
        <v>584000</v>
      </c>
      <c r="B4">
        <v>6</v>
      </c>
      <c r="C4" s="48">
        <v>0.4</v>
      </c>
    </row>
    <row r="5" spans="1:3" x14ac:dyDescent="0.25">
      <c r="A5">
        <v>681000</v>
      </c>
      <c r="B5">
        <v>5</v>
      </c>
      <c r="C5" s="48">
        <v>0.56666666666666665</v>
      </c>
    </row>
    <row r="6" spans="1:3" x14ac:dyDescent="0.25">
      <c r="A6">
        <v>778000</v>
      </c>
      <c r="B6">
        <v>6</v>
      </c>
      <c r="C6" s="48">
        <v>0.76666666666666672</v>
      </c>
    </row>
    <row r="7" spans="1:3" ht="15.75" thickBot="1" x14ac:dyDescent="0.3">
      <c r="A7" s="46" t="s">
        <v>109</v>
      </c>
      <c r="B7" s="46">
        <v>7</v>
      </c>
      <c r="C7" s="49">
        <v>1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F0D4-24C9-4932-A12D-15557E86B616}">
  <dimension ref="B1:F33"/>
  <sheetViews>
    <sheetView workbookViewId="0">
      <selection activeCell="C3" sqref="C3"/>
    </sheetView>
  </sheetViews>
  <sheetFormatPr baseColWidth="10" defaultRowHeight="15" x14ac:dyDescent="0.25"/>
  <sheetData>
    <row r="1" spans="2:6" ht="15.75" thickBot="1" x14ac:dyDescent="0.3"/>
    <row r="2" spans="2:6" x14ac:dyDescent="0.25">
      <c r="B2" s="1" t="str">
        <f>Ventas!B53</f>
        <v>DIA</v>
      </c>
      <c r="C2" s="1" t="str">
        <f>Ventas!C53</f>
        <v>VENTAS</v>
      </c>
      <c r="E2" s="47" t="s">
        <v>108</v>
      </c>
      <c r="F2" s="47" t="s">
        <v>110</v>
      </c>
    </row>
    <row r="3" spans="2:6" x14ac:dyDescent="0.25">
      <c r="B3" s="1">
        <f>Ventas!B54</f>
        <v>1</v>
      </c>
      <c r="C3" s="1">
        <f>Ventas!C54</f>
        <v>729960</v>
      </c>
      <c r="E3">
        <v>390000</v>
      </c>
      <c r="F3">
        <v>1</v>
      </c>
    </row>
    <row r="4" spans="2:6" x14ac:dyDescent="0.25">
      <c r="B4" s="1">
        <f>Ventas!B55</f>
        <v>2</v>
      </c>
      <c r="C4" s="1">
        <f>Ventas!C55</f>
        <v>708290</v>
      </c>
      <c r="E4">
        <v>487000</v>
      </c>
      <c r="F4">
        <v>5</v>
      </c>
    </row>
    <row r="5" spans="2:6" x14ac:dyDescent="0.25">
      <c r="B5" s="1">
        <f>Ventas!B56</f>
        <v>3</v>
      </c>
      <c r="C5" s="1">
        <f>Ventas!C56</f>
        <v>428375</v>
      </c>
      <c r="E5">
        <v>584000</v>
      </c>
      <c r="F5">
        <v>6</v>
      </c>
    </row>
    <row r="6" spans="2:6" x14ac:dyDescent="0.25">
      <c r="B6" s="1">
        <f>Ventas!B57</f>
        <v>4</v>
      </c>
      <c r="C6" s="1">
        <f>Ventas!C57</f>
        <v>428040</v>
      </c>
      <c r="E6">
        <v>681000</v>
      </c>
      <c r="F6">
        <v>5</v>
      </c>
    </row>
    <row r="7" spans="2:6" x14ac:dyDescent="0.25">
      <c r="B7" s="1">
        <f>Ventas!B58</f>
        <v>5</v>
      </c>
      <c r="C7" s="1">
        <f>Ventas!C58</f>
        <v>443040</v>
      </c>
      <c r="E7">
        <v>778000</v>
      </c>
      <c r="F7">
        <v>6</v>
      </c>
    </row>
    <row r="8" spans="2:6" ht="15.75" thickBot="1" x14ac:dyDescent="0.3">
      <c r="B8" s="1">
        <f>Ventas!B59</f>
        <v>6</v>
      </c>
      <c r="C8" s="1">
        <f>Ventas!C59</f>
        <v>473375</v>
      </c>
      <c r="E8" s="46" t="s">
        <v>109</v>
      </c>
      <c r="F8" s="46">
        <v>7</v>
      </c>
    </row>
    <row r="9" spans="2:6" x14ac:dyDescent="0.25">
      <c r="B9" s="1">
        <f>Ventas!B60</f>
        <v>7</v>
      </c>
      <c r="C9" s="1">
        <f>Ventas!C60</f>
        <v>503710</v>
      </c>
    </row>
    <row r="10" spans="2:6" x14ac:dyDescent="0.25">
      <c r="B10" s="1">
        <f>Ventas!B61</f>
        <v>8</v>
      </c>
      <c r="C10" s="1">
        <f>Ventas!C61</f>
        <v>567875</v>
      </c>
    </row>
    <row r="11" spans="2:6" x14ac:dyDescent="0.25">
      <c r="B11" s="1">
        <f>Ventas!B62</f>
        <v>9</v>
      </c>
      <c r="C11" s="1">
        <f>Ventas!C62</f>
        <v>518375</v>
      </c>
    </row>
    <row r="12" spans="2:6" x14ac:dyDescent="0.25">
      <c r="B12" s="1">
        <f>Ventas!B63</f>
        <v>10</v>
      </c>
      <c r="C12" s="1">
        <f>Ventas!C63</f>
        <v>533375</v>
      </c>
    </row>
    <row r="13" spans="2:6" x14ac:dyDescent="0.25">
      <c r="B13" s="1">
        <f>Ventas!B64</f>
        <v>11</v>
      </c>
      <c r="C13" s="1">
        <f>Ventas!C64</f>
        <v>687790</v>
      </c>
    </row>
    <row r="14" spans="2:6" x14ac:dyDescent="0.25">
      <c r="B14" s="1">
        <f>Ventas!B65</f>
        <v>12</v>
      </c>
      <c r="C14" s="1">
        <f>Ventas!C65</f>
        <v>578710</v>
      </c>
    </row>
    <row r="15" spans="2:6" x14ac:dyDescent="0.25">
      <c r="B15" s="1">
        <f>Ventas!B66</f>
        <v>13</v>
      </c>
      <c r="C15" s="1">
        <f>Ventas!C66</f>
        <v>758290</v>
      </c>
    </row>
    <row r="16" spans="2:6" x14ac:dyDescent="0.25">
      <c r="B16" s="1">
        <f>Ventas!B67</f>
        <v>14</v>
      </c>
      <c r="C16" s="1">
        <f>Ventas!C67</f>
        <v>702790</v>
      </c>
    </row>
    <row r="17" spans="2:3" x14ac:dyDescent="0.25">
      <c r="B17" s="1">
        <f>Ventas!B68</f>
        <v>15</v>
      </c>
      <c r="C17" s="1">
        <f>Ventas!C68</f>
        <v>593040</v>
      </c>
    </row>
    <row r="18" spans="2:3" x14ac:dyDescent="0.25">
      <c r="B18" s="1">
        <f>Ventas!B69</f>
        <v>16</v>
      </c>
      <c r="C18" s="1">
        <f>Ventas!C69</f>
        <v>654045</v>
      </c>
    </row>
    <row r="19" spans="2:3" x14ac:dyDescent="0.25">
      <c r="B19" s="1">
        <f>Ventas!B70</f>
        <v>17</v>
      </c>
      <c r="C19" s="1">
        <f>Ventas!C70</f>
        <v>715050</v>
      </c>
    </row>
    <row r="20" spans="2:3" x14ac:dyDescent="0.25">
      <c r="B20" s="1">
        <f>Ventas!B71</f>
        <v>18</v>
      </c>
      <c r="C20" s="1">
        <f>Ventas!C71</f>
        <v>807450</v>
      </c>
    </row>
    <row r="21" spans="2:3" x14ac:dyDescent="0.25">
      <c r="B21" s="1">
        <f>Ventas!B72</f>
        <v>19</v>
      </c>
      <c r="C21" s="1">
        <f>Ventas!C72</f>
        <v>653040</v>
      </c>
    </row>
    <row r="22" spans="2:3" x14ac:dyDescent="0.25">
      <c r="B22" s="1">
        <f>Ventas!B73</f>
        <v>20</v>
      </c>
      <c r="C22" s="1">
        <f>Ventas!C73</f>
        <v>683375</v>
      </c>
    </row>
    <row r="23" spans="2:3" x14ac:dyDescent="0.25">
      <c r="B23" s="1">
        <f>Ventas!B74</f>
        <v>21</v>
      </c>
      <c r="C23" s="1">
        <f>Ventas!C74</f>
        <v>799210</v>
      </c>
    </row>
    <row r="24" spans="2:3" x14ac:dyDescent="0.25">
      <c r="B24" s="1">
        <f>Ventas!B75</f>
        <v>22</v>
      </c>
      <c r="C24" s="1">
        <f>Ventas!C75</f>
        <v>790050</v>
      </c>
    </row>
    <row r="25" spans="2:3" x14ac:dyDescent="0.25">
      <c r="B25" s="1">
        <f>Ventas!B76</f>
        <v>23</v>
      </c>
      <c r="C25" s="1">
        <f>Ventas!C76</f>
        <v>943930</v>
      </c>
    </row>
    <row r="26" spans="2:3" x14ac:dyDescent="0.25">
      <c r="B26" s="1">
        <f>Ventas!B77</f>
        <v>24</v>
      </c>
      <c r="C26" s="1">
        <f>Ventas!C77</f>
        <v>867875</v>
      </c>
    </row>
    <row r="27" spans="2:3" x14ac:dyDescent="0.25">
      <c r="B27" s="1">
        <f>Ventas!B78</f>
        <v>25</v>
      </c>
      <c r="C27" s="1">
        <f>Ventas!C78</f>
        <v>852705</v>
      </c>
    </row>
    <row r="28" spans="2:3" x14ac:dyDescent="0.25">
      <c r="B28" s="1">
        <f>Ventas!B79</f>
        <v>26</v>
      </c>
      <c r="C28" s="1">
        <f>Ventas!C79</f>
        <v>902875</v>
      </c>
    </row>
    <row r="29" spans="2:3" x14ac:dyDescent="0.25">
      <c r="B29" s="1">
        <f>Ventas!B80</f>
        <v>27</v>
      </c>
      <c r="C29" s="1">
        <f>Ventas!C80</f>
        <v>788375</v>
      </c>
    </row>
    <row r="30" spans="2:3" x14ac:dyDescent="0.25">
      <c r="B30" s="1">
        <f>Ventas!B81</f>
        <v>28</v>
      </c>
      <c r="C30" s="1">
        <f>Ventas!C81</f>
        <v>818710</v>
      </c>
    </row>
    <row r="31" spans="2:3" x14ac:dyDescent="0.25">
      <c r="B31" s="1">
        <f>Ventas!B82</f>
        <v>29</v>
      </c>
      <c r="C31" s="1">
        <f>Ventas!C82</f>
        <v>803040</v>
      </c>
    </row>
    <row r="32" spans="2:3" x14ac:dyDescent="0.25">
      <c r="B32" s="1">
        <f>Ventas!B83</f>
        <v>30</v>
      </c>
      <c r="C32" s="1">
        <f>Ventas!C83</f>
        <v>879380</v>
      </c>
    </row>
    <row r="33" spans="2:3" x14ac:dyDescent="0.25">
      <c r="B33" s="1" t="str">
        <f>Ventas!B84</f>
        <v>Ventas del mes</v>
      </c>
      <c r="C33" s="1">
        <f>Ventas!C84</f>
        <v>20614145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Hoja1</vt:lpstr>
      <vt:lpstr>Ventas</vt:lpstr>
      <vt:lpstr>análisis2</vt:lpstr>
      <vt:lpstr>Anális</vt:lpstr>
      <vt:lpstr>Ventas (2)</vt:lpstr>
      <vt:lpstr>h2</vt:lpstr>
      <vt:lpstr>Hoja2</vt:lpstr>
      <vt:lpstr>'Ventas (2)'!VENTA</vt:lpstr>
      <vt:lpstr>VENTA</vt:lpstr>
      <vt:lpstr>VENTA2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jd teatin</cp:lastModifiedBy>
  <dcterms:created xsi:type="dcterms:W3CDTF">2020-09-17T13:02:03Z</dcterms:created>
  <dcterms:modified xsi:type="dcterms:W3CDTF">2025-10-27T15:49:35Z</dcterms:modified>
</cp:coreProperties>
</file>