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53B464D-2807-4A0D-A422-37DBBAE079DF}" xr6:coauthVersionLast="47" xr6:coauthVersionMax="47" xr10:uidLastSave="{00000000-0000-0000-0000-000000000000}"/>
  <bookViews>
    <workbookView xWindow="-120" yWindow="-120" windowWidth="29040" windowHeight="15840" tabRatio="923" activeTab="5" xr2:uid="{00000000-000D-0000-FFFF-FFFF00000000}"/>
  </bookViews>
  <sheets>
    <sheet name="02.1 .Block In-out" sheetId="1" r:id="rId1"/>
    <sheet name="02.2 .Block Saw-22" sheetId="2" r:id="rId2"/>
    <sheet name="02.3. Carved Slab-22" sheetId="3" r:id="rId3"/>
    <sheet name="02.4.Polished.22" sheetId="4" r:id="rId4"/>
    <sheet name="02.5.Cut to Size-22" sheetId="5" r:id="rId5"/>
    <sheet name="02.6.SAND BLAST-22" sheetId="7" r:id="rId6"/>
    <sheet name="SUM TOTAL STOCK" sheetId="6" r:id="rId7"/>
  </sheets>
  <externalReferences>
    <externalReference r:id="rId8"/>
  </externalReferences>
  <definedNames>
    <definedName name="_xlnm._FilterDatabase" localSheetId="0" hidden="1">'02.1 .Block In-out'!$A$54:$T$461</definedName>
    <definedName name="_xlnm._FilterDatabase" localSheetId="1" hidden="1">'02.2 .Block Saw-22'!$A$68:$N$94</definedName>
    <definedName name="_xlnm._FilterDatabase" localSheetId="2" hidden="1">'02.3. Carved Slab-22'!$A$57:$T$133</definedName>
    <definedName name="_xlnm._FilterDatabase" localSheetId="3" hidden="1">'02.4.Polished.22'!$A$48:$AF$64</definedName>
    <definedName name="_xlnm._FilterDatabase" localSheetId="4" hidden="1">'02.5.Cut to Size-22'!$A$93:$P$123</definedName>
    <definedName name="_xlnm._FilterDatabase" localSheetId="5" hidden="1">'02.6.SAND BLAST-22'!$A$41:$N$183</definedName>
    <definedName name="_xlnm.Print_Area" localSheetId="0">'02.1 .Block In-out'!$A$1:$O$460</definedName>
    <definedName name="_xlnm.Print_Area" localSheetId="2">'02.3. Carved Slab-22'!$A$1:$P$134</definedName>
    <definedName name="_xlnm.Print_Area" localSheetId="3">'02.4.Polished.22'!$A$48:$Q$64</definedName>
    <definedName name="_xlnm.Print_Area" localSheetId="4">'02.5.Cut to Size-22'!$A$93:$M$123</definedName>
    <definedName name="_xlnm.Print_Area" localSheetId="6">'SUM TOTAL STOCK'!$A$1:$L$53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7" l="1"/>
  <c r="D39" i="7"/>
  <c r="E39" i="7"/>
  <c r="F39" i="7"/>
  <c r="G39" i="7"/>
  <c r="H39" i="7"/>
  <c r="I39" i="7"/>
  <c r="C38" i="7"/>
  <c r="D38" i="7"/>
  <c r="E38" i="7"/>
  <c r="F38" i="7"/>
  <c r="G38" i="7"/>
  <c r="H38" i="7"/>
  <c r="I38" i="7"/>
  <c r="B39" i="7"/>
  <c r="B38" i="7"/>
  <c r="B36" i="7"/>
  <c r="B35" i="7"/>
  <c r="C33" i="7"/>
  <c r="D33" i="7"/>
  <c r="E33" i="7"/>
  <c r="F33" i="7"/>
  <c r="G33" i="7"/>
  <c r="H33" i="7"/>
  <c r="I33" i="7"/>
  <c r="C32" i="7"/>
  <c r="D32" i="7"/>
  <c r="E32" i="7"/>
  <c r="F32" i="7"/>
  <c r="G32" i="7"/>
  <c r="H32" i="7"/>
  <c r="I32" i="7"/>
  <c r="C30" i="7"/>
  <c r="D30" i="7"/>
  <c r="E30" i="7"/>
  <c r="F30" i="7"/>
  <c r="G30" i="7"/>
  <c r="H30" i="7"/>
  <c r="I30" i="7"/>
  <c r="C29" i="7"/>
  <c r="D29" i="7"/>
  <c r="F29" i="7"/>
  <c r="I29" i="7"/>
  <c r="B33" i="7"/>
  <c r="B30" i="7"/>
  <c r="B29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O24" i="3"/>
  <c r="O23" i="3"/>
  <c r="O22" i="3"/>
  <c r="O21" i="3"/>
  <c r="M48" i="3"/>
  <c r="M46" i="3"/>
  <c r="C25" i="3"/>
  <c r="D25" i="3"/>
  <c r="E25" i="3"/>
  <c r="F25" i="3"/>
  <c r="G25" i="3"/>
  <c r="H25" i="3"/>
  <c r="I25" i="3"/>
  <c r="C24" i="3"/>
  <c r="D24" i="3"/>
  <c r="E24" i="3"/>
  <c r="F24" i="3"/>
  <c r="G24" i="3"/>
  <c r="H24" i="3"/>
  <c r="I24" i="3"/>
  <c r="C23" i="3"/>
  <c r="D23" i="3"/>
  <c r="E23" i="3"/>
  <c r="F23" i="3"/>
  <c r="G23" i="3"/>
  <c r="H23" i="3"/>
  <c r="I23" i="3"/>
  <c r="C22" i="3"/>
  <c r="D22" i="3"/>
  <c r="E22" i="3"/>
  <c r="F22" i="3"/>
  <c r="G22" i="3"/>
  <c r="H22" i="3"/>
  <c r="I22" i="3"/>
  <c r="B25" i="3"/>
  <c r="B24" i="3"/>
  <c r="B23" i="3"/>
  <c r="B22" i="3"/>
  <c r="C20" i="3"/>
  <c r="D20" i="3"/>
  <c r="E20" i="3"/>
  <c r="F20" i="3"/>
  <c r="G20" i="3"/>
  <c r="H20" i="3"/>
  <c r="I20" i="3"/>
  <c r="C19" i="3"/>
  <c r="D19" i="3"/>
  <c r="E19" i="3"/>
  <c r="F19" i="3"/>
  <c r="G19" i="3"/>
  <c r="H19" i="3"/>
  <c r="I19" i="3"/>
  <c r="C18" i="3"/>
  <c r="D18" i="3"/>
  <c r="E18" i="3"/>
  <c r="F18" i="3"/>
  <c r="G18" i="3"/>
  <c r="H18" i="3"/>
  <c r="I18" i="3"/>
  <c r="C17" i="3"/>
  <c r="D17" i="3"/>
  <c r="E17" i="3"/>
  <c r="F17" i="3"/>
  <c r="G17" i="3"/>
  <c r="H17" i="3"/>
  <c r="I17" i="3"/>
  <c r="B20" i="3"/>
  <c r="B19" i="3"/>
  <c r="B18" i="3"/>
  <c r="B17" i="3"/>
  <c r="D31" i="1"/>
  <c r="G31" i="1"/>
  <c r="H31" i="1"/>
  <c r="J31" i="1"/>
  <c r="D30" i="1"/>
  <c r="E30" i="1"/>
  <c r="F30" i="1"/>
  <c r="G30" i="1"/>
  <c r="H30" i="1"/>
  <c r="I30" i="1"/>
  <c r="J30" i="1"/>
  <c r="D29" i="1"/>
  <c r="E29" i="1"/>
  <c r="F29" i="1"/>
  <c r="G29" i="1"/>
  <c r="H29" i="1"/>
  <c r="I29" i="1"/>
  <c r="J29" i="1"/>
  <c r="D28" i="1"/>
  <c r="E28" i="1"/>
  <c r="F28" i="1"/>
  <c r="G28" i="1"/>
  <c r="H28" i="1"/>
  <c r="I28" i="1"/>
  <c r="J28" i="1"/>
  <c r="C31" i="1"/>
  <c r="C30" i="1"/>
  <c r="C29" i="1"/>
  <c r="C28" i="1"/>
  <c r="C17" i="7"/>
  <c r="D17" i="7"/>
  <c r="E17" i="7"/>
  <c r="F17" i="7"/>
  <c r="G17" i="7"/>
  <c r="H17" i="7"/>
  <c r="I17" i="7"/>
  <c r="C16" i="7"/>
  <c r="D16" i="7"/>
  <c r="E16" i="7"/>
  <c r="F16" i="7"/>
  <c r="G16" i="7"/>
  <c r="H16" i="7"/>
  <c r="I16" i="7"/>
  <c r="B17" i="7"/>
  <c r="C14" i="7"/>
  <c r="D14" i="7"/>
  <c r="E14" i="7"/>
  <c r="F14" i="7"/>
  <c r="G14" i="7"/>
  <c r="H14" i="7"/>
  <c r="I14" i="7"/>
  <c r="C13" i="7"/>
  <c r="D13" i="7"/>
  <c r="I13" i="7"/>
  <c r="B14" i="7"/>
  <c r="B13" i="7"/>
  <c r="C20" i="5"/>
  <c r="E20" i="5"/>
  <c r="F20" i="5"/>
  <c r="G20" i="5"/>
  <c r="H20" i="5"/>
  <c r="I20" i="5"/>
  <c r="C19" i="5"/>
  <c r="D19" i="5"/>
  <c r="E19" i="5"/>
  <c r="F19" i="5"/>
  <c r="G19" i="5"/>
  <c r="H19" i="5"/>
  <c r="I19" i="5"/>
  <c r="C18" i="5"/>
  <c r="D18" i="5"/>
  <c r="E18" i="5"/>
  <c r="F18" i="5"/>
  <c r="G18" i="5"/>
  <c r="H18" i="5"/>
  <c r="I18" i="5"/>
  <c r="C17" i="5"/>
  <c r="D17" i="5"/>
  <c r="E17" i="5"/>
  <c r="F17" i="5"/>
  <c r="G17" i="5"/>
  <c r="H17" i="5"/>
  <c r="I17" i="5"/>
  <c r="C16" i="5"/>
  <c r="D16" i="5"/>
  <c r="E16" i="5"/>
  <c r="F16" i="5"/>
  <c r="G16" i="5"/>
  <c r="H16" i="5"/>
  <c r="I16" i="5"/>
  <c r="C15" i="5"/>
  <c r="D15" i="5"/>
  <c r="E15" i="5"/>
  <c r="G15" i="5"/>
  <c r="H15" i="5"/>
  <c r="I15" i="5"/>
  <c r="C14" i="5"/>
  <c r="F14" i="5"/>
  <c r="G14" i="5"/>
  <c r="H14" i="5"/>
  <c r="I14" i="5"/>
  <c r="D13" i="5"/>
  <c r="E13" i="5"/>
  <c r="F13" i="5"/>
  <c r="G13" i="5"/>
  <c r="H13" i="5"/>
  <c r="I13" i="5"/>
  <c r="B20" i="5"/>
  <c r="B19" i="5"/>
  <c r="B18" i="5"/>
  <c r="B17" i="5"/>
  <c r="B16" i="5"/>
  <c r="B15" i="5"/>
  <c r="B14" i="5"/>
  <c r="B13" i="5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C15" i="3"/>
  <c r="D15" i="3"/>
  <c r="E15" i="3"/>
  <c r="F15" i="3"/>
  <c r="G15" i="3"/>
  <c r="H15" i="3"/>
  <c r="I15" i="3"/>
  <c r="C14" i="3"/>
  <c r="E14" i="3"/>
  <c r="F14" i="3"/>
  <c r="G14" i="3"/>
  <c r="H14" i="3"/>
  <c r="I14" i="3"/>
  <c r="C13" i="3"/>
  <c r="D13" i="3"/>
  <c r="E13" i="3"/>
  <c r="F13" i="3"/>
  <c r="G13" i="3"/>
  <c r="H13" i="3"/>
  <c r="I13" i="3"/>
  <c r="C12" i="3"/>
  <c r="D12" i="3"/>
  <c r="E12" i="3"/>
  <c r="F12" i="3"/>
  <c r="G12" i="3"/>
  <c r="H12" i="3"/>
  <c r="I12" i="3"/>
  <c r="B15" i="3"/>
  <c r="B14" i="3"/>
  <c r="B13" i="3"/>
  <c r="B12" i="3"/>
  <c r="B37" i="3"/>
  <c r="B38" i="3"/>
  <c r="B39" i="3"/>
  <c r="B40" i="3"/>
  <c r="C37" i="3"/>
  <c r="D37" i="3"/>
  <c r="E37" i="3"/>
  <c r="F37" i="3"/>
  <c r="G37" i="3"/>
  <c r="H37" i="3"/>
  <c r="I37" i="3"/>
  <c r="O25" i="3" l="1"/>
  <c r="C55" i="3"/>
  <c r="D55" i="3"/>
  <c r="E55" i="3"/>
  <c r="F55" i="3"/>
  <c r="G55" i="3"/>
  <c r="H55" i="3"/>
  <c r="I55" i="3"/>
  <c r="C54" i="3"/>
  <c r="D54" i="3"/>
  <c r="E54" i="3"/>
  <c r="F54" i="3"/>
  <c r="G54" i="3"/>
  <c r="H54" i="3"/>
  <c r="I54" i="3"/>
  <c r="C53" i="3"/>
  <c r="D53" i="3"/>
  <c r="E53" i="3"/>
  <c r="F53" i="3"/>
  <c r="G53" i="3"/>
  <c r="H53" i="3"/>
  <c r="I53" i="3"/>
  <c r="C52" i="3"/>
  <c r="D52" i="3"/>
  <c r="E52" i="3"/>
  <c r="F52" i="3"/>
  <c r="G52" i="3"/>
  <c r="H52" i="3"/>
  <c r="I52" i="3"/>
  <c r="C50" i="3"/>
  <c r="D50" i="3"/>
  <c r="E50" i="3"/>
  <c r="F50" i="3"/>
  <c r="G50" i="3"/>
  <c r="H50" i="3"/>
  <c r="I50" i="3"/>
  <c r="C49" i="3"/>
  <c r="D49" i="3"/>
  <c r="E49" i="3"/>
  <c r="F49" i="3"/>
  <c r="G49" i="3"/>
  <c r="H49" i="3"/>
  <c r="I49" i="3"/>
  <c r="C48" i="3"/>
  <c r="D48" i="3"/>
  <c r="E48" i="3"/>
  <c r="F48" i="3"/>
  <c r="G48" i="3"/>
  <c r="H48" i="3"/>
  <c r="I48" i="3"/>
  <c r="C47" i="3"/>
  <c r="D47" i="3"/>
  <c r="E47" i="3"/>
  <c r="F47" i="3"/>
  <c r="G47" i="3"/>
  <c r="H47" i="3"/>
  <c r="I47" i="3"/>
  <c r="B55" i="3"/>
  <c r="B54" i="3"/>
  <c r="B53" i="3"/>
  <c r="B52" i="3"/>
  <c r="B50" i="3"/>
  <c r="B49" i="3"/>
  <c r="B48" i="3"/>
  <c r="B47" i="3"/>
  <c r="C45" i="3"/>
  <c r="D45" i="3"/>
  <c r="E45" i="3"/>
  <c r="F45" i="3"/>
  <c r="G45" i="3"/>
  <c r="H45" i="3"/>
  <c r="I45" i="3"/>
  <c r="C44" i="3"/>
  <c r="D44" i="3"/>
  <c r="E44" i="3"/>
  <c r="F44" i="3"/>
  <c r="G44" i="3"/>
  <c r="H44" i="3"/>
  <c r="I44" i="3"/>
  <c r="C43" i="3"/>
  <c r="D43" i="3"/>
  <c r="E43" i="3"/>
  <c r="F43" i="3"/>
  <c r="G43" i="3"/>
  <c r="H43" i="3"/>
  <c r="I43" i="3"/>
  <c r="C42" i="3"/>
  <c r="D42" i="3"/>
  <c r="E42" i="3"/>
  <c r="F42" i="3"/>
  <c r="G42" i="3"/>
  <c r="H42" i="3"/>
  <c r="I42" i="3"/>
  <c r="C40" i="3"/>
  <c r="D40" i="3"/>
  <c r="E40" i="3"/>
  <c r="F40" i="3"/>
  <c r="G40" i="3"/>
  <c r="H40" i="3"/>
  <c r="I40" i="3"/>
  <c r="C39" i="3"/>
  <c r="D39" i="3"/>
  <c r="E39" i="3"/>
  <c r="F39" i="3"/>
  <c r="G39" i="3"/>
  <c r="H39" i="3"/>
  <c r="I39" i="3"/>
  <c r="C38" i="3"/>
  <c r="D38" i="3"/>
  <c r="E38" i="3"/>
  <c r="F38" i="3"/>
  <c r="G38" i="3"/>
  <c r="H38" i="3"/>
  <c r="I38" i="3"/>
  <c r="B45" i="3"/>
  <c r="B44" i="3"/>
  <c r="B43" i="3"/>
  <c r="B42" i="3"/>
  <c r="D6" i="1"/>
  <c r="E6" i="1"/>
  <c r="F6" i="1"/>
  <c r="G6" i="1"/>
  <c r="H6" i="1"/>
  <c r="I6" i="1"/>
  <c r="J6" i="1"/>
  <c r="D5" i="1"/>
  <c r="E5" i="1"/>
  <c r="F5" i="1"/>
  <c r="G5" i="1"/>
  <c r="H5" i="1"/>
  <c r="I5" i="1"/>
  <c r="J5" i="1"/>
  <c r="D4" i="1"/>
  <c r="E4" i="1"/>
  <c r="F4" i="1"/>
  <c r="G4" i="1"/>
  <c r="H4" i="1"/>
  <c r="I4" i="1"/>
  <c r="J4" i="1"/>
  <c r="D3" i="1"/>
  <c r="E3" i="1"/>
  <c r="F3" i="1"/>
  <c r="G3" i="1"/>
  <c r="H3" i="1"/>
  <c r="I3" i="1"/>
  <c r="J3" i="1"/>
  <c r="C6" i="1"/>
  <c r="C5" i="1"/>
  <c r="C4" i="1"/>
  <c r="C3" i="1"/>
  <c r="C60" i="2"/>
  <c r="D60" i="2"/>
  <c r="E60" i="2"/>
  <c r="F60" i="2"/>
  <c r="G60" i="2"/>
  <c r="H60" i="2"/>
  <c r="I60" i="2"/>
  <c r="C59" i="2"/>
  <c r="D59" i="2"/>
  <c r="E59" i="2"/>
  <c r="F59" i="2"/>
  <c r="G59" i="2"/>
  <c r="H59" i="2"/>
  <c r="I59" i="2"/>
  <c r="C58" i="2"/>
  <c r="D58" i="2"/>
  <c r="E58" i="2"/>
  <c r="F58" i="2"/>
  <c r="G58" i="2"/>
  <c r="H58" i="2"/>
  <c r="I58" i="2"/>
  <c r="C56" i="2"/>
  <c r="D56" i="2"/>
  <c r="E56" i="2"/>
  <c r="F56" i="2"/>
  <c r="G56" i="2"/>
  <c r="H56" i="2"/>
  <c r="I56" i="2"/>
  <c r="C55" i="2"/>
  <c r="D55" i="2"/>
  <c r="E55" i="2"/>
  <c r="F55" i="2"/>
  <c r="G55" i="2"/>
  <c r="H55" i="2"/>
  <c r="I55" i="2"/>
  <c r="C54" i="2"/>
  <c r="D54" i="2"/>
  <c r="E54" i="2"/>
  <c r="F54" i="2"/>
  <c r="G54" i="2"/>
  <c r="H54" i="2"/>
  <c r="I54" i="2"/>
  <c r="C53" i="2"/>
  <c r="D53" i="2"/>
  <c r="E53" i="2"/>
  <c r="F53" i="2"/>
  <c r="G53" i="2"/>
  <c r="H53" i="2"/>
  <c r="I53" i="2"/>
  <c r="C51" i="2"/>
  <c r="D51" i="2"/>
  <c r="E51" i="2"/>
  <c r="F51" i="2"/>
  <c r="G51" i="2"/>
  <c r="H51" i="2"/>
  <c r="I51" i="2"/>
  <c r="C50" i="2"/>
  <c r="D50" i="2"/>
  <c r="E50" i="2"/>
  <c r="F50" i="2"/>
  <c r="G50" i="2"/>
  <c r="H50" i="2"/>
  <c r="I50" i="2"/>
  <c r="C49" i="2"/>
  <c r="D49" i="2"/>
  <c r="E49" i="2"/>
  <c r="F49" i="2"/>
  <c r="G49" i="2"/>
  <c r="H49" i="2"/>
  <c r="I49" i="2"/>
  <c r="C48" i="2"/>
  <c r="D48" i="2"/>
  <c r="E48" i="2"/>
  <c r="F48" i="2"/>
  <c r="G48" i="2"/>
  <c r="H48" i="2"/>
  <c r="I48" i="2"/>
  <c r="B66" i="2"/>
  <c r="B65" i="2"/>
  <c r="B64" i="2"/>
  <c r="B63" i="2"/>
  <c r="B61" i="2"/>
  <c r="B60" i="2"/>
  <c r="B59" i="2"/>
  <c r="B58" i="2"/>
  <c r="B56" i="2"/>
  <c r="B55" i="2"/>
  <c r="B54" i="2"/>
  <c r="B53" i="2"/>
  <c r="B51" i="2"/>
  <c r="B50" i="2"/>
  <c r="B49" i="2"/>
  <c r="B48" i="2"/>
  <c r="C42" i="2"/>
  <c r="D42" i="2"/>
  <c r="E42" i="2"/>
  <c r="F42" i="2"/>
  <c r="G42" i="2"/>
  <c r="H42" i="2"/>
  <c r="I42" i="2"/>
  <c r="C41" i="2"/>
  <c r="D41" i="2"/>
  <c r="E41" i="2"/>
  <c r="F41" i="2"/>
  <c r="G41" i="2"/>
  <c r="H41" i="2"/>
  <c r="I41" i="2"/>
  <c r="C40" i="2"/>
  <c r="D40" i="2"/>
  <c r="E40" i="2"/>
  <c r="F40" i="2"/>
  <c r="G40" i="2"/>
  <c r="H40" i="2"/>
  <c r="I40" i="2"/>
  <c r="C39" i="2"/>
  <c r="D39" i="2"/>
  <c r="E39" i="2"/>
  <c r="F39" i="2"/>
  <c r="G39" i="2"/>
  <c r="H39" i="2"/>
  <c r="I39" i="2"/>
  <c r="C37" i="2"/>
  <c r="D37" i="2"/>
  <c r="E37" i="2"/>
  <c r="F37" i="2"/>
  <c r="G37" i="2"/>
  <c r="H37" i="2"/>
  <c r="I37" i="2"/>
  <c r="C36" i="2"/>
  <c r="D36" i="2"/>
  <c r="E36" i="2"/>
  <c r="F36" i="2"/>
  <c r="G36" i="2"/>
  <c r="H36" i="2"/>
  <c r="I36" i="2"/>
  <c r="C35" i="2"/>
  <c r="D35" i="2"/>
  <c r="E35" i="2"/>
  <c r="F35" i="2"/>
  <c r="G35" i="2"/>
  <c r="H35" i="2"/>
  <c r="I35" i="2"/>
  <c r="C34" i="2"/>
  <c r="D34" i="2"/>
  <c r="E34" i="2"/>
  <c r="F34" i="2"/>
  <c r="G34" i="2"/>
  <c r="H34" i="2"/>
  <c r="I34" i="2"/>
  <c r="C32" i="2"/>
  <c r="D32" i="2"/>
  <c r="E32" i="2"/>
  <c r="F32" i="2"/>
  <c r="G32" i="2"/>
  <c r="H32" i="2"/>
  <c r="I32" i="2"/>
  <c r="C31" i="2"/>
  <c r="D31" i="2"/>
  <c r="E31" i="2"/>
  <c r="F31" i="2"/>
  <c r="G31" i="2"/>
  <c r="H31" i="2"/>
  <c r="I31" i="2"/>
  <c r="C30" i="2"/>
  <c r="D30" i="2"/>
  <c r="E30" i="2"/>
  <c r="F30" i="2"/>
  <c r="G30" i="2"/>
  <c r="H30" i="2"/>
  <c r="I30" i="2"/>
  <c r="C29" i="2"/>
  <c r="D29" i="2"/>
  <c r="E29" i="2"/>
  <c r="F29" i="2"/>
  <c r="G29" i="2"/>
  <c r="H29" i="2"/>
  <c r="I29" i="2"/>
  <c r="B41" i="2"/>
  <c r="B40" i="2"/>
  <c r="B39" i="2"/>
  <c r="B42" i="2"/>
  <c r="B37" i="2"/>
  <c r="B36" i="2"/>
  <c r="B35" i="2"/>
  <c r="B34" i="2"/>
  <c r="B32" i="2"/>
  <c r="B31" i="2"/>
  <c r="B30" i="2"/>
  <c r="B29" i="2"/>
  <c r="C27" i="2"/>
  <c r="D27" i="2"/>
  <c r="E27" i="2"/>
  <c r="F27" i="2"/>
  <c r="G27" i="2"/>
  <c r="H27" i="2"/>
  <c r="I27" i="2"/>
  <c r="C26" i="2"/>
  <c r="D26" i="2"/>
  <c r="E26" i="2"/>
  <c r="F26" i="2"/>
  <c r="G26" i="2"/>
  <c r="H26" i="2"/>
  <c r="I26" i="2"/>
  <c r="C25" i="2"/>
  <c r="D25" i="2"/>
  <c r="E25" i="2"/>
  <c r="F25" i="2"/>
  <c r="G25" i="2"/>
  <c r="H25" i="2"/>
  <c r="I25" i="2"/>
  <c r="C24" i="2"/>
  <c r="D24" i="2"/>
  <c r="E24" i="2"/>
  <c r="F24" i="2"/>
  <c r="G24" i="2"/>
  <c r="H24" i="2"/>
  <c r="I24" i="2"/>
  <c r="B27" i="2"/>
  <c r="B26" i="2"/>
  <c r="B25" i="2"/>
  <c r="B24" i="2"/>
  <c r="C65" i="2" l="1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30" i="3"/>
  <c r="D30" i="3"/>
  <c r="E30" i="3"/>
  <c r="F30" i="3"/>
  <c r="G30" i="3"/>
  <c r="H30" i="3"/>
  <c r="C29" i="3"/>
  <c r="D29" i="3"/>
  <c r="E29" i="3"/>
  <c r="F29" i="3"/>
  <c r="G29" i="3"/>
  <c r="H29" i="3"/>
  <c r="C28" i="3"/>
  <c r="D28" i="3"/>
  <c r="E28" i="3"/>
  <c r="F28" i="3"/>
  <c r="G28" i="3"/>
  <c r="H28" i="3"/>
  <c r="I28" i="3"/>
  <c r="C27" i="3"/>
  <c r="D27" i="3"/>
  <c r="E27" i="3"/>
  <c r="F27" i="3"/>
  <c r="G27" i="3"/>
  <c r="H27" i="3"/>
  <c r="I27" i="3"/>
  <c r="B30" i="3"/>
  <c r="B29" i="3"/>
  <c r="B28" i="3"/>
  <c r="B27" i="3"/>
  <c r="J176" i="7"/>
  <c r="J175" i="7"/>
  <c r="J174" i="7"/>
  <c r="J173" i="7"/>
  <c r="J172" i="7"/>
  <c r="J171" i="7"/>
  <c r="J170" i="7"/>
  <c r="J169" i="7"/>
  <c r="J168" i="7"/>
  <c r="J167" i="7"/>
  <c r="J166" i="7"/>
  <c r="J182" i="7"/>
  <c r="J181" i="7"/>
  <c r="J180" i="7"/>
  <c r="J179" i="7"/>
  <c r="J178" i="7"/>
  <c r="J177" i="7"/>
  <c r="J183" i="7"/>
  <c r="J119" i="5"/>
  <c r="J95" i="5"/>
  <c r="J77" i="7"/>
  <c r="J76" i="7"/>
  <c r="J102" i="7"/>
  <c r="J101" i="7"/>
  <c r="J100" i="7"/>
  <c r="J99" i="7"/>
  <c r="J98" i="7"/>
  <c r="J97" i="7"/>
  <c r="J96" i="7"/>
  <c r="J95" i="7"/>
  <c r="J94" i="7"/>
  <c r="B16" i="7" l="1"/>
  <c r="B32" i="7"/>
  <c r="J93" i="3"/>
  <c r="D14" i="3" s="1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I29" i="3" l="1"/>
  <c r="I30" i="3"/>
  <c r="C61" i="2"/>
  <c r="E61" i="2"/>
  <c r="F61" i="2"/>
  <c r="G61" i="2"/>
  <c r="H61" i="2"/>
  <c r="I61" i="2"/>
  <c r="O31" i="2"/>
  <c r="C36" i="7" l="1"/>
  <c r="D36" i="7"/>
  <c r="E36" i="7"/>
  <c r="F36" i="7"/>
  <c r="G36" i="7"/>
  <c r="H36" i="7"/>
  <c r="I36" i="7"/>
  <c r="C35" i="7"/>
  <c r="D35" i="7"/>
  <c r="E35" i="7"/>
  <c r="F35" i="7"/>
  <c r="G35" i="7"/>
  <c r="H35" i="7"/>
  <c r="I35" i="7"/>
  <c r="C23" i="7"/>
  <c r="E23" i="7"/>
  <c r="F23" i="7"/>
  <c r="I23" i="7"/>
  <c r="C22" i="7"/>
  <c r="G22" i="7"/>
  <c r="H22" i="7"/>
  <c r="I22" i="7"/>
  <c r="C20" i="7"/>
  <c r="D20" i="7"/>
  <c r="E20" i="7"/>
  <c r="F20" i="7"/>
  <c r="G20" i="7"/>
  <c r="H20" i="7"/>
  <c r="I20" i="7"/>
  <c r="C19" i="7"/>
  <c r="D19" i="7"/>
  <c r="E19" i="7"/>
  <c r="F19" i="7"/>
  <c r="G19" i="7"/>
  <c r="H19" i="7"/>
  <c r="I19" i="7"/>
  <c r="B23" i="7"/>
  <c r="B22" i="7"/>
  <c r="B19" i="7"/>
  <c r="C91" i="5"/>
  <c r="D91" i="5"/>
  <c r="E91" i="5"/>
  <c r="F91" i="5"/>
  <c r="G91" i="5"/>
  <c r="H91" i="5"/>
  <c r="I91" i="5"/>
  <c r="C90" i="5"/>
  <c r="D90" i="5"/>
  <c r="E90" i="5"/>
  <c r="F90" i="5"/>
  <c r="G90" i="5"/>
  <c r="H90" i="5"/>
  <c r="I90" i="5"/>
  <c r="C89" i="5"/>
  <c r="D89" i="5"/>
  <c r="E89" i="5"/>
  <c r="F89" i="5"/>
  <c r="G89" i="5"/>
  <c r="H89" i="5"/>
  <c r="I89" i="5"/>
  <c r="C88" i="5"/>
  <c r="D88" i="5"/>
  <c r="E88" i="5"/>
  <c r="F88" i="5"/>
  <c r="G88" i="5"/>
  <c r="H88" i="5"/>
  <c r="I88" i="5"/>
  <c r="C87" i="5"/>
  <c r="D87" i="5"/>
  <c r="E87" i="5"/>
  <c r="F87" i="5"/>
  <c r="G87" i="5"/>
  <c r="H87" i="5"/>
  <c r="I87" i="5"/>
  <c r="C86" i="5"/>
  <c r="D86" i="5"/>
  <c r="E86" i="5"/>
  <c r="F86" i="5"/>
  <c r="G86" i="5"/>
  <c r="H86" i="5"/>
  <c r="I86" i="5"/>
  <c r="C85" i="5"/>
  <c r="D85" i="5"/>
  <c r="E85" i="5"/>
  <c r="F85" i="5"/>
  <c r="G85" i="5"/>
  <c r="H85" i="5"/>
  <c r="I85" i="5"/>
  <c r="C84" i="5"/>
  <c r="D84" i="5"/>
  <c r="E84" i="5"/>
  <c r="F84" i="5"/>
  <c r="G84" i="5"/>
  <c r="H84" i="5"/>
  <c r="I84" i="5"/>
  <c r="C82" i="5"/>
  <c r="D82" i="5"/>
  <c r="E82" i="5"/>
  <c r="F82" i="5"/>
  <c r="G82" i="5"/>
  <c r="H82" i="5"/>
  <c r="I82" i="5"/>
  <c r="C81" i="5"/>
  <c r="D81" i="5"/>
  <c r="E81" i="5"/>
  <c r="F81" i="5"/>
  <c r="G81" i="5"/>
  <c r="H81" i="5"/>
  <c r="I81" i="5"/>
  <c r="D80" i="5"/>
  <c r="E80" i="5"/>
  <c r="F80" i="5"/>
  <c r="G80" i="5"/>
  <c r="H80" i="5"/>
  <c r="I80" i="5"/>
  <c r="C79" i="5"/>
  <c r="D79" i="5"/>
  <c r="E79" i="5"/>
  <c r="F79" i="5"/>
  <c r="G79" i="5"/>
  <c r="H79" i="5"/>
  <c r="I79" i="5"/>
  <c r="C78" i="5"/>
  <c r="D78" i="5"/>
  <c r="E78" i="5"/>
  <c r="F78" i="5"/>
  <c r="G78" i="5"/>
  <c r="H78" i="5"/>
  <c r="I78" i="5"/>
  <c r="C77" i="5"/>
  <c r="D77" i="5"/>
  <c r="E77" i="5"/>
  <c r="F77" i="5"/>
  <c r="G77" i="5"/>
  <c r="H77" i="5"/>
  <c r="I77" i="5"/>
  <c r="C76" i="5"/>
  <c r="D76" i="5"/>
  <c r="E76" i="5"/>
  <c r="F76" i="5"/>
  <c r="G76" i="5"/>
  <c r="H76" i="5"/>
  <c r="I76" i="5"/>
  <c r="C75" i="5"/>
  <c r="D75" i="5"/>
  <c r="E75" i="5"/>
  <c r="F75" i="5"/>
  <c r="G75" i="5"/>
  <c r="H75" i="5"/>
  <c r="I75" i="5"/>
  <c r="B91" i="5"/>
  <c r="B90" i="5"/>
  <c r="B89" i="5"/>
  <c r="B88" i="5"/>
  <c r="B87" i="5"/>
  <c r="B86" i="5"/>
  <c r="B85" i="5"/>
  <c r="B84" i="5"/>
  <c r="B82" i="5"/>
  <c r="B81" i="5"/>
  <c r="B79" i="5"/>
  <c r="B78" i="5"/>
  <c r="B77" i="5"/>
  <c r="B76" i="5"/>
  <c r="B75" i="5"/>
  <c r="E73" i="5"/>
  <c r="F73" i="5"/>
  <c r="G73" i="5"/>
  <c r="H73" i="5"/>
  <c r="I73" i="5"/>
  <c r="C72" i="5"/>
  <c r="D72" i="5"/>
  <c r="E72" i="5"/>
  <c r="F72" i="5"/>
  <c r="G72" i="5"/>
  <c r="H72" i="5"/>
  <c r="I72" i="5"/>
  <c r="C71" i="5"/>
  <c r="D71" i="5"/>
  <c r="E71" i="5"/>
  <c r="F71" i="5"/>
  <c r="G71" i="5"/>
  <c r="H71" i="5"/>
  <c r="I71" i="5"/>
  <c r="C70" i="5"/>
  <c r="D70" i="5"/>
  <c r="E70" i="5"/>
  <c r="F70" i="5"/>
  <c r="G70" i="5"/>
  <c r="H70" i="5"/>
  <c r="I70" i="5"/>
  <c r="C69" i="5"/>
  <c r="D69" i="5"/>
  <c r="E69" i="5"/>
  <c r="F69" i="5"/>
  <c r="G69" i="5"/>
  <c r="H69" i="5"/>
  <c r="I69" i="5"/>
  <c r="C68" i="5"/>
  <c r="D68" i="5"/>
  <c r="E68" i="5"/>
  <c r="F68" i="5"/>
  <c r="G68" i="5"/>
  <c r="H68" i="5"/>
  <c r="I68" i="5"/>
  <c r="C67" i="5"/>
  <c r="D67" i="5"/>
  <c r="E67" i="5"/>
  <c r="F67" i="5"/>
  <c r="G67" i="5"/>
  <c r="H67" i="5"/>
  <c r="I67" i="5"/>
  <c r="C66" i="5"/>
  <c r="D66" i="5"/>
  <c r="E66" i="5"/>
  <c r="F66" i="5"/>
  <c r="G66" i="5"/>
  <c r="H66" i="5"/>
  <c r="I66" i="5"/>
  <c r="B73" i="5"/>
  <c r="B72" i="5"/>
  <c r="B71" i="5"/>
  <c r="B70" i="5"/>
  <c r="B69" i="5"/>
  <c r="B68" i="5"/>
  <c r="B67" i="5"/>
  <c r="B66" i="5"/>
  <c r="C64" i="5"/>
  <c r="D64" i="5"/>
  <c r="E64" i="5"/>
  <c r="F64" i="5"/>
  <c r="G64" i="5"/>
  <c r="H64" i="5"/>
  <c r="I64" i="5"/>
  <c r="C63" i="5"/>
  <c r="D63" i="5"/>
  <c r="E63" i="5"/>
  <c r="F63" i="5"/>
  <c r="G63" i="5"/>
  <c r="H63" i="5"/>
  <c r="I63" i="5"/>
  <c r="C62" i="5"/>
  <c r="D62" i="5"/>
  <c r="E62" i="5"/>
  <c r="F62" i="5"/>
  <c r="G62" i="5"/>
  <c r="H62" i="5"/>
  <c r="I62" i="5"/>
  <c r="C61" i="5"/>
  <c r="D61" i="5"/>
  <c r="F61" i="5"/>
  <c r="G61" i="5"/>
  <c r="H61" i="5"/>
  <c r="I61" i="5"/>
  <c r="C60" i="5"/>
  <c r="D60" i="5"/>
  <c r="E60" i="5"/>
  <c r="F60" i="5"/>
  <c r="G60" i="5"/>
  <c r="H60" i="5"/>
  <c r="I60" i="5"/>
  <c r="C59" i="5"/>
  <c r="D59" i="5"/>
  <c r="F59" i="5"/>
  <c r="G59" i="5"/>
  <c r="H59" i="5"/>
  <c r="I59" i="5"/>
  <c r="C58" i="5"/>
  <c r="D58" i="5"/>
  <c r="E58" i="5"/>
  <c r="F58" i="5"/>
  <c r="G58" i="5"/>
  <c r="H58" i="5"/>
  <c r="I58" i="5"/>
  <c r="C57" i="5"/>
  <c r="D57" i="5"/>
  <c r="F57" i="5"/>
  <c r="G57" i="5"/>
  <c r="I57" i="5"/>
  <c r="J58" i="4"/>
  <c r="J57" i="4"/>
  <c r="J56" i="4"/>
  <c r="J55" i="4"/>
  <c r="J54" i="4"/>
  <c r="K53" i="4"/>
  <c r="J53" i="4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L460" i="1"/>
  <c r="L459" i="1"/>
  <c r="L458" i="1"/>
  <c r="L457" i="1"/>
  <c r="L456" i="1"/>
  <c r="B63" i="5"/>
  <c r="B62" i="5"/>
  <c r="B61" i="5"/>
  <c r="B60" i="5"/>
  <c r="B59" i="5"/>
  <c r="B58" i="5"/>
  <c r="B57" i="5"/>
  <c r="C47" i="5"/>
  <c r="D47" i="5"/>
  <c r="E47" i="5"/>
  <c r="F47" i="5"/>
  <c r="G47" i="5"/>
  <c r="I47" i="5"/>
  <c r="C46" i="5"/>
  <c r="D46" i="5"/>
  <c r="E46" i="5"/>
  <c r="F46" i="5"/>
  <c r="G46" i="5"/>
  <c r="H46" i="5"/>
  <c r="I46" i="5"/>
  <c r="C45" i="5"/>
  <c r="D45" i="5"/>
  <c r="E45" i="5"/>
  <c r="F45" i="5"/>
  <c r="G45" i="5"/>
  <c r="H45" i="5"/>
  <c r="I45" i="5"/>
  <c r="C44" i="5"/>
  <c r="D44" i="5"/>
  <c r="E44" i="5"/>
  <c r="F44" i="5"/>
  <c r="G44" i="5"/>
  <c r="H44" i="5"/>
  <c r="I44" i="5"/>
  <c r="C43" i="5"/>
  <c r="D43" i="5"/>
  <c r="E43" i="5"/>
  <c r="F43" i="5"/>
  <c r="G43" i="5"/>
  <c r="H43" i="5"/>
  <c r="I43" i="5"/>
  <c r="C42" i="5"/>
  <c r="D42" i="5"/>
  <c r="E42" i="5"/>
  <c r="F42" i="5"/>
  <c r="G42" i="5"/>
  <c r="H42" i="5"/>
  <c r="I42" i="5"/>
  <c r="C41" i="5"/>
  <c r="D41" i="5"/>
  <c r="E41" i="5"/>
  <c r="F41" i="5"/>
  <c r="G41" i="5"/>
  <c r="H41" i="5"/>
  <c r="I41" i="5"/>
  <c r="C40" i="5"/>
  <c r="D40" i="5"/>
  <c r="E40" i="5"/>
  <c r="F40" i="5"/>
  <c r="G40" i="5"/>
  <c r="H40" i="5"/>
  <c r="I40" i="5"/>
  <c r="B47" i="5"/>
  <c r="B46" i="5"/>
  <c r="B45" i="5"/>
  <c r="B44" i="5"/>
  <c r="B43" i="5"/>
  <c r="B42" i="5"/>
  <c r="B41" i="5"/>
  <c r="B40" i="5"/>
  <c r="C38" i="5"/>
  <c r="D38" i="5"/>
  <c r="E38" i="5"/>
  <c r="F38" i="5"/>
  <c r="G38" i="5"/>
  <c r="H38" i="5"/>
  <c r="I38" i="5"/>
  <c r="C37" i="5"/>
  <c r="D37" i="5"/>
  <c r="E37" i="5"/>
  <c r="F37" i="5"/>
  <c r="G37" i="5"/>
  <c r="H37" i="5"/>
  <c r="I37" i="5"/>
  <c r="C36" i="5"/>
  <c r="D36" i="5"/>
  <c r="E36" i="5"/>
  <c r="F36" i="5"/>
  <c r="G36" i="5"/>
  <c r="H36" i="5"/>
  <c r="I36" i="5"/>
  <c r="D35" i="5"/>
  <c r="E35" i="5"/>
  <c r="F35" i="5"/>
  <c r="G35" i="5"/>
  <c r="H35" i="5"/>
  <c r="I35" i="5"/>
  <c r="C34" i="5"/>
  <c r="D34" i="5"/>
  <c r="E34" i="5"/>
  <c r="F34" i="5"/>
  <c r="G34" i="5"/>
  <c r="H34" i="5"/>
  <c r="I34" i="5"/>
  <c r="C33" i="5"/>
  <c r="D33" i="5"/>
  <c r="E33" i="5"/>
  <c r="F33" i="5"/>
  <c r="G33" i="5"/>
  <c r="H33" i="5"/>
  <c r="I33" i="5"/>
  <c r="C32" i="5"/>
  <c r="D32" i="5"/>
  <c r="E32" i="5"/>
  <c r="F32" i="5"/>
  <c r="G32" i="5"/>
  <c r="H32" i="5"/>
  <c r="I32" i="5"/>
  <c r="C31" i="5"/>
  <c r="D31" i="5"/>
  <c r="E31" i="5"/>
  <c r="F31" i="5"/>
  <c r="G31" i="5"/>
  <c r="H31" i="5"/>
  <c r="I31" i="5"/>
  <c r="B38" i="5"/>
  <c r="B37" i="5"/>
  <c r="B36" i="5"/>
  <c r="B34" i="5"/>
  <c r="B33" i="5"/>
  <c r="B32" i="5"/>
  <c r="B31" i="5"/>
  <c r="C29" i="5"/>
  <c r="D29" i="5"/>
  <c r="E29" i="5"/>
  <c r="F29" i="5"/>
  <c r="G29" i="5"/>
  <c r="H29" i="5"/>
  <c r="I29" i="5"/>
  <c r="E28" i="5"/>
  <c r="F28" i="5"/>
  <c r="G28" i="5"/>
  <c r="H28" i="5"/>
  <c r="I28" i="5"/>
  <c r="C27" i="5"/>
  <c r="D27" i="5"/>
  <c r="E27" i="5"/>
  <c r="F27" i="5"/>
  <c r="G27" i="5"/>
  <c r="H27" i="5"/>
  <c r="I27" i="5"/>
  <c r="C26" i="5"/>
  <c r="D26" i="5"/>
  <c r="E26" i="5"/>
  <c r="F26" i="5"/>
  <c r="G26" i="5"/>
  <c r="H26" i="5"/>
  <c r="I26" i="5"/>
  <c r="C25" i="5"/>
  <c r="D25" i="5"/>
  <c r="E25" i="5"/>
  <c r="F25" i="5"/>
  <c r="G25" i="5"/>
  <c r="H25" i="5"/>
  <c r="I25" i="5"/>
  <c r="C24" i="5"/>
  <c r="D24" i="5"/>
  <c r="E24" i="5"/>
  <c r="F24" i="5"/>
  <c r="G24" i="5"/>
  <c r="H24" i="5"/>
  <c r="I24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I22" i="5"/>
  <c r="B29" i="5"/>
  <c r="B28" i="5"/>
  <c r="B27" i="5"/>
  <c r="B26" i="5"/>
  <c r="B25" i="5"/>
  <c r="B24" i="5"/>
  <c r="B23" i="5"/>
  <c r="B22" i="5"/>
  <c r="C47" i="4"/>
  <c r="D47" i="4"/>
  <c r="E47" i="4"/>
  <c r="F47" i="4"/>
  <c r="G47" i="4"/>
  <c r="H47" i="4"/>
  <c r="I47" i="4"/>
  <c r="C45" i="4"/>
  <c r="D45" i="4"/>
  <c r="E45" i="4"/>
  <c r="F45" i="4"/>
  <c r="G45" i="4"/>
  <c r="H45" i="4"/>
  <c r="I45" i="4"/>
  <c r="C43" i="4"/>
  <c r="C46" i="4" s="1"/>
  <c r="D43" i="4"/>
  <c r="D46" i="4" s="1"/>
  <c r="E43" i="4"/>
  <c r="E46" i="4" s="1"/>
  <c r="F43" i="4"/>
  <c r="F46" i="4" s="1"/>
  <c r="G43" i="4"/>
  <c r="G46" i="4" s="1"/>
  <c r="H43" i="4"/>
  <c r="H46" i="4" s="1"/>
  <c r="I43" i="4"/>
  <c r="I46" i="4" s="1"/>
  <c r="C42" i="4"/>
  <c r="D42" i="4"/>
  <c r="E42" i="4"/>
  <c r="F42" i="4"/>
  <c r="G42" i="4"/>
  <c r="H42" i="4"/>
  <c r="I42" i="4"/>
  <c r="C41" i="4"/>
  <c r="D41" i="4"/>
  <c r="E41" i="4"/>
  <c r="F41" i="4"/>
  <c r="G41" i="4"/>
  <c r="H41" i="4"/>
  <c r="I41" i="4"/>
  <c r="B47" i="4"/>
  <c r="B46" i="4"/>
  <c r="B45" i="4"/>
  <c r="B43" i="4"/>
  <c r="B42" i="4"/>
  <c r="B41" i="4"/>
  <c r="C39" i="4"/>
  <c r="D39" i="4"/>
  <c r="E39" i="4"/>
  <c r="F39" i="4"/>
  <c r="G39" i="4"/>
  <c r="H39" i="4"/>
  <c r="I39" i="4"/>
  <c r="C38" i="4"/>
  <c r="D38" i="4"/>
  <c r="E38" i="4"/>
  <c r="F38" i="4"/>
  <c r="G38" i="4"/>
  <c r="H38" i="4"/>
  <c r="I38" i="4"/>
  <c r="C37" i="4"/>
  <c r="D37" i="4"/>
  <c r="E37" i="4"/>
  <c r="F37" i="4"/>
  <c r="G37" i="4"/>
  <c r="H37" i="4"/>
  <c r="I37" i="4"/>
  <c r="C35" i="4"/>
  <c r="D35" i="4"/>
  <c r="E35" i="4"/>
  <c r="F35" i="4"/>
  <c r="G35" i="4"/>
  <c r="H35" i="4"/>
  <c r="I35" i="4"/>
  <c r="C34" i="4"/>
  <c r="D34" i="4"/>
  <c r="E34" i="4"/>
  <c r="F34" i="4"/>
  <c r="G34" i="4"/>
  <c r="H34" i="4"/>
  <c r="I34" i="4"/>
  <c r="C33" i="4"/>
  <c r="D33" i="4"/>
  <c r="E33" i="4"/>
  <c r="F33" i="4"/>
  <c r="G33" i="4"/>
  <c r="H33" i="4"/>
  <c r="I33" i="4"/>
  <c r="B39" i="4"/>
  <c r="B38" i="4"/>
  <c r="B37" i="4"/>
  <c r="B35" i="4"/>
  <c r="B34" i="4"/>
  <c r="B33" i="4"/>
  <c r="C26" i="4"/>
  <c r="D26" i="4"/>
  <c r="E26" i="4"/>
  <c r="F26" i="4"/>
  <c r="G26" i="4"/>
  <c r="H26" i="4"/>
  <c r="I26" i="4"/>
  <c r="G25" i="4"/>
  <c r="C24" i="4"/>
  <c r="D24" i="4"/>
  <c r="E24" i="4"/>
  <c r="F24" i="4"/>
  <c r="G24" i="4"/>
  <c r="H24" i="4"/>
  <c r="I24" i="4"/>
  <c r="C23" i="4"/>
  <c r="D23" i="4"/>
  <c r="E23" i="4"/>
  <c r="F23" i="4"/>
  <c r="G23" i="4"/>
  <c r="H23" i="4"/>
  <c r="I23" i="4"/>
  <c r="C21" i="4"/>
  <c r="C25" i="4" s="1"/>
  <c r="D21" i="4"/>
  <c r="D25" i="4" s="1"/>
  <c r="E21" i="4"/>
  <c r="E25" i="4" s="1"/>
  <c r="F21" i="4"/>
  <c r="F25" i="4" s="1"/>
  <c r="G21" i="4"/>
  <c r="H21" i="4"/>
  <c r="H25" i="4" s="1"/>
  <c r="I21" i="4"/>
  <c r="I25" i="4" s="1"/>
  <c r="C20" i="4"/>
  <c r="D20" i="4"/>
  <c r="E20" i="4"/>
  <c r="F20" i="4"/>
  <c r="G20" i="4"/>
  <c r="H20" i="4"/>
  <c r="I20" i="4"/>
  <c r="C19" i="4"/>
  <c r="D19" i="4"/>
  <c r="E19" i="4"/>
  <c r="F19" i="4"/>
  <c r="G19" i="4"/>
  <c r="H19" i="4"/>
  <c r="I19" i="4"/>
  <c r="C17" i="4"/>
  <c r="D17" i="4"/>
  <c r="E17" i="4"/>
  <c r="F17" i="4"/>
  <c r="G17" i="4"/>
  <c r="H17" i="4"/>
  <c r="I17" i="4"/>
  <c r="C16" i="4"/>
  <c r="D16" i="4"/>
  <c r="E16" i="4"/>
  <c r="F16" i="4"/>
  <c r="G16" i="4"/>
  <c r="H16" i="4"/>
  <c r="I16" i="4"/>
  <c r="C15" i="4"/>
  <c r="D15" i="4"/>
  <c r="E15" i="4"/>
  <c r="F15" i="4"/>
  <c r="G15" i="4"/>
  <c r="H15" i="4"/>
  <c r="I15" i="4"/>
  <c r="C14" i="4"/>
  <c r="D14" i="4"/>
  <c r="E14" i="4"/>
  <c r="F14" i="4"/>
  <c r="G14" i="4"/>
  <c r="H14" i="4"/>
  <c r="I14" i="4"/>
  <c r="B26" i="4"/>
  <c r="B24" i="4"/>
  <c r="B23" i="4"/>
  <c r="B21" i="4"/>
  <c r="B25" i="4" s="1"/>
  <c r="B20" i="4"/>
  <c r="B19" i="4"/>
  <c r="B17" i="4"/>
  <c r="B16" i="4"/>
  <c r="B15" i="4"/>
  <c r="B14" i="4"/>
  <c r="C12" i="4"/>
  <c r="D12" i="4"/>
  <c r="E12" i="4"/>
  <c r="F12" i="4"/>
  <c r="G12" i="4"/>
  <c r="H12" i="4"/>
  <c r="I12" i="4"/>
  <c r="D11" i="4"/>
  <c r="E11" i="4"/>
  <c r="F11" i="4"/>
  <c r="G11" i="4"/>
  <c r="I11" i="4"/>
  <c r="C10" i="4"/>
  <c r="D10" i="4"/>
  <c r="E10" i="4"/>
  <c r="F10" i="4"/>
  <c r="G10" i="4"/>
  <c r="H10" i="4"/>
  <c r="I10" i="4"/>
  <c r="C9" i="4"/>
  <c r="D9" i="4"/>
  <c r="E9" i="4"/>
  <c r="F9" i="4"/>
  <c r="G9" i="4"/>
  <c r="H9" i="4"/>
  <c r="I9" i="4"/>
  <c r="B12" i="4"/>
  <c r="B11" i="4"/>
  <c r="B10" i="4"/>
  <c r="B9" i="4"/>
  <c r="E46" i="1"/>
  <c r="F46" i="1"/>
  <c r="G46" i="1"/>
  <c r="I46" i="1"/>
  <c r="J46" i="1"/>
  <c r="D45" i="1"/>
  <c r="E45" i="1"/>
  <c r="F45" i="1"/>
  <c r="G45" i="1"/>
  <c r="H45" i="1"/>
  <c r="I45" i="1"/>
  <c r="J45" i="1"/>
  <c r="D44" i="1"/>
  <c r="E44" i="1"/>
  <c r="F44" i="1"/>
  <c r="G44" i="1"/>
  <c r="H44" i="1"/>
  <c r="I44" i="1"/>
  <c r="J44" i="1"/>
  <c r="D43" i="1"/>
  <c r="E43" i="1"/>
  <c r="F43" i="1"/>
  <c r="G43" i="1"/>
  <c r="H43" i="1"/>
  <c r="I43" i="1"/>
  <c r="J43" i="1"/>
  <c r="D41" i="1"/>
  <c r="F41" i="1"/>
  <c r="G41" i="1"/>
  <c r="H41" i="1"/>
  <c r="I41" i="1"/>
  <c r="J41" i="1"/>
  <c r="D40" i="1"/>
  <c r="E40" i="1"/>
  <c r="F40" i="1"/>
  <c r="G40" i="1"/>
  <c r="H40" i="1"/>
  <c r="I40" i="1"/>
  <c r="J40" i="1"/>
  <c r="D39" i="1"/>
  <c r="E39" i="1"/>
  <c r="F39" i="1"/>
  <c r="G39" i="1"/>
  <c r="H39" i="1"/>
  <c r="I39" i="1"/>
  <c r="J39" i="1"/>
  <c r="D38" i="1"/>
  <c r="E38" i="1"/>
  <c r="F38" i="1"/>
  <c r="G38" i="1"/>
  <c r="H38" i="1"/>
  <c r="I38" i="1"/>
  <c r="J38" i="1"/>
  <c r="E36" i="1"/>
  <c r="F36" i="1"/>
  <c r="H36" i="1"/>
  <c r="J36" i="1"/>
  <c r="D35" i="1"/>
  <c r="E35" i="1"/>
  <c r="F35" i="1"/>
  <c r="G35" i="1"/>
  <c r="H35" i="1"/>
  <c r="I35" i="1"/>
  <c r="J35" i="1"/>
  <c r="D34" i="1"/>
  <c r="E34" i="1"/>
  <c r="F34" i="1"/>
  <c r="G34" i="1"/>
  <c r="H34" i="1"/>
  <c r="I34" i="1"/>
  <c r="J34" i="1"/>
  <c r="D33" i="1"/>
  <c r="E33" i="1"/>
  <c r="F33" i="1"/>
  <c r="G33" i="1"/>
  <c r="H33" i="1"/>
  <c r="I33" i="1"/>
  <c r="J33" i="1"/>
  <c r="C46" i="1"/>
  <c r="C45" i="1"/>
  <c r="C44" i="1"/>
  <c r="C43" i="1"/>
  <c r="C41" i="1"/>
  <c r="C40" i="1"/>
  <c r="C39" i="1"/>
  <c r="C38" i="1"/>
  <c r="C36" i="1"/>
  <c r="C35" i="1"/>
  <c r="C34" i="1"/>
  <c r="C33" i="1"/>
  <c r="D21" i="1"/>
  <c r="E21" i="1"/>
  <c r="F21" i="1"/>
  <c r="G21" i="1"/>
  <c r="H21" i="1"/>
  <c r="I21" i="1"/>
  <c r="J21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C21" i="1"/>
  <c r="C19" i="1"/>
  <c r="C18" i="1"/>
  <c r="D16" i="1"/>
  <c r="D20" i="1" s="1"/>
  <c r="E16" i="1"/>
  <c r="E20" i="1" s="1"/>
  <c r="F16" i="1"/>
  <c r="F20" i="1" s="1"/>
  <c r="G16" i="1"/>
  <c r="G20" i="1" s="1"/>
  <c r="H16" i="1"/>
  <c r="H20" i="1" s="1"/>
  <c r="I16" i="1"/>
  <c r="I20" i="1" s="1"/>
  <c r="J16" i="1"/>
  <c r="J20" i="1" s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D10" i="1"/>
  <c r="E10" i="1"/>
  <c r="F10" i="1"/>
  <c r="G10" i="1"/>
  <c r="H10" i="1"/>
  <c r="I10" i="1"/>
  <c r="J10" i="1"/>
  <c r="D9" i="1"/>
  <c r="E9" i="1"/>
  <c r="F9" i="1"/>
  <c r="G9" i="1"/>
  <c r="H9" i="1"/>
  <c r="I9" i="1"/>
  <c r="J9" i="1"/>
  <c r="D8" i="1"/>
  <c r="E8" i="1"/>
  <c r="F8" i="1"/>
  <c r="G8" i="1"/>
  <c r="H8" i="1"/>
  <c r="I8" i="1"/>
  <c r="J8" i="1"/>
  <c r="D61" i="2" l="1"/>
  <c r="L53" i="4"/>
  <c r="C16" i="1"/>
  <c r="C20" i="1" s="1"/>
  <c r="C14" i="1"/>
  <c r="C13" i="1"/>
  <c r="C11" i="1"/>
  <c r="C15" i="1" s="1"/>
  <c r="C10" i="1"/>
  <c r="C9" i="1"/>
  <c r="C8" i="1"/>
  <c r="J94" i="5"/>
  <c r="C13" i="5" s="1"/>
  <c r="K31" i="2" l="1"/>
  <c r="E57" i="5"/>
  <c r="C64" i="2" l="1"/>
  <c r="D64" i="2"/>
  <c r="E64" i="2"/>
  <c r="F64" i="2"/>
  <c r="G64" i="2"/>
  <c r="H64" i="2"/>
  <c r="I64" i="2"/>
  <c r="J165" i="7"/>
  <c r="J164" i="7"/>
  <c r="J163" i="7"/>
  <c r="J162" i="7"/>
  <c r="J161" i="7"/>
  <c r="J160" i="7"/>
  <c r="H23" i="7" s="1"/>
  <c r="J159" i="7"/>
  <c r="J158" i="7"/>
  <c r="J157" i="7"/>
  <c r="J156" i="7"/>
  <c r="J155" i="7"/>
  <c r="J154" i="7"/>
  <c r="J153" i="7"/>
  <c r="G23" i="7" s="1"/>
  <c r="L432" i="1" l="1"/>
  <c r="H46" i="1"/>
  <c r="L431" i="1"/>
  <c r="E31" i="1" s="1"/>
  <c r="L430" i="1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75" i="7"/>
  <c r="J74" i="7"/>
  <c r="J73" i="7"/>
  <c r="J72" i="7"/>
  <c r="H29" i="7" s="1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D23" i="7" s="1"/>
  <c r="J120" i="7"/>
  <c r="H13" i="7" l="1"/>
  <c r="D22" i="7"/>
  <c r="B20" i="7"/>
  <c r="K39" i="3"/>
  <c r="L429" i="1"/>
  <c r="L428" i="1"/>
  <c r="L427" i="1"/>
  <c r="F14" i="6"/>
  <c r="L455" i="1" l="1"/>
  <c r="L454" i="1"/>
  <c r="L453" i="1"/>
  <c r="L452" i="1"/>
  <c r="L451" i="1"/>
  <c r="L450" i="1"/>
  <c r="L449" i="1"/>
  <c r="L448" i="1"/>
  <c r="L447" i="1"/>
  <c r="I31" i="1" s="1"/>
  <c r="I36" i="1"/>
  <c r="L446" i="1"/>
  <c r="L445" i="1"/>
  <c r="L444" i="1"/>
  <c r="F31" i="1" s="1"/>
  <c r="D36" i="1"/>
  <c r="L443" i="1"/>
  <c r="L442" i="1"/>
  <c r="L441" i="1"/>
  <c r="L440" i="1"/>
  <c r="L439" i="1"/>
  <c r="L438" i="1"/>
  <c r="G36" i="1" s="1"/>
  <c r="L437" i="1"/>
  <c r="L436" i="1"/>
  <c r="L435" i="1"/>
  <c r="D46" i="1"/>
  <c r="L434" i="1"/>
  <c r="L433" i="1"/>
  <c r="P11" i="1"/>
  <c r="P10" i="1"/>
  <c r="J57" i="7"/>
  <c r="J56" i="7"/>
  <c r="J55" i="7"/>
  <c r="J54" i="7"/>
  <c r="J53" i="7"/>
  <c r="J52" i="7"/>
  <c r="F13" i="7" s="1"/>
  <c r="J51" i="7"/>
  <c r="J50" i="7"/>
  <c r="J58" i="7"/>
  <c r="J101" i="5"/>
  <c r="J102" i="5"/>
  <c r="J103" i="5"/>
  <c r="B64" i="5"/>
  <c r="E41" i="1" l="1"/>
  <c r="P12" i="1"/>
  <c r="G15" i="6" s="1"/>
  <c r="L30" i="1"/>
  <c r="L5" i="1"/>
  <c r="J50" i="4"/>
  <c r="J51" i="4"/>
  <c r="J52" i="4"/>
  <c r="C63" i="2" l="1"/>
  <c r="D63" i="2"/>
  <c r="E63" i="2"/>
  <c r="F63" i="2"/>
  <c r="G63" i="2"/>
  <c r="H63" i="2"/>
  <c r="I63" i="2"/>
  <c r="K54" i="3" l="1"/>
  <c r="K49" i="3"/>
  <c r="K44" i="3"/>
  <c r="K19" i="3"/>
  <c r="L45" i="1"/>
  <c r="L40" i="1"/>
  <c r="L35" i="1"/>
  <c r="N36" i="1" l="1"/>
  <c r="G14" i="6" s="1"/>
  <c r="K14" i="6" s="1"/>
  <c r="J112" i="5" l="1"/>
  <c r="J113" i="5"/>
  <c r="J114" i="5"/>
  <c r="J115" i="5"/>
  <c r="J116" i="5"/>
  <c r="J117" i="5"/>
  <c r="J104" i="5"/>
  <c r="J105" i="5"/>
  <c r="J106" i="5"/>
  <c r="J107" i="5"/>
  <c r="J108" i="5"/>
  <c r="J109" i="5"/>
  <c r="J110" i="5"/>
  <c r="J111" i="5"/>
  <c r="J63" i="4"/>
  <c r="J64" i="4"/>
  <c r="J62" i="4"/>
  <c r="J61" i="4"/>
  <c r="J60" i="4"/>
  <c r="K59" i="4"/>
  <c r="J59" i="4"/>
  <c r="B35" i="5" l="1"/>
  <c r="B80" i="5"/>
  <c r="D28" i="5"/>
  <c r="D73" i="5"/>
  <c r="C28" i="5"/>
  <c r="C73" i="5"/>
  <c r="H57" i="5"/>
  <c r="L59" i="4"/>
  <c r="J143" i="7" l="1"/>
  <c r="J142" i="7"/>
  <c r="F22" i="7" s="1"/>
  <c r="J141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G13" i="7" s="1"/>
  <c r="J49" i="7"/>
  <c r="J152" i="7"/>
  <c r="J151" i="7"/>
  <c r="J150" i="7"/>
  <c r="J149" i="7"/>
  <c r="J148" i="7"/>
  <c r="J147" i="7"/>
  <c r="J146" i="7"/>
  <c r="J145" i="7"/>
  <c r="J144" i="7"/>
  <c r="J48" i="7"/>
  <c r="J47" i="7"/>
  <c r="J46" i="7"/>
  <c r="J45" i="7"/>
  <c r="J44" i="7"/>
  <c r="J43" i="7"/>
  <c r="L10" i="1"/>
  <c r="G29" i="7" l="1"/>
  <c r="E22" i="7"/>
  <c r="L20" i="1"/>
  <c r="L15" i="1"/>
  <c r="J123" i="5"/>
  <c r="J122" i="5"/>
  <c r="P5" i="1" l="1"/>
  <c r="M11" i="1"/>
  <c r="K25" i="4" l="1"/>
  <c r="K29" i="3" l="1"/>
  <c r="P9" i="1"/>
  <c r="P13" i="1" l="1"/>
  <c r="J98" i="5" l="1"/>
  <c r="D14" i="5" s="1"/>
  <c r="J118" i="5" l="1"/>
  <c r="J120" i="5"/>
  <c r="J121" i="5"/>
  <c r="J124" i="5"/>
  <c r="J94" i="2"/>
  <c r="H47" i="5" l="1"/>
  <c r="C80" i="5"/>
  <c r="C35" i="5"/>
  <c r="K24" i="3"/>
  <c r="K49" i="4" l="1"/>
  <c r="J49" i="4"/>
  <c r="J71" i="2"/>
  <c r="J70" i="2"/>
  <c r="K65" i="2" l="1"/>
  <c r="L49" i="4"/>
  <c r="K41" i="2" l="1"/>
  <c r="K60" i="2"/>
  <c r="K36" i="2"/>
  <c r="K16" i="4" l="1"/>
  <c r="K72" i="5"/>
  <c r="G53" i="1" l="1"/>
  <c r="H52" i="1"/>
  <c r="G52" i="1"/>
  <c r="H51" i="1"/>
  <c r="G51" i="1"/>
  <c r="H50" i="1"/>
  <c r="H49" i="1"/>
  <c r="H48" i="1"/>
  <c r="H47" i="1"/>
  <c r="G48" i="1"/>
  <c r="G47" i="1"/>
  <c r="G49" i="1"/>
  <c r="G50" i="1"/>
  <c r="J42" i="7" l="1"/>
  <c r="E13" i="7" l="1"/>
  <c r="E29" i="7"/>
  <c r="J69" i="2"/>
  <c r="K26" i="2" l="1"/>
  <c r="M34" i="2" s="1"/>
  <c r="K50" i="2"/>
  <c r="K55" i="2"/>
  <c r="K38" i="3"/>
  <c r="M58" i="2" l="1"/>
  <c r="J100" i="5"/>
  <c r="F15" i="5" s="1"/>
  <c r="J96" i="5"/>
  <c r="E59" i="5" l="1"/>
  <c r="K59" i="5" s="1"/>
  <c r="E61" i="5"/>
  <c r="K60" i="5"/>
  <c r="L18" i="1"/>
  <c r="J97" i="5" l="1"/>
  <c r="D20" i="5" s="1"/>
  <c r="K45" i="5" l="1"/>
  <c r="K86" i="5" l="1"/>
  <c r="K29" i="5"/>
  <c r="H34" i="6" l="1"/>
  <c r="K28" i="5" l="1"/>
  <c r="K37" i="6" l="1"/>
  <c r="K53" i="3" l="1"/>
  <c r="K28" i="3" l="1"/>
  <c r="K48" i="3"/>
  <c r="K23" i="3"/>
  <c r="K43" i="3"/>
  <c r="K18" i="3"/>
  <c r="M43" i="3" l="1"/>
  <c r="G23" i="6" s="1"/>
  <c r="K68" i="5" l="1"/>
  <c r="K23" i="5"/>
  <c r="K35" i="5"/>
  <c r="K77" i="5" l="1"/>
  <c r="M66" i="5" s="1"/>
  <c r="K25" i="5" l="1"/>
  <c r="J99" i="5"/>
  <c r="E14" i="5" s="1"/>
  <c r="K24" i="5"/>
  <c r="K37" i="5" l="1"/>
  <c r="K47" i="5" l="1"/>
  <c r="K91" i="5"/>
  <c r="K26" i="5" l="1"/>
  <c r="K13" i="5" l="1"/>
  <c r="K22" i="5"/>
  <c r="K64" i="5"/>
  <c r="K20" i="5"/>
  <c r="P20" i="5" s="1"/>
  <c r="P26" i="5" l="1"/>
  <c r="M30" i="5"/>
  <c r="F43" i="6" s="1"/>
  <c r="K82" i="5"/>
  <c r="K90" i="5"/>
  <c r="K38" i="5"/>
  <c r="K46" i="5"/>
  <c r="K73" i="5"/>
  <c r="K81" i="5"/>
  <c r="M78" i="5" l="1"/>
  <c r="P28" i="5"/>
  <c r="P29" i="5"/>
  <c r="M75" i="5"/>
  <c r="L54" i="5" s="1"/>
  <c r="L34" i="1" l="1"/>
  <c r="I21" i="6" l="1"/>
  <c r="L21" i="1" l="1"/>
  <c r="L46" i="1"/>
  <c r="L31" i="1"/>
  <c r="L41" i="1" l="1"/>
  <c r="L16" i="1"/>
  <c r="L36" i="1"/>
  <c r="L11" i="1"/>
  <c r="L6" i="1"/>
  <c r="M14" i="1" l="1"/>
  <c r="N38" i="1"/>
  <c r="P6" i="1"/>
  <c r="F15" i="6" s="1"/>
  <c r="K15" i="6" l="1"/>
  <c r="K43" i="4" l="1"/>
  <c r="K46" i="4"/>
  <c r="K35" i="4"/>
  <c r="H11" i="6" l="1"/>
  <c r="I11" i="6"/>
  <c r="J11" i="6"/>
  <c r="H16" i="6"/>
  <c r="I16" i="6"/>
  <c r="J16" i="6"/>
  <c r="H21" i="6"/>
  <c r="J21" i="6"/>
  <c r="H26" i="6"/>
  <c r="I26" i="6"/>
  <c r="J26" i="6"/>
  <c r="I34" i="6"/>
  <c r="J34" i="6"/>
  <c r="K31" i="6" l="1"/>
  <c r="K39" i="4" l="1"/>
  <c r="K21" i="4"/>
  <c r="K17" i="4"/>
  <c r="K12" i="4"/>
  <c r="K26" i="4"/>
  <c r="M20" i="4" l="1"/>
  <c r="F30" i="6" s="1"/>
  <c r="K10" i="4"/>
  <c r="K30" i="6" l="1"/>
  <c r="K15" i="4" l="1"/>
  <c r="K20" i="4"/>
  <c r="K20" i="7" l="1"/>
  <c r="K36" i="7"/>
  <c r="K55" i="3" l="1"/>
  <c r="K50" i="3"/>
  <c r="K47" i="3"/>
  <c r="K40" i="3"/>
  <c r="K45" i="3"/>
  <c r="K22" i="3"/>
  <c r="K20" i="3"/>
  <c r="K42" i="3"/>
  <c r="G25" i="6" l="1"/>
  <c r="G24" i="6"/>
  <c r="K17" i="7" l="1"/>
  <c r="K23" i="7" l="1"/>
  <c r="K39" i="7"/>
  <c r="K16" i="7"/>
  <c r="K30" i="7"/>
  <c r="K14" i="7"/>
  <c r="K33" i="7"/>
  <c r="M32" i="7" l="1"/>
  <c r="K29" i="7"/>
  <c r="K13" i="7"/>
  <c r="M16" i="7"/>
  <c r="F32" i="6" s="1"/>
  <c r="K32" i="6" s="1"/>
  <c r="F4" i="7"/>
  <c r="G4" i="7"/>
  <c r="D5" i="7"/>
  <c r="L26" i="7" l="1"/>
  <c r="K32" i="7"/>
  <c r="K38" i="7"/>
  <c r="K22" i="7"/>
  <c r="K35" i="7"/>
  <c r="M31" i="7" l="1"/>
  <c r="G33" i="6" s="1"/>
  <c r="K19" i="7"/>
  <c r="M15" i="7" l="1"/>
  <c r="F33" i="6" s="1"/>
  <c r="K33" i="6" s="1"/>
  <c r="G26" i="6"/>
  <c r="L25" i="7" l="1"/>
  <c r="L38" i="1"/>
  <c r="L33" i="1"/>
  <c r="L28" i="1" l="1"/>
  <c r="H6" i="4" l="1"/>
  <c r="C6" i="4" l="1"/>
  <c r="C7" i="4" l="1"/>
  <c r="C11" i="4" s="1"/>
  <c r="H7" i="4" l="1"/>
  <c r="H11" i="4" s="1"/>
  <c r="K11" i="4" l="1"/>
  <c r="M18" i="4" s="1"/>
  <c r="D5" i="5"/>
  <c r="G4" i="5"/>
  <c r="F4" i="5"/>
  <c r="F29" i="6" l="1"/>
  <c r="K29" i="6" s="1"/>
  <c r="K58" i="5"/>
  <c r="K61" i="5"/>
  <c r="K62" i="5"/>
  <c r="K63" i="5"/>
  <c r="K14" i="5"/>
  <c r="K15" i="5"/>
  <c r="K16" i="5"/>
  <c r="K18" i="5"/>
  <c r="K66" i="5"/>
  <c r="K27" i="5"/>
  <c r="K31" i="5"/>
  <c r="K40" i="5"/>
  <c r="K67" i="5"/>
  <c r="K69" i="5"/>
  <c r="K70" i="5"/>
  <c r="K71" i="5"/>
  <c r="K75" i="5"/>
  <c r="K76" i="5"/>
  <c r="K78" i="5"/>
  <c r="K79" i="5"/>
  <c r="K80" i="5"/>
  <c r="K84" i="5"/>
  <c r="K85" i="5"/>
  <c r="K87" i="5"/>
  <c r="K88" i="5"/>
  <c r="K89" i="5"/>
  <c r="M68" i="5" l="1"/>
  <c r="M17" i="5"/>
  <c r="F35" i="6" s="1"/>
  <c r="P17" i="5"/>
  <c r="M15" i="5"/>
  <c r="F36" i="6" s="1"/>
  <c r="M71" i="5"/>
  <c r="M63" i="5"/>
  <c r="P25" i="5"/>
  <c r="P27" i="5"/>
  <c r="M69" i="5"/>
  <c r="P14" i="5"/>
  <c r="P31" i="5"/>
  <c r="P30" i="5"/>
  <c r="K57" i="5"/>
  <c r="P24" i="5" l="1"/>
  <c r="M61" i="5"/>
  <c r="L49" i="5" l="1"/>
  <c r="L81" i="5"/>
  <c r="K35" i="6"/>
  <c r="P32" i="5"/>
  <c r="K42" i="4"/>
  <c r="K45" i="4"/>
  <c r="K33" i="4"/>
  <c r="K41" i="4"/>
  <c r="K47" i="4"/>
  <c r="M40" i="4" s="1"/>
  <c r="L30" i="4" s="1"/>
  <c r="G34" i="6" l="1"/>
  <c r="K36" i="6"/>
  <c r="K38" i="4"/>
  <c r="K37" i="4"/>
  <c r="M36" i="4" s="1"/>
  <c r="K34" i="4" l="1"/>
  <c r="M38" i="4" s="1"/>
  <c r="L43" i="4" s="1"/>
  <c r="G21" i="2" l="1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" i="2"/>
  <c r="L3" i="2" l="1"/>
  <c r="L18" i="2"/>
  <c r="L13" i="2"/>
  <c r="L8" i="2"/>
  <c r="L39" i="1" l="1"/>
  <c r="L43" i="1"/>
  <c r="N32" i="1" s="1"/>
  <c r="L44" i="1"/>
  <c r="L13" i="1"/>
  <c r="L14" i="1"/>
  <c r="L19" i="1"/>
  <c r="L8" i="1"/>
  <c r="L9" i="1"/>
  <c r="L29" i="1"/>
  <c r="N34" i="1" l="1"/>
  <c r="M40" i="1" s="1"/>
  <c r="G12" i="6"/>
  <c r="L4" i="1"/>
  <c r="M9" i="1" s="1"/>
  <c r="M25" i="1" s="1"/>
  <c r="G13" i="6" l="1"/>
  <c r="G11" i="6" s="1"/>
  <c r="M24" i="1"/>
  <c r="F13" i="6"/>
  <c r="P4" i="1"/>
  <c r="K13" i="6" l="1"/>
  <c r="K24" i="4"/>
  <c r="M15" i="4" s="1"/>
  <c r="F28" i="6" l="1"/>
  <c r="K28" i="6" s="1"/>
  <c r="L29" i="4"/>
  <c r="K27" i="3" l="1"/>
  <c r="K52" i="3"/>
  <c r="K12" i="3"/>
  <c r="K37" i="3"/>
  <c r="M41" i="3" l="1"/>
  <c r="G22" i="6" s="1"/>
  <c r="K15" i="3"/>
  <c r="L51" i="3" l="1"/>
  <c r="G21" i="6"/>
  <c r="K32" i="5"/>
  <c r="K33" i="5"/>
  <c r="K34" i="5" l="1"/>
  <c r="K36" i="5"/>
  <c r="K41" i="5"/>
  <c r="M18" i="5" s="1"/>
  <c r="F41" i="6" s="1"/>
  <c r="K41" i="6" l="1"/>
  <c r="P15" i="5"/>
  <c r="K42" i="5"/>
  <c r="M22" i="5" s="1"/>
  <c r="F39" i="6" s="1"/>
  <c r="L51" i="5" l="1"/>
  <c r="L53" i="5"/>
  <c r="P16" i="5"/>
  <c r="K39" i="6" l="1"/>
  <c r="K43" i="5"/>
  <c r="M24" i="5" s="1"/>
  <c r="F38" i="6" s="1"/>
  <c r="K38" i="6" l="1"/>
  <c r="P18" i="5"/>
  <c r="L50" i="5" l="1"/>
  <c r="K44" i="5"/>
  <c r="G7" i="3" l="1"/>
  <c r="K17" i="3" l="1"/>
  <c r="M16" i="3" s="1"/>
  <c r="H7" i="3"/>
  <c r="O13" i="3" l="1"/>
  <c r="F22" i="6" l="1"/>
  <c r="K22" i="6" s="1"/>
  <c r="K14" i="4"/>
  <c r="K9" i="4"/>
  <c r="K19" i="4"/>
  <c r="K23" i="4"/>
  <c r="M13" i="4" l="1"/>
  <c r="L21" i="4" s="1"/>
  <c r="K30" i="3"/>
  <c r="F27" i="6" l="1"/>
  <c r="K27" i="6" s="1"/>
  <c r="K26" i="6" s="1"/>
  <c r="L28" i="4"/>
  <c r="F26" i="6" l="1"/>
  <c r="L3" i="1"/>
  <c r="H53" i="1"/>
  <c r="P3" i="1" l="1"/>
  <c r="P7" i="1" s="1"/>
  <c r="M7" i="1"/>
  <c r="M23" i="1" s="1"/>
  <c r="F12" i="6" l="1"/>
  <c r="F11" i="6" s="1"/>
  <c r="M18" i="1"/>
  <c r="K12" i="6" l="1"/>
  <c r="K11" i="6" s="1"/>
  <c r="K25" i="3"/>
  <c r="M20" i="3" l="1"/>
  <c r="F25" i="6" s="1"/>
  <c r="O16" i="3"/>
  <c r="K25" i="6" l="1"/>
  <c r="K24" i="2" l="1"/>
  <c r="K35" i="2"/>
  <c r="K34" i="2"/>
  <c r="K30" i="2"/>
  <c r="K25" i="2"/>
  <c r="K48" i="2"/>
  <c r="K59" i="2"/>
  <c r="K51" i="2"/>
  <c r="K49" i="2"/>
  <c r="K42" i="2"/>
  <c r="K39" i="2"/>
  <c r="K61" i="2"/>
  <c r="K37" i="2"/>
  <c r="K32" i="2"/>
  <c r="K29" i="2"/>
  <c r="K27" i="2"/>
  <c r="K54" i="2"/>
  <c r="K63" i="2"/>
  <c r="K56" i="2"/>
  <c r="K66" i="2"/>
  <c r="K58" i="2"/>
  <c r="K53" i="2"/>
  <c r="M28" i="2" l="1"/>
  <c r="M36" i="2"/>
  <c r="O27" i="2"/>
  <c r="M60" i="2"/>
  <c r="O24" i="2"/>
  <c r="M52" i="2"/>
  <c r="G17" i="6" s="1"/>
  <c r="O30" i="2"/>
  <c r="O34" i="2" l="1"/>
  <c r="G20" i="6"/>
  <c r="O28" i="2"/>
  <c r="F20" i="6"/>
  <c r="G19" i="6"/>
  <c r="F17" i="6"/>
  <c r="L44" i="2"/>
  <c r="O32" i="2"/>
  <c r="F19" i="6"/>
  <c r="K17" i="5" l="1"/>
  <c r="M27" i="5" s="1"/>
  <c r="F40" i="6" s="1"/>
  <c r="L52" i="5" l="1"/>
  <c r="K40" i="6"/>
  <c r="P21" i="5"/>
  <c r="K40" i="2"/>
  <c r="M30" i="2" s="1"/>
  <c r="K64" i="2"/>
  <c r="M54" i="2" s="1"/>
  <c r="L63" i="2" s="1"/>
  <c r="O25" i="2" l="1"/>
  <c r="O29" i="2" s="1"/>
  <c r="G18" i="6"/>
  <c r="O35" i="2"/>
  <c r="L39" i="2"/>
  <c r="F18" i="6" l="1"/>
  <c r="G16" i="6"/>
  <c r="L45" i="2"/>
  <c r="K16" i="6" l="1"/>
  <c r="F16" i="6"/>
  <c r="K13" i="3" l="1"/>
  <c r="M18" i="3" s="1"/>
  <c r="O14" i="3" l="1"/>
  <c r="F23" i="6" l="1"/>
  <c r="K23" i="6" s="1"/>
  <c r="K19" i="5" l="1"/>
  <c r="M26" i="5" s="1"/>
  <c r="F42" i="6" s="1"/>
  <c r="K42" i="6" s="1"/>
  <c r="L33" i="5" l="1"/>
  <c r="P19" i="5"/>
  <c r="P22" i="5" s="1"/>
  <c r="F34" i="6" l="1"/>
  <c r="K34" i="6" l="1"/>
  <c r="K14" i="3"/>
  <c r="M19" i="3" s="1"/>
  <c r="O15" i="3" l="1"/>
  <c r="O17" i="3" s="1"/>
  <c r="F24" i="6" l="1"/>
  <c r="L27" i="3"/>
  <c r="K24" i="6" l="1"/>
  <c r="K21" i="6" s="1"/>
  <c r="F21" i="6"/>
  <c r="G3" i="3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3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3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<sst xmlns="http://schemas.openxmlformats.org/spreadsheetml/2006/main" count="3892" uniqueCount="594">
  <si>
    <t>IN Stock</t>
  </si>
  <si>
    <t>W1</t>
  </si>
  <si>
    <t>TOTAL
IN</t>
  </si>
  <si>
    <t>A</t>
  </si>
  <si>
    <t>B</t>
  </si>
  <si>
    <t>W2</t>
  </si>
  <si>
    <t>W3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</si>
  <si>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</si>
  <si>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</si>
  <si>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</si>
  <si>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</si>
  <si>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</si>
  <si>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</si>
  <si>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</si>
  <si>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</si>
  <si>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</si>
  <si>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</si>
  <si>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</si>
  <si>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</si>
  <si>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</si>
  <si>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</si>
  <si>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</si>
  <si>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</si>
  <si>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</si>
  <si>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</si>
  <si>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</si>
  <si>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</si>
  <si>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</si>
  <si>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</si>
  <si>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</si>
  <si>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</si>
  <si>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</si>
  <si>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</si>
  <si>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</si>
  <si>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</si>
  <si>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</si>
  <si>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</si>
  <si>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</si>
  <si>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</si>
  <si>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</si>
  <si>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</si>
  <si>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</si>
  <si>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</si>
  <si>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</si>
  <si>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</si>
  <si>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</si>
  <si>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</si>
  <si>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</si>
  <si>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</si>
  <si>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</si>
  <si>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</si>
  <si>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</si>
  <si>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</si>
  <si>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</si>
  <si>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</si>
  <si>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</si>
  <si>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</si>
  <si>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</si>
  <si>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</si>
  <si>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</si>
  <si>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</si>
  <si>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</si>
  <si>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</si>
  <si>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</si>
  <si>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</si>
  <si>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</si>
  <si>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</si>
  <si>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</si>
  <si>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</si>
  <si>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</si>
  <si>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</si>
  <si>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</si>
  <si>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</si>
  <si>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</si>
  <si>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</si>
  <si>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</si>
  <si>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</si>
  <si>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</si>
  <si>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</si>
  <si>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</si>
  <si>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</si>
  <si>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</si>
  <si>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</si>
  <si>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</si>
  <si>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</si>
  <si>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</si>
  <si>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</si>
  <si>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</si>
  <si>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</si>
  <si>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</si>
  <si>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</si>
  <si>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</si>
  <si>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1.1.1</t>
  </si>
  <si>
    <t>1.2.1</t>
  </si>
  <si>
    <t xml:space="preserve">B </t>
  </si>
  <si>
    <t>1.3.1</t>
  </si>
  <si>
    <t>Black</t>
  </si>
  <si>
    <t>1.3.2</t>
  </si>
  <si>
    <t>AT</t>
  </si>
  <si>
    <t>1.3.3</t>
  </si>
  <si>
    <t>SB</t>
  </si>
  <si>
    <t>1.4.1</t>
  </si>
  <si>
    <t>1.4.2</t>
  </si>
  <si>
    <t>1.4.3</t>
  </si>
  <si>
    <t>1.4.4</t>
  </si>
  <si>
    <t>CPA</t>
  </si>
  <si>
    <t>រាប់ស្តុកដោយ</t>
  </si>
  <si>
    <t>Checked by</t>
  </si>
  <si>
    <t>Count Stock by</t>
  </si>
  <si>
    <t>VO VAN LUC</t>
  </si>
  <si>
    <t>Bảng 1</t>
  </si>
  <si>
    <t>Nhập (IN)</t>
  </si>
  <si>
    <t>Đã sản xuất (OUT)</t>
  </si>
  <si>
    <t>Sum</t>
  </si>
  <si>
    <t>Nhập (In)</t>
  </si>
  <si>
    <t>Đã sản xuất (Out)</t>
  </si>
  <si>
    <t>Xuất (Out)</t>
  </si>
  <si>
    <t>D31</t>
  </si>
  <si>
    <t>TOTAL OUT</t>
  </si>
  <si>
    <t>ENDDING</t>
  </si>
  <si>
    <t>CPB​​ 70%</t>
  </si>
  <si>
    <t>ថ្មជាក់ស្ដែង</t>
  </si>
  <si>
    <t>G4</t>
  </si>
  <si>
    <t>ឯកភាពដោយ</t>
  </si>
  <si>
    <t>Approved by</t>
  </si>
  <si>
    <t>ត្រួតពិនិត្យដោយ</t>
  </si>
  <si>
    <t>KOH CHEN NARY</t>
  </si>
  <si>
    <t>MC</t>
  </si>
  <si>
    <t>STT</t>
  </si>
  <si>
    <t>DIỄN GIẢI</t>
  </si>
  <si>
    <t>PHÂN LOẠI</t>
  </si>
  <si>
    <t>TỒN ĐẦU</t>
  </si>
  <si>
    <t>KHỐI LƯỢNG NHẬP KHO</t>
  </si>
  <si>
    <t>SẢN XUẤT</t>
  </si>
  <si>
    <t xml:space="preserve">BÁN </t>
  </si>
  <si>
    <t>HỖ TRỢ</t>
  </si>
  <si>
    <t>TRỪ NỨT</t>
  </si>
  <si>
    <t>TỒN CUỐI</t>
  </si>
  <si>
    <t>THỰC TẾ</t>
  </si>
  <si>
    <t>ថ្មប្លុកពីអណ្តូងបញ្ចូលក្នុងរោងចក្រ/ 
ĐÁ KHỐI TỪ MỎ CHUYỂN ĐẾN NHÀ MÁY</t>
  </si>
  <si>
    <t xml:space="preserve">ថ្មប្លុក / Block Stone </t>
  </si>
  <si>
    <t>ថ្មប្លុកបញ្ចេញអារក្នុងរោងចក្រ/ 
ĐÁ KHỐI CƯA ĐƯỢC TẠI NHÀ MÁY</t>
  </si>
  <si>
    <t>ថ្មប្លុក / Block Stone​​ ​
Đá Khối</t>
  </si>
  <si>
    <t>ថ្មអាដាប់ក្នុងរោងចក្រ / 
 ĐÁ SLAB TẠI NHÀ MÁY</t>
  </si>
  <si>
    <t xml:space="preserve">ថ្មមិនទាន់ប៉ូលា / No Polish Slab
Đá Slab </t>
  </si>
  <si>
    <t>ថ្មស្លាបប៉ូលាចូលប៉ាឡែត/ 
ĐÁ SLAB POLEA VÀO PALLET</t>
  </si>
  <si>
    <t>ថ្មស្លាបប៉ូលា / Polished Slab Stone
Đá Polea</t>
  </si>
  <si>
    <t>ថ្មបាញ់ខ្សាច់+បោស Antique Stone
Đá bắn cát đem đi Polea</t>
  </si>
  <si>
    <t>ថ្មបាញ់ខ្សាច់ Sand Blast Slab Stone
Đá Bắn cát</t>
  </si>
  <si>
    <t>ថ្មកាត់ខ្នាតអចិន្ត្រៃយ៍ / 
ĐÁ CÁT QUY CÁCH</t>
  </si>
  <si>
    <t xml:space="preserve">ថ្មស្លាបប៉ូលា កាត់ខ្នាត
Polea Cắt Quy cách </t>
  </si>
  <si>
    <t>ថ្មស្លាបប៉ូលា70%  កាត់ខ្នាត
Polea 70% Cắt quy cách</t>
  </si>
  <si>
    <t>ថ្មប៉ូឌៀរកាត់ខ្នាត- Đá Bó Vỉa</t>
  </si>
  <si>
    <t>ថ្មបាញ់ខ្សាច់ + បោស កាត់ខ្នាត
Đá bắn cát - Polea Cắt Quy cách</t>
  </si>
  <si>
    <t>ថ្មស្លាបមិនប៉ូលា កាត់ខ្នាត
Đá Slab Cắt Quy cách</t>
  </si>
  <si>
    <t>ថ្មបាញ់ខ្សាច់ កាត់ខ្នាត
Đá Bắn cát Cắt Quy Cách</t>
  </si>
  <si>
    <t>MIC</t>
  </si>
  <si>
    <t>TOTAL OUT
OUT STOCK</t>
  </si>
  <si>
    <t>ថ្មមិច
Đá MIC</t>
  </si>
  <si>
    <t>1.4.5</t>
  </si>
  <si>
    <t xml:space="preserve">  </t>
  </si>
  <si>
    <t>1.4.6</t>
  </si>
  <si>
    <t>1.4.7</t>
  </si>
  <si>
    <t>1.4.8</t>
  </si>
  <si>
    <t>​I</t>
  </si>
  <si>
    <t>MIX</t>
  </si>
  <si>
    <t>CPSB</t>
  </si>
  <si>
    <t>ថ្មប៉ូលាបាញ់ខ្សាច់
Đá CPSB</t>
  </si>
  <si>
    <t>1.4.9</t>
  </si>
  <si>
    <t>HO QUOC CUONG</t>
  </si>
  <si>
    <r>
      <rPr>
        <b/>
        <sz val="16"/>
        <rFont val="Khmer OS Battambang"/>
      </rPr>
      <t>លរ</t>
    </r>
    <r>
      <rPr>
        <b/>
        <sz val="16"/>
        <rFont val="Times New Roman"/>
        <family val="1"/>
      </rPr>
      <t xml:space="preserve">
No</t>
    </r>
  </si>
  <si>
    <r>
      <rPr>
        <b/>
        <sz val="16"/>
        <rFont val="Khmer OS Battambang"/>
      </rPr>
      <t>កំរិត</t>
    </r>
    <r>
      <rPr>
        <b/>
        <sz val="16"/>
        <rFont val="Times New Roman"/>
        <family val="1"/>
      </rPr>
      <t xml:space="preserve">
Grade</t>
    </r>
  </si>
  <si>
    <r>
      <rPr>
        <b/>
        <sz val="16"/>
        <rFont val="Khmer OS Battambang"/>
      </rPr>
      <t>បរិមាណដើមគ្រា</t>
    </r>
    <r>
      <rPr>
        <b/>
        <sz val="16"/>
        <rFont val="Times New Roman"/>
        <family val="1"/>
      </rPr>
      <t xml:space="preserve">
Beginning Quantity M3/M2</t>
    </r>
  </si>
  <si>
    <r>
      <rPr>
        <b/>
        <sz val="16"/>
        <rFont val="Khmer OS Battambang"/>
      </rPr>
      <t>ផលផលិតបាន</t>
    </r>
    <r>
      <rPr>
        <b/>
        <sz val="20"/>
        <rFont val="Times New Roman"/>
        <family val="1"/>
      </rPr>
      <t xml:space="preserve">
In Stock M3/M2</t>
    </r>
  </si>
  <si>
    <r>
      <rPr>
        <b/>
        <sz val="16"/>
        <rFont val="Khmer OS Battambang"/>
      </rPr>
      <t>បរិមាណស្តុកចេញ</t>
    </r>
    <r>
      <rPr>
        <b/>
        <sz val="16"/>
        <rFont val="Times New Roman"/>
        <family val="1"/>
      </rPr>
      <t xml:space="preserve">
Out Stock M3/M2</t>
    </r>
  </si>
  <si>
    <r>
      <rPr>
        <b/>
        <sz val="16"/>
        <rFont val="Khmer OS Battambang"/>
      </rPr>
      <t>សមតុល្យ</t>
    </r>
    <r>
      <rPr>
        <b/>
        <sz val="16"/>
        <rFont val="Times New Roman"/>
        <family val="1"/>
      </rPr>
      <t xml:space="preserve">
Endding Balance M3/M2</t>
    </r>
  </si>
  <si>
    <r>
      <rPr>
        <b/>
        <sz val="16"/>
        <rFont val="Khmer OS Battambang"/>
      </rPr>
      <t>កែច្នៃបន្ត</t>
    </r>
    <r>
      <rPr>
        <b/>
        <sz val="16"/>
        <rFont val="Times New Roman"/>
        <family val="1"/>
      </rPr>
      <t xml:space="preserve">
For Production</t>
    </r>
  </si>
  <si>
    <r>
      <rPr>
        <b/>
        <sz val="16"/>
        <rFont val="Khmer OS Battambang"/>
      </rPr>
      <t>លក់</t>
    </r>
    <r>
      <rPr>
        <b/>
        <sz val="16"/>
        <rFont val="Times New Roman"/>
        <family val="1"/>
      </rPr>
      <t xml:space="preserve">
For Sale</t>
    </r>
  </si>
  <si>
    <r>
      <rPr>
        <b/>
        <sz val="16"/>
        <rFont val="Khmer OS Battambang"/>
      </rPr>
      <t>ឧបត្ថម្ភ</t>
    </r>
    <r>
      <rPr>
        <b/>
        <sz val="16"/>
        <rFont val="Times New Roman"/>
        <family val="1"/>
      </rPr>
      <t xml:space="preserve">
For Sponsor</t>
    </r>
  </si>
  <si>
    <r>
      <rPr>
        <b/>
        <sz val="16"/>
        <rFont val="Khmer OS Battambang"/>
      </rPr>
      <t>ខូចខាត</t>
    </r>
    <r>
      <rPr>
        <b/>
        <sz val="16"/>
        <rFont val="Times New Roman"/>
        <family val="1"/>
      </rPr>
      <t xml:space="preserve">
Broken</t>
    </r>
  </si>
  <si>
    <t>CBD 60x30x1.8</t>
  </si>
  <si>
    <t xml:space="preserve"> </t>
  </si>
  <si>
    <t>05</t>
  </si>
  <si>
    <t>06</t>
  </si>
  <si>
    <t>09</t>
  </si>
  <si>
    <t>12</t>
  </si>
  <si>
    <t>278</t>
  </si>
  <si>
    <t>03</t>
  </si>
  <si>
    <t>07</t>
  </si>
  <si>
    <t>37</t>
  </si>
  <si>
    <t>38</t>
  </si>
  <si>
    <t>61</t>
  </si>
  <si>
    <t>63</t>
  </si>
  <si>
    <t>65</t>
  </si>
  <si>
    <t>67</t>
  </si>
  <si>
    <t>75</t>
  </si>
  <si>
    <t>24</t>
  </si>
  <si>
    <t>31</t>
  </si>
  <si>
    <t>32</t>
  </si>
  <si>
    <t>34</t>
  </si>
  <si>
    <t>49</t>
  </si>
  <si>
    <t>52</t>
  </si>
  <si>
    <t>54</t>
  </si>
  <si>
    <t>62</t>
  </si>
  <si>
    <t>72</t>
  </si>
  <si>
    <t>82</t>
  </si>
  <si>
    <t>89</t>
  </si>
  <si>
    <t>90</t>
  </si>
  <si>
    <t>91</t>
  </si>
  <si>
    <t>30</t>
  </si>
  <si>
    <t>36</t>
  </si>
  <si>
    <t>42</t>
  </si>
  <si>
    <t>44</t>
  </si>
  <si>
    <t>111</t>
  </si>
  <si>
    <t>51</t>
  </si>
  <si>
    <t>56</t>
  </si>
  <si>
    <t>69</t>
  </si>
  <si>
    <t>70</t>
  </si>
  <si>
    <t>71</t>
  </si>
  <si>
    <t>74</t>
  </si>
  <si>
    <t>76</t>
  </si>
  <si>
    <t>78</t>
  </si>
  <si>
    <t>79</t>
  </si>
  <si>
    <t>80</t>
  </si>
  <si>
    <t>116</t>
  </si>
  <si>
    <t>117</t>
  </si>
  <si>
    <t>118</t>
  </si>
  <si>
    <t>121</t>
  </si>
  <si>
    <t>127</t>
  </si>
  <si>
    <t>134</t>
  </si>
  <si>
    <t>135</t>
  </si>
  <si>
    <t>139</t>
  </si>
  <si>
    <t>83</t>
  </si>
  <si>
    <t>88</t>
  </si>
  <si>
    <t>93</t>
  </si>
  <si>
    <t>94</t>
  </si>
  <si>
    <t>95</t>
  </si>
  <si>
    <t>98</t>
  </si>
  <si>
    <t>100</t>
  </si>
  <si>
    <t>104</t>
  </si>
  <si>
    <t>112</t>
  </si>
  <si>
    <t>122</t>
  </si>
  <si>
    <t>123</t>
  </si>
  <si>
    <t>125</t>
  </si>
  <si>
    <t>128</t>
  </si>
  <si>
    <t>130</t>
  </si>
  <si>
    <t>144</t>
  </si>
  <si>
    <t>152</t>
  </si>
  <si>
    <t>153</t>
  </si>
  <si>
    <t>157</t>
  </si>
  <si>
    <t>159</t>
  </si>
  <si>
    <t>142</t>
  </si>
  <si>
    <t>147</t>
  </si>
  <si>
    <t>149</t>
  </si>
  <si>
    <t>180</t>
  </si>
  <si>
    <t>183</t>
  </si>
  <si>
    <t>186</t>
  </si>
  <si>
    <t>187</t>
  </si>
  <si>
    <t>191</t>
  </si>
  <si>
    <t>195</t>
  </si>
  <si>
    <t>196</t>
  </si>
  <si>
    <t>201</t>
  </si>
  <si>
    <t>204</t>
  </si>
  <si>
    <t>225</t>
  </si>
  <si>
    <t>229</t>
  </si>
  <si>
    <t>235</t>
  </si>
  <si>
    <t>236</t>
  </si>
  <si>
    <t>40</t>
  </si>
  <si>
    <t>47</t>
  </si>
  <si>
    <t>108</t>
  </si>
  <si>
    <t>131</t>
  </si>
  <si>
    <t>133</t>
  </si>
  <si>
    <t>138</t>
  </si>
  <si>
    <t>141</t>
  </si>
  <si>
    <t>155</t>
  </si>
  <si>
    <t>156</t>
  </si>
  <si>
    <t>168</t>
  </si>
  <si>
    <t>176</t>
  </si>
  <si>
    <t>182</t>
  </si>
  <si>
    <t>188</t>
  </si>
  <si>
    <t>189</t>
  </si>
  <si>
    <t>192</t>
  </si>
  <si>
    <t>198</t>
  </si>
  <si>
    <t>203</t>
  </si>
  <si>
    <t>205</t>
  </si>
  <si>
    <t>212</t>
  </si>
  <si>
    <t>213</t>
  </si>
  <si>
    <t>216</t>
  </si>
  <si>
    <t>227</t>
  </si>
  <si>
    <t>232</t>
  </si>
  <si>
    <t>240</t>
  </si>
  <si>
    <t>247</t>
  </si>
  <si>
    <t>254</t>
  </si>
  <si>
    <t>255</t>
  </si>
  <si>
    <t>261</t>
  </si>
  <si>
    <t>265</t>
  </si>
  <si>
    <t>269</t>
  </si>
  <si>
    <t>277</t>
  </si>
  <si>
    <t>85</t>
  </si>
  <si>
    <t>99</t>
  </si>
  <si>
    <t>109</t>
  </si>
  <si>
    <t>114</t>
  </si>
  <si>
    <t>137</t>
  </si>
  <si>
    <t>190</t>
  </si>
  <si>
    <t>194</t>
  </si>
  <si>
    <t>214</t>
  </si>
  <si>
    <t>221</t>
  </si>
  <si>
    <t>228</t>
  </si>
  <si>
    <t>234</t>
  </si>
  <si>
    <t>241</t>
  </si>
  <si>
    <t>250</t>
  </si>
  <si>
    <t>256</t>
  </si>
  <si>
    <t>260</t>
  </si>
  <si>
    <t>263</t>
  </si>
  <si>
    <t>272</t>
  </si>
  <si>
    <t>279</t>
  </si>
  <si>
    <t>283</t>
  </si>
  <si>
    <t>288</t>
  </si>
  <si>
    <t>293</t>
  </si>
  <si>
    <t>295</t>
  </si>
  <si>
    <t>296</t>
  </si>
  <si>
    <t>297</t>
  </si>
  <si>
    <t>304</t>
  </si>
  <si>
    <t>319</t>
  </si>
  <si>
    <t>326</t>
  </si>
  <si>
    <t>327</t>
  </si>
  <si>
    <t>329</t>
  </si>
  <si>
    <t>333</t>
  </si>
  <si>
    <t>338</t>
  </si>
  <si>
    <t>339</t>
  </si>
  <si>
    <t>342</t>
  </si>
  <si>
    <t>345</t>
  </si>
  <si>
    <t>349</t>
  </si>
  <si>
    <t>351</t>
  </si>
  <si>
    <t>352</t>
  </si>
  <si>
    <t>359</t>
  </si>
  <si>
    <t>365</t>
  </si>
  <si>
    <t>366</t>
  </si>
  <si>
    <t>378</t>
  </si>
  <si>
    <t>13</t>
  </si>
  <si>
    <t>33</t>
  </si>
  <si>
    <t>381</t>
  </si>
  <si>
    <t>383</t>
  </si>
  <si>
    <t>384</t>
  </si>
  <si>
    <t>385</t>
  </si>
  <si>
    <t>386</t>
  </si>
  <si>
    <t>388</t>
  </si>
  <si>
    <t>389</t>
  </si>
  <si>
    <t>392</t>
  </si>
  <si>
    <t>396</t>
  </si>
  <si>
    <t>397</t>
  </si>
  <si>
    <t>399</t>
  </si>
  <si>
    <t>401</t>
  </si>
  <si>
    <t>404</t>
  </si>
  <si>
    <t>64</t>
  </si>
  <si>
    <t>105</t>
  </si>
  <si>
    <t>405</t>
  </si>
  <si>
    <t>407</t>
  </si>
  <si>
    <t>417</t>
  </si>
  <si>
    <t>421</t>
  </si>
  <si>
    <t>422</t>
  </si>
  <si>
    <t>428</t>
  </si>
  <si>
    <t>430</t>
  </si>
  <si>
    <t>434</t>
  </si>
  <si>
    <t>441</t>
  </si>
  <si>
    <t>106</t>
  </si>
  <si>
    <t>113</t>
  </si>
  <si>
    <t>129</t>
  </si>
  <si>
    <t>158</t>
  </si>
  <si>
    <t>160</t>
  </si>
  <si>
    <t>163</t>
  </si>
  <si>
    <t>174</t>
  </si>
  <si>
    <t>193</t>
  </si>
  <si>
    <t>222</t>
  </si>
  <si>
    <t>230</t>
  </si>
  <si>
    <t>447</t>
  </si>
  <si>
    <t>233</t>
  </si>
  <si>
    <t>243</t>
  </si>
  <si>
    <t>244</t>
  </si>
  <si>
    <t>264</t>
  </si>
  <si>
    <t>282</t>
  </si>
  <si>
    <t>294</t>
  </si>
  <si>
    <t>452</t>
  </si>
  <si>
    <t>456</t>
  </si>
  <si>
    <t>457</t>
  </si>
  <si>
    <t>458</t>
  </si>
  <si>
    <t>462</t>
  </si>
  <si>
    <t>464</t>
  </si>
  <si>
    <t>316</t>
  </si>
  <si>
    <t>320</t>
  </si>
  <si>
    <t>328</t>
  </si>
  <si>
    <t>330</t>
  </si>
  <si>
    <t>331</t>
  </si>
  <si>
    <t>346</t>
  </si>
  <si>
    <t>347</t>
  </si>
  <si>
    <t>353</t>
  </si>
  <si>
    <t>361</t>
  </si>
  <si>
    <t>367</t>
  </si>
  <si>
    <t>370</t>
  </si>
  <si>
    <t>371</t>
  </si>
  <si>
    <t>375</t>
  </si>
  <si>
    <t>391</t>
  </si>
  <si>
    <t>395</t>
  </si>
  <si>
    <t>400</t>
  </si>
  <si>
    <t>402</t>
  </si>
  <si>
    <t>406</t>
  </si>
  <si>
    <t>408</t>
  </si>
  <si>
    <t>411</t>
  </si>
  <si>
    <t>412</t>
  </si>
  <si>
    <t>413</t>
  </si>
  <si>
    <t>418</t>
  </si>
  <si>
    <t>432</t>
  </si>
  <si>
    <t>439</t>
  </si>
  <si>
    <t>442</t>
  </si>
  <si>
    <t>450</t>
  </si>
  <si>
    <t>453</t>
  </si>
  <si>
    <t>461</t>
  </si>
  <si>
    <t>465</t>
  </si>
  <si>
    <t>466</t>
  </si>
  <si>
    <t>471</t>
  </si>
  <si>
    <t>472</t>
  </si>
  <si>
    <t>478</t>
  </si>
  <si>
    <t>479</t>
  </si>
  <si>
    <t>482</t>
  </si>
  <si>
    <t>483</t>
  </si>
  <si>
    <t>487</t>
  </si>
  <si>
    <t>489</t>
  </si>
  <si>
    <t>494</t>
  </si>
  <si>
    <t>495</t>
  </si>
  <si>
    <t>497</t>
  </si>
  <si>
    <t>498</t>
  </si>
  <si>
    <t>499</t>
  </si>
  <si>
    <t>500</t>
  </si>
  <si>
    <t>505</t>
  </si>
  <si>
    <t>507</t>
  </si>
  <si>
    <t>518</t>
  </si>
  <si>
    <t>522</t>
  </si>
  <si>
    <t>533</t>
  </si>
  <si>
    <t>534</t>
  </si>
  <si>
    <t>535</t>
  </si>
  <si>
    <t>536</t>
  </si>
  <si>
    <t>537</t>
  </si>
  <si>
    <t>540</t>
  </si>
  <si>
    <t>541</t>
  </si>
  <si>
    <t>543</t>
  </si>
  <si>
    <t>544</t>
  </si>
  <si>
    <t>545</t>
  </si>
  <si>
    <t>546</t>
  </si>
  <si>
    <t>547</t>
  </si>
  <si>
    <t>549</t>
  </si>
  <si>
    <t>550</t>
  </si>
  <si>
    <t>554</t>
  </si>
  <si>
    <t>557</t>
  </si>
  <si>
    <t>558</t>
  </si>
  <si>
    <t>565</t>
  </si>
  <si>
    <t>567</t>
  </si>
  <si>
    <t>577</t>
  </si>
  <si>
    <t>107</t>
  </si>
  <si>
    <t>600</t>
  </si>
  <si>
    <t>601</t>
  </si>
  <si>
    <t>603</t>
  </si>
  <si>
    <t>605</t>
  </si>
  <si>
    <t>606</t>
  </si>
  <si>
    <t>608</t>
  </si>
  <si>
    <t>613</t>
  </si>
  <si>
    <t>614</t>
  </si>
  <si>
    <t>615</t>
  </si>
  <si>
    <t>617</t>
  </si>
  <si>
    <t>618</t>
  </si>
  <si>
    <t>619</t>
  </si>
  <si>
    <t>561</t>
  </si>
  <si>
    <t>262</t>
  </si>
  <si>
    <t>270</t>
  </si>
  <si>
    <t>271</t>
  </si>
  <si>
    <t>284</t>
  </si>
  <si>
    <t>299</t>
  </si>
  <si>
    <t>334</t>
  </si>
  <si>
    <t>335</t>
  </si>
  <si>
    <t>336</t>
  </si>
  <si>
    <t>343</t>
  </si>
  <si>
    <t>382</t>
  </si>
  <si>
    <t>25</t>
  </si>
  <si>
    <t>59</t>
  </si>
  <si>
    <t>403</t>
  </si>
  <si>
    <t>419</t>
  </si>
  <si>
    <t xml:space="preserve">                                                                                                                                                                         </t>
  </si>
  <si>
    <t xml:space="preserve">                                               </t>
  </si>
  <si>
    <t xml:space="preserve">                             </t>
  </si>
  <si>
    <t xml:space="preserve">                                         </t>
  </si>
  <si>
    <t xml:space="preserve">                                                                                         </t>
  </si>
  <si>
    <r>
      <t>M</t>
    </r>
    <r>
      <rPr>
        <b/>
        <vertAlign val="superscript"/>
        <sz val="10"/>
        <color theme="1"/>
        <rFont val="Times New Roman"/>
        <family val="1"/>
      </rPr>
      <t>3</t>
    </r>
  </si>
  <si>
    <t>181</t>
  </si>
  <si>
    <t>TIM CHEN TARA</t>
  </si>
  <si>
    <t>O</t>
  </si>
  <si>
    <t>MC5</t>
  </si>
  <si>
    <t>C1.2.36</t>
  </si>
  <si>
    <t>D1.2.37</t>
  </si>
  <si>
    <t>D1.2.40</t>
  </si>
  <si>
    <t>C1.2.40</t>
  </si>
  <si>
    <t>B1.2.41</t>
  </si>
  <si>
    <t>A1.2.31</t>
  </si>
  <si>
    <t>B1.2.45</t>
  </si>
  <si>
    <t>B1.2.02</t>
  </si>
  <si>
    <t>C1.2.50</t>
  </si>
  <si>
    <t>DA2</t>
  </si>
  <si>
    <t>C1.2.15</t>
  </si>
  <si>
    <t>C1.2.54</t>
  </si>
  <si>
    <t>C1.2.51</t>
  </si>
  <si>
    <t>C1.2.46</t>
  </si>
  <si>
    <t>C1.2.19</t>
  </si>
  <si>
    <t>C1.2.14</t>
  </si>
  <si>
    <t>B1.2.21</t>
  </si>
  <si>
    <t>B1.2.27</t>
  </si>
  <si>
    <t>A1.2.13</t>
  </si>
  <si>
    <t>B1.2.03</t>
  </si>
  <si>
    <t>B1.2.20</t>
  </si>
  <si>
    <t>C1.2.53</t>
  </si>
  <si>
    <t>C1.2.48</t>
  </si>
  <si>
    <t>SUM</t>
  </si>
  <si>
    <t>C.02</t>
  </si>
  <si>
    <t>C1.2.16</t>
  </si>
  <si>
    <t>C1.2.38</t>
  </si>
  <si>
    <t>A1.2.42</t>
  </si>
  <si>
    <t>C1.2.18</t>
  </si>
  <si>
    <t>D1.2.41</t>
  </si>
  <si>
    <t>D1.2.36</t>
  </si>
  <si>
    <t>D1.2.05</t>
  </si>
  <si>
    <t>D1.2.42</t>
  </si>
  <si>
    <t>MC6</t>
  </si>
  <si>
    <t>MC3</t>
  </si>
  <si>
    <t>154</t>
  </si>
  <si>
    <t>211</t>
  </si>
  <si>
    <t>C.01</t>
  </si>
  <si>
    <t>A1.2.01</t>
  </si>
  <si>
    <t>B1.2.29</t>
  </si>
  <si>
    <t>B1.2.44</t>
  </si>
  <si>
    <t>BC</t>
  </si>
  <si>
    <t>MC4</t>
  </si>
  <si>
    <t>B1.2.28</t>
  </si>
  <si>
    <t>02</t>
  </si>
  <si>
    <t>A1.3.09</t>
  </si>
  <si>
    <t>A1.3.10</t>
  </si>
  <si>
    <t>A1.3.12</t>
  </si>
  <si>
    <t>A1.3.11</t>
  </si>
  <si>
    <t>MC1</t>
  </si>
  <si>
    <t>01</t>
  </si>
  <si>
    <t>04</t>
  </si>
  <si>
    <t>08</t>
  </si>
  <si>
    <t>10</t>
  </si>
  <si>
    <t>11</t>
  </si>
  <si>
    <t>14</t>
  </si>
  <si>
    <t>15</t>
  </si>
  <si>
    <t>B1.2.52</t>
  </si>
  <si>
    <t>0</t>
  </si>
  <si>
    <t>C1.2.41</t>
  </si>
  <si>
    <t>C.1.2.48</t>
  </si>
  <si>
    <t>C1.2.23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</si>
  <si>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កុម្ភះ  ឆ្នាំ ២០២៣</t>
    </r>
  </si>
  <si>
    <t>របាយការណ៍ថ្មប្លុកអារ ប្រចាំថ្ងៃក្នុងរោងចក្រ​ ខែ កុម្ភះ ​ឆ្នាំ ២០២៣</t>
  </si>
  <si>
    <t>របាយការណ៍ថ្មស្លាបដាប់បាន ប្រចាំថ្ងៃក្នុងរោងចក្រ​ ខែ កុម្ភះ ឆ្នាំ ២០២៣</t>
  </si>
  <si>
    <t>របាយការណ៍ថ្មស្លាប ប៉ូលាបានប្រចាំថ្ងៃ ដាក់ចូលប៉ាឡែតក្នុងរោងចក្រ​ ខែ កុម្ភះ ឆ្នាំ ២០២៣</t>
  </si>
  <si>
    <t>របាយការណ៍ថ្មកាត់ខ្នាត ប្រចាំថ្ងៃក្នុងរោងចក្រ​ ខែ ​កុម្ភះ ឆ្នាំ ២០២៣</t>
  </si>
  <si>
    <t>របាយការណ៍ថ្មបាញ់ខ្សាច់ ប្រចាំថ្ងៃក្នុងរោងចក្រ​ ខែ កុម្ភះ ឆ្នាំ២០២៣</t>
  </si>
  <si>
    <r>
      <t xml:space="preserve">របាយការណ៍ស្តុកថ្មក្រានីត ប្រចាំខែ កុម្ភះ </t>
    </r>
    <r>
      <rPr>
        <b/>
        <sz val="16"/>
        <rFont val="Times New Roman"/>
        <family val="1"/>
      </rPr>
      <t xml:space="preserve"> 2023</t>
    </r>
  </si>
  <si>
    <t>MONTHLY STOCK STONE GRANITE REPORT 02-2023</t>
  </si>
  <si>
    <t xml:space="preserve"> BÁO CÁO KẾT QUẢ KHAI THÁC ĐÁ VÀ TỒN KHO THÁNG 02 NĂM 2023</t>
  </si>
  <si>
    <t>ថ្ងៃទី​ 28 ​ខែ 21 ឆ្នាំ​ 2023</t>
  </si>
  <si>
    <t>C1.2.32</t>
  </si>
  <si>
    <t>B1.2.47</t>
  </si>
  <si>
    <t>B1.2.40</t>
  </si>
  <si>
    <t>បាញ់ថ្មខាងចិន</t>
  </si>
  <si>
    <t>បាញ់ថ្មខាងឬទ្ធី</t>
  </si>
  <si>
    <t>16</t>
  </si>
  <si>
    <t>17</t>
  </si>
  <si>
    <t>18</t>
  </si>
  <si>
    <t>19</t>
  </si>
  <si>
    <t>20</t>
  </si>
  <si>
    <t>21</t>
  </si>
  <si>
    <t>22</t>
  </si>
  <si>
    <t>23</t>
  </si>
  <si>
    <t>26</t>
  </si>
  <si>
    <t>27</t>
  </si>
  <si>
    <t>28</t>
  </si>
  <si>
    <t>29</t>
  </si>
  <si>
    <t>35</t>
  </si>
  <si>
    <t>39</t>
  </si>
  <si>
    <t>41</t>
  </si>
  <si>
    <t>43</t>
  </si>
  <si>
    <t>45</t>
  </si>
  <si>
    <t>46</t>
  </si>
  <si>
    <t>48</t>
  </si>
  <si>
    <t>50</t>
  </si>
  <si>
    <t>53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</si>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</sst>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0.000"/>
    <numFmt numFmtId="169" formatCode="[$-409]d\-mmm\-yyyy;@"/>
    <numFmt numFmtId="170" formatCode="d/mm/yyyy;@"/>
    <numFmt numFmtId="171" formatCode="_(\ #,##0.00_)&quot;M3&quot;;_(\ \(#,##0.00\)&quot;M3&quot;;_(\ &quot;-&quot;??_)&quot;M3&quot;;_(@_)\ &quot;M3&quot;"/>
    <numFmt numFmtId="172" formatCode="_(\ #,##0.00_)&quot;M2&quot;;_(\ \(#,##0.00\)&quot;M2&quot;;_(\ &quot;-&quot;??_)&quot;M2&quot;;_(@_)\ &quot;M2&quot;"/>
    <numFmt numFmtId="173" formatCode="dd/mm/yyyy;@"/>
    <numFmt numFmtId="174" formatCode="_(* #,##0.000_);_(* \(#,##0.000\);_(* &quot;-&quot;??_);_(@_)"/>
  </numFmts>
  <fonts count="70" x14ac:knownFonts="1">
    <font>
      <sz val="11"/>
      <color theme="1"/>
      <name val="DaunPenh"/>
      <family val="2"/>
      <scheme val="minor"/>
    </font>
    <font>
      <sz val="11"/>
      <color theme="1"/>
      <name val="DaunPenh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theme="1"/>
      <name val="DaunPenh"/>
      <family val="2"/>
      <scheme val="minor"/>
    </font>
    <font>
      <sz val="11"/>
      <name val="Times New Roman"/>
      <family val="1"/>
    </font>
    <font>
      <b/>
      <sz val="12"/>
      <color theme="1"/>
      <name val="DaunPenh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DaunPenh"/>
      <family val="2"/>
      <scheme val="minor"/>
    </font>
    <font>
      <sz val="11"/>
      <color rgb="FFFF0000"/>
      <name val="Times New Roman"/>
      <family val="1"/>
    </font>
    <font>
      <sz val="16"/>
      <color rgb="FFFF0000"/>
      <name val="Times New Roman"/>
      <family val="1"/>
    </font>
    <font>
      <sz val="11"/>
      <color theme="8"/>
      <name val="DaunPenh"/>
      <family val="2"/>
      <scheme val="minor"/>
    </font>
    <font>
      <sz val="11"/>
      <color theme="3"/>
      <name val="DaunPenh"/>
      <family val="2"/>
      <scheme val="minor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DaunPenh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sz val="12"/>
      <color theme="4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00B0F0"/>
      <name val="Times New Roman"/>
      <family val="1"/>
    </font>
    <font>
      <b/>
      <sz val="12"/>
      <color rgb="FF00B0F0"/>
      <name val="Times New Roman"/>
      <family val="1"/>
    </font>
    <font>
      <b/>
      <sz val="11"/>
      <color theme="1"/>
      <name val="DaunPenh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6"/>
      <name val="DaunPenh"/>
      <family val="2"/>
      <scheme val="minor"/>
    </font>
    <font>
      <sz val="16"/>
      <name val="Khmer OS Muol Light"/>
    </font>
    <font>
      <sz val="16"/>
      <name val="Khmer OS Siemreap"/>
    </font>
    <font>
      <b/>
      <sz val="16"/>
      <name val="DaunPenh"/>
      <family val="2"/>
      <scheme val="minor"/>
    </font>
    <font>
      <sz val="16"/>
      <name val="Wingdings"/>
      <charset val="2"/>
    </font>
    <font>
      <b/>
      <sz val="16"/>
      <name val="Arial Narrow"/>
      <family val="2"/>
    </font>
    <font>
      <b/>
      <u/>
      <sz val="16"/>
      <name val="Times New Roman"/>
      <family val="1"/>
    </font>
    <font>
      <b/>
      <sz val="16"/>
      <name val="Khmer OS Battambang"/>
    </font>
    <font>
      <b/>
      <u/>
      <sz val="16"/>
      <name val="Khmer OS Siemreap"/>
    </font>
    <font>
      <b/>
      <sz val="20"/>
      <name val="Times New Roman"/>
      <family val="1"/>
    </font>
    <font>
      <b/>
      <sz val="16"/>
      <name val="Khmer OS Siemreap"/>
    </font>
    <font>
      <sz val="16"/>
      <name val="Times New Roman"/>
      <family val="1"/>
    </font>
    <font>
      <sz val="16"/>
      <name val="Khmer OS Battambang"/>
    </font>
    <font>
      <sz val="11"/>
      <name val="Khmer OS Siemreap"/>
    </font>
    <font>
      <b/>
      <vertAlign val="superscript"/>
      <sz val="10"/>
      <color theme="1"/>
      <name val="Times New Roman"/>
      <family val="1"/>
    </font>
    <font>
      <sz val="9"/>
      <name val="Times New Roman"/>
      <family val="1"/>
    </font>
    <font>
      <b/>
      <sz val="10"/>
      <color theme="1"/>
      <name val="DaunPenh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96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8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8" fontId="20" fillId="0" borderId="1" xfId="0" applyNumberFormat="1" applyFont="1" applyBorder="1" applyAlignment="1">
      <alignment horizontal="center" vertical="center"/>
    </xf>
    <xf numFmtId="168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2" fontId="3" fillId="12" borderId="19" xfId="0" applyNumberFormat="1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3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3" fillId="14" borderId="1" xfId="0" applyNumberFormat="1" applyFont="1" applyFill="1" applyBorder="1" applyAlignment="1">
      <alignment horizontal="center" vertical="center"/>
    </xf>
    <xf numFmtId="2" fontId="23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2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24" fillId="0" borderId="0" xfId="2" applyNumberFormat="1" applyFont="1" applyFill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textRotation="90"/>
    </xf>
    <xf numFmtId="168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14" fontId="13" fillId="8" borderId="28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49" fontId="3" fillId="8" borderId="28" xfId="0" applyNumberFormat="1" applyFont="1" applyFill="1" applyBorder="1" applyAlignment="1">
      <alignment horizontal="center"/>
    </xf>
    <xf numFmtId="2" fontId="13" fillId="8" borderId="28" xfId="0" applyNumberFormat="1" applyFont="1" applyFill="1" applyBorder="1" applyAlignment="1">
      <alignment horizontal="center" vertical="center"/>
    </xf>
    <xf numFmtId="168" fontId="13" fillId="8" borderId="28" xfId="0" applyNumberFormat="1" applyFont="1" applyFill="1" applyBorder="1" applyAlignment="1">
      <alignment horizontal="center" vertical="center"/>
    </xf>
    <xf numFmtId="1" fontId="5" fillId="8" borderId="28" xfId="0" applyNumberFormat="1" applyFont="1" applyFill="1" applyBorder="1" applyAlignment="1">
      <alignment horizontal="center" vertical="center"/>
    </xf>
    <xf numFmtId="2" fontId="13" fillId="8" borderId="28" xfId="0" applyNumberFormat="1" applyFont="1" applyFill="1" applyBorder="1" applyAlignment="1">
      <alignment horizontal="right" vertical="center"/>
    </xf>
    <xf numFmtId="168" fontId="20" fillId="8" borderId="28" xfId="0" applyNumberFormat="1" applyFont="1" applyFill="1" applyBorder="1" applyAlignment="1">
      <alignment horizontal="center" vertical="center"/>
    </xf>
    <xf numFmtId="168" fontId="21" fillId="8" borderId="28" xfId="0" applyNumberFormat="1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168" fontId="20" fillId="0" borderId="25" xfId="0" applyNumberFormat="1" applyFont="1" applyBorder="1" applyAlignment="1">
      <alignment horizontal="center" vertical="center"/>
    </xf>
    <xf numFmtId="2" fontId="13" fillId="7" borderId="20" xfId="1" applyNumberFormat="1" applyFont="1" applyFill="1" applyBorder="1" applyAlignment="1">
      <alignment horizontal="center"/>
    </xf>
    <xf numFmtId="168" fontId="13" fillId="7" borderId="20" xfId="0" applyNumberFormat="1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2" fontId="13" fillId="7" borderId="20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14" fontId="1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/>
    </xf>
    <xf numFmtId="2" fontId="13" fillId="0" borderId="25" xfId="0" applyNumberFormat="1" applyFont="1" applyBorder="1" applyAlignment="1">
      <alignment horizontal="center" vertical="center"/>
    </xf>
    <xf numFmtId="168" fontId="13" fillId="0" borderId="25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168" fontId="21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8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36" fillId="13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36" fillId="4" borderId="1" xfId="0" applyNumberFormat="1" applyFont="1" applyFill="1" applyBorder="1" applyAlignment="1">
      <alignment horizontal="center" vertical="center"/>
    </xf>
    <xf numFmtId="1" fontId="37" fillId="0" borderId="0" xfId="2" applyNumberFormat="1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right" vertical="center"/>
    </xf>
    <xf numFmtId="0" fontId="27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9" fillId="0" borderId="0" xfId="0" applyFont="1"/>
    <xf numFmtId="2" fontId="40" fillId="0" borderId="9" xfId="2" applyNumberFormat="1" applyFont="1" applyBorder="1" applyAlignment="1">
      <alignment vertical="center"/>
    </xf>
    <xf numFmtId="1" fontId="40" fillId="0" borderId="0" xfId="2" applyNumberFormat="1" applyFont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2" fontId="8" fillId="18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41" fillId="6" borderId="1" xfId="0" applyFont="1" applyFill="1" applyBorder="1" applyAlignment="1">
      <alignment horizontal="center" vertical="center"/>
    </xf>
    <xf numFmtId="0" fontId="42" fillId="0" borderId="0" xfId="0" applyFont="1"/>
    <xf numFmtId="0" fontId="4" fillId="8" borderId="0" xfId="0" applyFont="1" applyFill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vertical="center"/>
    </xf>
    <xf numFmtId="43" fontId="45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170" fontId="30" fillId="15" borderId="27" xfId="0" applyNumberFormat="1" applyFont="1" applyFill="1" applyBorder="1" applyAlignment="1">
      <alignment horizontal="center" vertical="center"/>
    </xf>
    <xf numFmtId="170" fontId="25" fillId="15" borderId="28" xfId="0" applyNumberFormat="1" applyFont="1" applyFill="1" applyBorder="1" applyAlignment="1">
      <alignment horizontal="center" vertical="center"/>
    </xf>
    <xf numFmtId="0" fontId="25" fillId="15" borderId="28" xfId="0" applyFont="1" applyFill="1" applyBorder="1" applyAlignment="1">
      <alignment horizontal="center" vertical="center"/>
    </xf>
    <xf numFmtId="1" fontId="25" fillId="15" borderId="28" xfId="0" applyNumberFormat="1" applyFont="1" applyFill="1" applyBorder="1" applyAlignment="1">
      <alignment horizontal="center" vertical="center"/>
    </xf>
    <xf numFmtId="2" fontId="25" fillId="15" borderId="28" xfId="1" applyNumberFormat="1" applyFont="1" applyFill="1" applyBorder="1" applyAlignment="1">
      <alignment horizontal="center" vertical="center"/>
    </xf>
    <xf numFmtId="2" fontId="25" fillId="15" borderId="28" xfId="0" applyNumberFormat="1" applyFont="1" applyFill="1" applyBorder="1" applyAlignment="1">
      <alignment horizontal="center" vertical="center"/>
    </xf>
    <xf numFmtId="0" fontId="29" fillId="6" borderId="29" xfId="0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top"/>
    </xf>
    <xf numFmtId="2" fontId="6" fillId="9" borderId="1" xfId="0" applyNumberFormat="1" applyFont="1" applyFill="1" applyBorder="1" applyAlignment="1">
      <alignment horizontal="center" vertical="top"/>
    </xf>
    <xf numFmtId="2" fontId="6" fillId="9" borderId="15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vertical="top"/>
    </xf>
    <xf numFmtId="2" fontId="7" fillId="0" borderId="0" xfId="2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49" fontId="3" fillId="7" borderId="19" xfId="0" applyNumberFormat="1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2" fontId="7" fillId="0" borderId="9" xfId="2" applyNumberFormat="1" applyFont="1" applyBorder="1" applyAlignment="1">
      <alignment horizontal="center" vertical="top"/>
    </xf>
    <xf numFmtId="2" fontId="24" fillId="0" borderId="0" xfId="2" applyNumberFormat="1" applyFont="1" applyFill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23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6" fillId="9" borderId="15" xfId="0" applyFont="1" applyFill="1" applyBorder="1" applyAlignment="1">
      <alignment horizontal="center" vertical="top"/>
    </xf>
    <xf numFmtId="49" fontId="3" fillId="7" borderId="11" xfId="0" applyNumberFormat="1" applyFont="1" applyFill="1" applyBorder="1" applyAlignment="1">
      <alignment horizontal="center" vertical="top"/>
    </xf>
    <xf numFmtId="43" fontId="6" fillId="0" borderId="0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70" fontId="30" fillId="15" borderId="33" xfId="0" applyNumberFormat="1" applyFont="1" applyFill="1" applyBorder="1" applyAlignment="1">
      <alignment horizontal="center" vertical="center"/>
    </xf>
    <xf numFmtId="170" fontId="25" fillId="15" borderId="19" xfId="0" applyNumberFormat="1" applyFont="1" applyFill="1" applyBorder="1" applyAlignment="1">
      <alignment horizontal="center" vertical="center"/>
    </xf>
    <xf numFmtId="0" fontId="25" fillId="15" borderId="19" xfId="0" applyFont="1" applyFill="1" applyBorder="1" applyAlignment="1">
      <alignment horizontal="center" vertical="center"/>
    </xf>
    <xf numFmtId="2" fontId="25" fillId="15" borderId="19" xfId="1" applyNumberFormat="1" applyFont="1" applyFill="1" applyBorder="1" applyAlignment="1">
      <alignment horizontal="center" vertical="center"/>
    </xf>
    <xf numFmtId="2" fontId="25" fillId="15" borderId="19" xfId="0" applyNumberFormat="1" applyFont="1" applyFill="1" applyBorder="1" applyAlignment="1">
      <alignment horizontal="center" vertical="center"/>
    </xf>
    <xf numFmtId="1" fontId="30" fillId="15" borderId="19" xfId="0" applyNumberFormat="1" applyFont="1" applyFill="1" applyBorder="1" applyAlignment="1">
      <alignment horizontal="center" vertical="center"/>
    </xf>
    <xf numFmtId="2" fontId="30" fillId="15" borderId="19" xfId="0" applyNumberFormat="1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2" fontId="3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top"/>
    </xf>
    <xf numFmtId="2" fontId="7" fillId="0" borderId="0" xfId="2" applyNumberFormat="1" applyFont="1" applyBorder="1" applyAlignment="1">
      <alignment horizontal="center" vertical="top"/>
    </xf>
    <xf numFmtId="2" fontId="7" fillId="0" borderId="32" xfId="2" applyNumberFormat="1" applyFont="1" applyBorder="1" applyAlignment="1">
      <alignment horizontal="center" vertical="center"/>
    </xf>
    <xf numFmtId="2" fontId="7" fillId="0" borderId="24" xfId="2" applyNumberFormat="1" applyFont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43" fontId="6" fillId="0" borderId="0" xfId="1" applyFont="1" applyBorder="1" applyAlignment="1">
      <alignment horizontal="center" vertical="center" wrapText="1"/>
    </xf>
    <xf numFmtId="2" fontId="6" fillId="4" borderId="0" xfId="0" applyNumberFormat="1" applyFont="1" applyFill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2" fontId="25" fillId="15" borderId="39" xfId="0" applyNumberFormat="1" applyFont="1" applyFill="1" applyBorder="1" applyAlignment="1">
      <alignment horizontal="center" vertical="center"/>
    </xf>
    <xf numFmtId="2" fontId="25" fillId="6" borderId="27" xfId="0" applyNumberFormat="1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top"/>
    </xf>
    <xf numFmtId="173" fontId="14" fillId="0" borderId="31" xfId="0" applyNumberFormat="1" applyFont="1" applyBorder="1" applyAlignment="1">
      <alignment horizontal="center" vertical="center"/>
    </xf>
    <xf numFmtId="43" fontId="3" fillId="0" borderId="7" xfId="1" applyFont="1" applyBorder="1" applyAlignment="1">
      <alignment vertical="center"/>
    </xf>
    <xf numFmtId="43" fontId="3" fillId="0" borderId="0" xfId="1" applyFont="1" applyAlignment="1">
      <alignment vertical="center"/>
    </xf>
    <xf numFmtId="168" fontId="13" fillId="0" borderId="35" xfId="0" applyNumberFormat="1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top"/>
    </xf>
    <xf numFmtId="0" fontId="29" fillId="0" borderId="22" xfId="0" applyFont="1" applyBorder="1" applyAlignment="1">
      <alignment vertical="center"/>
    </xf>
    <xf numFmtId="0" fontId="13" fillId="7" borderId="11" xfId="0" applyFont="1" applyFill="1" applyBorder="1" applyAlignment="1">
      <alignment horizontal="center" vertical="top"/>
    </xf>
    <xf numFmtId="0" fontId="3" fillId="7" borderId="11" xfId="0" applyFont="1" applyFill="1" applyBorder="1" applyAlignment="1">
      <alignment horizontal="center" vertical="top"/>
    </xf>
    <xf numFmtId="0" fontId="29" fillId="0" borderId="22" xfId="0" applyFont="1" applyBorder="1" applyAlignment="1">
      <alignment horizontal="center" vertical="center"/>
    </xf>
    <xf numFmtId="14" fontId="13" fillId="0" borderId="36" xfId="3" applyNumberFormat="1" applyFont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2" fontId="13" fillId="0" borderId="35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16" fillId="6" borderId="8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0" fontId="0" fillId="8" borderId="0" xfId="0" applyFill="1"/>
    <xf numFmtId="0" fontId="42" fillId="8" borderId="0" xfId="0" applyFont="1" applyFill="1"/>
    <xf numFmtId="0" fontId="39" fillId="8" borderId="0" xfId="0" applyFont="1" applyFill="1"/>
    <xf numFmtId="2" fontId="8" fillId="4" borderId="13" xfId="0" applyNumberFormat="1" applyFont="1" applyFill="1" applyBorder="1" applyAlignment="1">
      <alignment horizontal="center" vertical="center"/>
    </xf>
    <xf numFmtId="2" fontId="6" fillId="4" borderId="13" xfId="0" applyNumberFormat="1" applyFont="1" applyFill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2" fontId="7" fillId="0" borderId="24" xfId="2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8" fillId="0" borderId="22" xfId="0" applyFont="1" applyBorder="1" applyAlignment="1">
      <alignment vertical="center"/>
    </xf>
    <xf numFmtId="0" fontId="5" fillId="20" borderId="7" xfId="0" applyFont="1" applyFill="1" applyBorder="1" applyAlignment="1">
      <alignment vertical="center"/>
    </xf>
    <xf numFmtId="0" fontId="48" fillId="0" borderId="18" xfId="0" applyFont="1" applyBorder="1" applyAlignment="1">
      <alignment vertical="center"/>
    </xf>
    <xf numFmtId="4" fontId="48" fillId="0" borderId="22" xfId="0" applyNumberFormat="1" applyFont="1" applyBorder="1" applyAlignment="1">
      <alignment vertical="center"/>
    </xf>
    <xf numFmtId="0" fontId="49" fillId="2" borderId="17" xfId="0" applyFont="1" applyFill="1" applyBorder="1" applyAlignment="1">
      <alignment vertical="center"/>
    </xf>
    <xf numFmtId="14" fontId="5" fillId="8" borderId="22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top"/>
    </xf>
    <xf numFmtId="1" fontId="3" fillId="8" borderId="0" xfId="0" applyNumberFormat="1" applyFont="1" applyFill="1" applyAlignment="1">
      <alignment horizontal="center" vertical="top"/>
    </xf>
    <xf numFmtId="1" fontId="5" fillId="8" borderId="0" xfId="0" applyNumberFormat="1" applyFont="1" applyFill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top"/>
    </xf>
    <xf numFmtId="0" fontId="3" fillId="8" borderId="0" xfId="0" applyFont="1" applyFill="1" applyAlignment="1">
      <alignment horizontal="center" vertical="center"/>
    </xf>
    <xf numFmtId="0" fontId="14" fillId="0" borderId="0" xfId="0" applyFont="1" applyAlignment="1">
      <alignment vertical="top"/>
    </xf>
    <xf numFmtId="0" fontId="48" fillId="8" borderId="22" xfId="0" applyFont="1" applyFill="1" applyBorder="1" applyAlignment="1">
      <alignment vertical="center"/>
    </xf>
    <xf numFmtId="0" fontId="5" fillId="8" borderId="3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1" fontId="3" fillId="0" borderId="38" xfId="0" applyNumberFormat="1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70" fontId="25" fillId="17" borderId="17" xfId="0" applyNumberFormat="1" applyFont="1" applyFill="1" applyBorder="1" applyAlignment="1">
      <alignment horizontal="center" vertical="center"/>
    </xf>
    <xf numFmtId="0" fontId="25" fillId="17" borderId="17" xfId="0" applyFont="1" applyFill="1" applyBorder="1" applyAlignment="1">
      <alignment horizontal="center" vertical="center"/>
    </xf>
    <xf numFmtId="1" fontId="25" fillId="17" borderId="17" xfId="0" applyNumberFormat="1" applyFont="1" applyFill="1" applyBorder="1" applyAlignment="1">
      <alignment horizontal="center" vertical="center"/>
    </xf>
    <xf numFmtId="2" fontId="25" fillId="17" borderId="17" xfId="1" applyNumberFormat="1" applyFont="1" applyFill="1" applyBorder="1" applyAlignment="1">
      <alignment horizontal="center" vertical="center"/>
    </xf>
    <xf numFmtId="2" fontId="25" fillId="17" borderId="17" xfId="0" applyNumberFormat="1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horizontal="center" vertical="center"/>
    </xf>
    <xf numFmtId="0" fontId="50" fillId="0" borderId="0" xfId="0" applyFont="1"/>
    <xf numFmtId="0" fontId="16" fillId="6" borderId="6" xfId="0" applyFont="1" applyFill="1" applyBorder="1" applyAlignment="1">
      <alignment horizontal="center" vertical="center" wrapText="1"/>
    </xf>
    <xf numFmtId="2" fontId="7" fillId="0" borderId="0" xfId="2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23" fillId="6" borderId="1" xfId="0" applyNumberFormat="1" applyFont="1" applyFill="1" applyBorder="1" applyAlignment="1">
      <alignment horizontal="center" vertical="center" wrapText="1"/>
    </xf>
    <xf numFmtId="165" fontId="23" fillId="6" borderId="1" xfId="0" applyNumberFormat="1" applyFont="1" applyFill="1" applyBorder="1" applyAlignment="1">
      <alignment horizontal="center" vertical="center"/>
    </xf>
    <xf numFmtId="165" fontId="17" fillId="6" borderId="1" xfId="0" applyNumberFormat="1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1" fontId="52" fillId="15" borderId="19" xfId="0" applyNumberFormat="1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0" fontId="5" fillId="20" borderId="0" xfId="0" applyFont="1" applyFill="1" applyAlignment="1">
      <alignment vertical="center"/>
    </xf>
    <xf numFmtId="0" fontId="12" fillId="0" borderId="1" xfId="0" applyFont="1" applyBorder="1" applyAlignment="1">
      <alignment horizontal="center" vertical="center"/>
    </xf>
    <xf numFmtId="2" fontId="20" fillId="15" borderId="19" xfId="0" applyNumberFormat="1" applyFont="1" applyFill="1" applyBorder="1" applyAlignment="1">
      <alignment horizontal="center" vertical="center"/>
    </xf>
    <xf numFmtId="14" fontId="13" fillId="0" borderId="35" xfId="3" applyNumberFormat="1" applyFont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top"/>
    </xf>
    <xf numFmtId="14" fontId="13" fillId="0" borderId="33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vertical="center"/>
    </xf>
    <xf numFmtId="14" fontId="13" fillId="0" borderId="30" xfId="0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top"/>
    </xf>
    <xf numFmtId="2" fontId="5" fillId="0" borderId="42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indent="1"/>
    </xf>
    <xf numFmtId="4" fontId="6" fillId="0" borderId="0" xfId="2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38" xfId="0" applyFont="1" applyBorder="1" applyAlignment="1">
      <alignment horizontal="center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textRotation="90"/>
    </xf>
    <xf numFmtId="0" fontId="32" fillId="6" borderId="1" xfId="0" applyFont="1" applyFill="1" applyBorder="1" applyAlignment="1">
      <alignment horizontal="center" vertical="center" textRotation="90" wrapText="1"/>
    </xf>
    <xf numFmtId="2" fontId="7" fillId="0" borderId="15" xfId="2" applyNumberFormat="1" applyFont="1" applyBorder="1" applyAlignment="1">
      <alignment horizontal="center" vertical="center"/>
    </xf>
    <xf numFmtId="2" fontId="7" fillId="0" borderId="11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2" fontId="7" fillId="0" borderId="4" xfId="2" applyNumberFormat="1" applyFont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16" fillId="6" borderId="7" xfId="0" applyFont="1" applyFill="1" applyBorder="1" applyAlignment="1">
      <alignment horizontal="center" vertical="center" wrapText="1"/>
    </xf>
    <xf numFmtId="43" fontId="20" fillId="0" borderId="15" xfId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top"/>
    </xf>
    <xf numFmtId="0" fontId="3" fillId="7" borderId="45" xfId="0" applyFont="1" applyFill="1" applyBorder="1" applyAlignment="1">
      <alignment horizontal="center" vertical="top"/>
    </xf>
    <xf numFmtId="49" fontId="3" fillId="7" borderId="45" xfId="0" applyNumberFormat="1" applyFont="1" applyFill="1" applyBorder="1" applyAlignment="1">
      <alignment horizontal="center" vertical="top"/>
    </xf>
    <xf numFmtId="2" fontId="13" fillId="7" borderId="45" xfId="1" applyNumberFormat="1" applyFont="1" applyFill="1" applyBorder="1" applyAlignment="1">
      <alignment horizontal="center"/>
    </xf>
    <xf numFmtId="168" fontId="13" fillId="7" borderId="45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3" fillId="12" borderId="45" xfId="0" applyFont="1" applyFill="1" applyBorder="1" applyAlignment="1">
      <alignment horizontal="center" vertical="center"/>
    </xf>
    <xf numFmtId="2" fontId="3" fillId="12" borderId="45" xfId="0" applyNumberFormat="1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top"/>
    </xf>
    <xf numFmtId="0" fontId="14" fillId="0" borderId="44" xfId="0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6" fillId="0" borderId="0" xfId="0" applyFont="1"/>
    <xf numFmtId="0" fontId="58" fillId="0" borderId="0" xfId="0" applyFont="1" applyAlignment="1">
      <alignment vertical="center"/>
    </xf>
    <xf numFmtId="0" fontId="53" fillId="0" borderId="0" xfId="0" applyFont="1"/>
    <xf numFmtId="0" fontId="59" fillId="2" borderId="17" xfId="0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16" fillId="7" borderId="0" xfId="0" applyFont="1" applyFill="1" applyAlignment="1">
      <alignment vertical="center"/>
    </xf>
    <xf numFmtId="0" fontId="60" fillId="7" borderId="0" xfId="0" applyFont="1" applyFill="1" applyAlignment="1">
      <alignment horizontal="center" vertical="center"/>
    </xf>
    <xf numFmtId="0" fontId="55" fillId="0" borderId="0" xfId="0" applyFont="1"/>
    <xf numFmtId="0" fontId="60" fillId="7" borderId="0" xfId="0" applyFont="1" applyFill="1" applyAlignment="1">
      <alignment horizontal="center" vertical="center" wrapText="1"/>
    </xf>
    <xf numFmtId="0" fontId="65" fillId="0" borderId="0" xfId="0" applyFont="1"/>
    <xf numFmtId="0" fontId="16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vertical="center" wrapText="1"/>
    </xf>
    <xf numFmtId="0" fontId="16" fillId="7" borderId="0" xfId="0" applyFont="1" applyFill="1" applyAlignment="1">
      <alignment horizontal="center" vertical="center"/>
    </xf>
    <xf numFmtId="0" fontId="23" fillId="7" borderId="0" xfId="0" applyFont="1" applyFill="1" applyAlignment="1">
      <alignment vertical="center"/>
    </xf>
    <xf numFmtId="0" fontId="66" fillId="0" borderId="0" xfId="0" applyFont="1"/>
    <xf numFmtId="2" fontId="16" fillId="19" borderId="1" xfId="0" applyNumberFormat="1" applyFont="1" applyFill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/>
    </xf>
    <xf numFmtId="43" fontId="16" fillId="19" borderId="1" xfId="1" applyFont="1" applyFill="1" applyBorder="1" applyAlignment="1">
      <alignment horizontal="right" vertical="center"/>
    </xf>
    <xf numFmtId="43" fontId="64" fillId="7" borderId="1" xfId="1" applyFont="1" applyFill="1" applyBorder="1" applyAlignment="1">
      <alignment horizontal="right" vertical="center"/>
    </xf>
    <xf numFmtId="43" fontId="64" fillId="0" borderId="1" xfId="1" applyFont="1" applyBorder="1" applyAlignment="1">
      <alignment horizontal="right" vertical="center"/>
    </xf>
    <xf numFmtId="43" fontId="16" fillId="0" borderId="1" xfId="1" applyFont="1" applyBorder="1" applyAlignment="1">
      <alignment horizontal="right" vertical="center"/>
    </xf>
    <xf numFmtId="43" fontId="64" fillId="0" borderId="1" xfId="1" applyFont="1" applyFill="1" applyBorder="1" applyAlignment="1">
      <alignment horizontal="right" vertical="center"/>
    </xf>
    <xf numFmtId="43" fontId="16" fillId="0" borderId="1" xfId="1" applyFont="1" applyFill="1" applyBorder="1" applyAlignment="1">
      <alignment horizontal="right" vertical="center"/>
    </xf>
    <xf numFmtId="43" fontId="16" fillId="7" borderId="1" xfId="1" applyFont="1" applyFill="1" applyBorder="1" applyAlignment="1">
      <alignment horizontal="right" vertical="center"/>
    </xf>
    <xf numFmtId="2" fontId="16" fillId="19" borderId="1" xfId="1" applyNumberFormat="1" applyFont="1" applyFill="1" applyBorder="1" applyAlignment="1">
      <alignment horizontal="right" vertical="center"/>
    </xf>
    <xf numFmtId="43" fontId="16" fillId="19" borderId="1" xfId="1" applyFont="1" applyFill="1" applyBorder="1" applyAlignment="1">
      <alignment horizontal="center" vertical="center"/>
    </xf>
    <xf numFmtId="0" fontId="10" fillId="0" borderId="0" xfId="0" applyFont="1"/>
    <xf numFmtId="0" fontId="16" fillId="12" borderId="1" xfId="0" applyFont="1" applyFill="1" applyBorder="1" applyAlignment="1">
      <alignment vertical="center"/>
    </xf>
    <xf numFmtId="172" fontId="24" fillId="19" borderId="1" xfId="0" applyNumberFormat="1" applyFont="1" applyFill="1" applyBorder="1" applyAlignment="1">
      <alignment horizontal="right" vertical="center"/>
    </xf>
    <xf numFmtId="172" fontId="24" fillId="12" borderId="1" xfId="0" applyNumberFormat="1" applyFont="1" applyFill="1" applyBorder="1" applyAlignment="1">
      <alignment horizontal="right" vertical="center"/>
    </xf>
    <xf numFmtId="0" fontId="55" fillId="0" borderId="1" xfId="0" applyFont="1" applyBorder="1" applyAlignment="1">
      <alignment vertical="center" wrapText="1"/>
    </xf>
    <xf numFmtId="43" fontId="13" fillId="0" borderId="25" xfId="1" applyFont="1" applyFill="1" applyBorder="1" applyAlignment="1">
      <alignment horizontal="right" vertical="center"/>
    </xf>
    <xf numFmtId="2" fontId="16" fillId="19" borderId="12" xfId="0" applyNumberFormat="1" applyFont="1" applyFill="1" applyBorder="1" applyAlignment="1">
      <alignment horizontal="right" vertical="center"/>
    </xf>
    <xf numFmtId="2" fontId="16" fillId="0" borderId="12" xfId="0" applyNumberFormat="1" applyFont="1" applyBorder="1" applyAlignment="1">
      <alignment horizontal="right" vertical="center"/>
    </xf>
    <xf numFmtId="43" fontId="16" fillId="19" borderId="12" xfId="1" applyFont="1" applyFill="1" applyBorder="1" applyAlignment="1">
      <alignment horizontal="right" vertical="center"/>
    </xf>
    <xf numFmtId="43" fontId="64" fillId="7" borderId="12" xfId="1" applyFont="1" applyFill="1" applyBorder="1" applyAlignment="1">
      <alignment horizontal="right" vertical="center"/>
    </xf>
    <xf numFmtId="166" fontId="16" fillId="12" borderId="27" xfId="0" applyNumberFormat="1" applyFont="1" applyFill="1" applyBorder="1" applyAlignment="1">
      <alignment horizontal="center" vertical="center"/>
    </xf>
    <xf numFmtId="171" fontId="24" fillId="19" borderId="28" xfId="0" applyNumberFormat="1" applyFont="1" applyFill="1" applyBorder="1" applyAlignment="1">
      <alignment horizontal="right" vertical="center"/>
    </xf>
    <xf numFmtId="171" fontId="24" fillId="12" borderId="28" xfId="0" applyNumberFormat="1" applyFont="1" applyFill="1" applyBorder="1" applyAlignment="1">
      <alignment horizontal="right" vertical="center"/>
    </xf>
    <xf numFmtId="0" fontId="64" fillId="12" borderId="29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2" fontId="16" fillId="19" borderId="15" xfId="0" applyNumberFormat="1" applyFont="1" applyFill="1" applyBorder="1" applyAlignment="1">
      <alignment horizontal="right" vertical="center"/>
    </xf>
    <xf numFmtId="2" fontId="16" fillId="0" borderId="15" xfId="0" applyNumberFormat="1" applyFont="1" applyBorder="1" applyAlignment="1">
      <alignment horizontal="right" vertical="center"/>
    </xf>
    <xf numFmtId="43" fontId="16" fillId="19" borderId="15" xfId="1" applyFont="1" applyFill="1" applyBorder="1" applyAlignment="1">
      <alignment horizontal="right" vertical="center"/>
    </xf>
    <xf numFmtId="43" fontId="64" fillId="7" borderId="15" xfId="1" applyFont="1" applyFill="1" applyBorder="1" applyAlignment="1">
      <alignment horizontal="right" vertical="center"/>
    </xf>
    <xf numFmtId="43" fontId="64" fillId="0" borderId="12" xfId="1" applyFont="1" applyBorder="1" applyAlignment="1">
      <alignment horizontal="right" vertical="center"/>
    </xf>
    <xf numFmtId="0" fontId="16" fillId="12" borderId="28" xfId="0" applyFont="1" applyFill="1" applyBorder="1" applyAlignment="1">
      <alignment vertical="center"/>
    </xf>
    <xf numFmtId="43" fontId="16" fillId="0" borderId="15" xfId="1" applyFont="1" applyBorder="1" applyAlignment="1">
      <alignment horizontal="right" vertical="center"/>
    </xf>
    <xf numFmtId="43" fontId="64" fillId="0" borderId="15" xfId="1" applyFont="1" applyFill="1" applyBorder="1" applyAlignment="1">
      <alignment horizontal="right" vertical="center"/>
    </xf>
    <xf numFmtId="43" fontId="16" fillId="0" borderId="12" xfId="1" applyFont="1" applyFill="1" applyBorder="1" applyAlignment="1">
      <alignment horizontal="right" vertical="center"/>
    </xf>
    <xf numFmtId="43" fontId="16" fillId="0" borderId="12" xfId="1" applyFont="1" applyFill="1" applyBorder="1" applyAlignment="1">
      <alignment horizontal="center" vertical="center"/>
    </xf>
    <xf numFmtId="43" fontId="64" fillId="0" borderId="12" xfId="1" applyFont="1" applyFill="1" applyBorder="1" applyAlignment="1">
      <alignment horizontal="right" vertical="center"/>
    </xf>
    <xf numFmtId="172" fontId="24" fillId="19" borderId="28" xfId="0" applyNumberFormat="1" applyFont="1" applyFill="1" applyBorder="1" applyAlignment="1">
      <alignment horizontal="right" vertical="center"/>
    </xf>
    <xf numFmtId="172" fontId="24" fillId="12" borderId="28" xfId="0" applyNumberFormat="1" applyFont="1" applyFill="1" applyBorder="1" applyAlignment="1">
      <alignment horizontal="right" vertical="center"/>
    </xf>
    <xf numFmtId="0" fontId="64" fillId="0" borderId="15" xfId="0" applyFont="1" applyBorder="1" applyAlignment="1">
      <alignment horizontal="center" vertical="center"/>
    </xf>
    <xf numFmtId="0" fontId="55" fillId="0" borderId="15" xfId="0" applyFont="1" applyBorder="1" applyAlignment="1">
      <alignment vertical="center" wrapText="1"/>
    </xf>
    <xf numFmtId="43" fontId="64" fillId="0" borderId="15" xfId="1" applyFont="1" applyBorder="1" applyAlignment="1">
      <alignment horizontal="right" vertical="center"/>
    </xf>
    <xf numFmtId="172" fontId="24" fillId="19" borderId="28" xfId="1" applyNumberFormat="1" applyFont="1" applyFill="1" applyBorder="1" applyAlignment="1">
      <alignment horizontal="right" vertical="center"/>
    </xf>
    <xf numFmtId="172" fontId="24" fillId="12" borderId="28" xfId="1" applyNumberFormat="1" applyFont="1" applyFill="1" applyBorder="1" applyAlignment="1">
      <alignment horizontal="right" vertical="center"/>
    </xf>
    <xf numFmtId="0" fontId="46" fillId="0" borderId="0" xfId="0" applyFont="1" applyAlignment="1">
      <alignment horizontal="center"/>
    </xf>
    <xf numFmtId="168" fontId="43" fillId="0" borderId="1" xfId="0" applyNumberFormat="1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65" fillId="7" borderId="0" xfId="0" applyFont="1" applyFill="1" applyAlignment="1">
      <alignment horizontal="center" vertical="center"/>
    </xf>
    <xf numFmtId="0" fontId="16" fillId="2" borderId="17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left" vertical="center" wrapText="1"/>
    </xf>
    <xf numFmtId="0" fontId="64" fillId="0" borderId="23" xfId="0" applyFont="1" applyBorder="1" applyAlignment="1">
      <alignment vertical="center" wrapText="1"/>
    </xf>
    <xf numFmtId="0" fontId="16" fillId="0" borderId="48" xfId="0" applyFont="1" applyBorder="1" applyAlignment="1">
      <alignment horizontal="center" vertical="center"/>
    </xf>
    <xf numFmtId="0" fontId="64" fillId="0" borderId="47" xfId="0" applyFont="1" applyBorder="1" applyAlignment="1">
      <alignment vertical="center" wrapText="1"/>
    </xf>
    <xf numFmtId="166" fontId="16" fillId="12" borderId="48" xfId="0" applyNumberFormat="1" applyFont="1" applyFill="1" applyBorder="1" applyAlignment="1">
      <alignment horizontal="center" vertical="center"/>
    </xf>
    <xf numFmtId="0" fontId="64" fillId="12" borderId="49" xfId="0" applyFont="1" applyFill="1" applyBorder="1" applyAlignment="1">
      <alignment horizontal="center" vertical="center"/>
    </xf>
    <xf numFmtId="0" fontId="64" fillId="0" borderId="51" xfId="0" applyFont="1" applyBorder="1" applyAlignment="1">
      <alignment vertical="center" wrapText="1"/>
    </xf>
    <xf numFmtId="0" fontId="55" fillId="7" borderId="23" xfId="0" applyFont="1" applyFill="1" applyBorder="1" applyAlignment="1">
      <alignment vertical="center" wrapText="1"/>
    </xf>
    <xf numFmtId="0" fontId="64" fillId="0" borderId="23" xfId="0" applyFont="1" applyBorder="1" applyAlignment="1">
      <alignment vertical="center"/>
    </xf>
    <xf numFmtId="0" fontId="64" fillId="0" borderId="53" xfId="0" applyFont="1" applyBorder="1" applyAlignment="1">
      <alignment horizontal="center" vertical="center"/>
    </xf>
    <xf numFmtId="0" fontId="55" fillId="0" borderId="53" xfId="0" applyFont="1" applyBorder="1" applyAlignment="1">
      <alignment horizontal="left" vertical="center" wrapText="1"/>
    </xf>
    <xf numFmtId="0" fontId="16" fillId="7" borderId="53" xfId="0" applyFont="1" applyFill="1" applyBorder="1" applyAlignment="1">
      <alignment horizontal="center" vertical="center"/>
    </xf>
    <xf numFmtId="43" fontId="16" fillId="19" borderId="53" xfId="1" applyFont="1" applyFill="1" applyBorder="1" applyAlignment="1">
      <alignment horizontal="right" vertical="center"/>
    </xf>
    <xf numFmtId="43" fontId="16" fillId="0" borderId="53" xfId="1" applyFont="1" applyBorder="1" applyAlignment="1">
      <alignment horizontal="right" vertical="center"/>
    </xf>
    <xf numFmtId="43" fontId="16" fillId="19" borderId="53" xfId="1" applyFont="1" applyFill="1" applyBorder="1" applyAlignment="1">
      <alignment horizontal="center" vertical="center"/>
    </xf>
    <xf numFmtId="43" fontId="16" fillId="7" borderId="53" xfId="1" applyFont="1" applyFill="1" applyBorder="1" applyAlignment="1">
      <alignment horizontal="right" vertical="center"/>
    </xf>
    <xf numFmtId="0" fontId="64" fillId="0" borderId="4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43" fontId="7" fillId="0" borderId="7" xfId="1" applyFont="1" applyBorder="1" applyAlignment="1">
      <alignment vertical="center"/>
    </xf>
    <xf numFmtId="43" fontId="7" fillId="0" borderId="0" xfId="1" applyFont="1" applyBorder="1" applyAlignment="1">
      <alignment vertical="center"/>
    </xf>
    <xf numFmtId="43" fontId="7" fillId="0" borderId="6" xfId="1" applyFont="1" applyBorder="1" applyAlignment="1">
      <alignment vertical="center"/>
    </xf>
    <xf numFmtId="43" fontId="7" fillId="0" borderId="8" xfId="1" applyFont="1" applyBorder="1" applyAlignment="1">
      <alignment vertical="center"/>
    </xf>
    <xf numFmtId="43" fontId="7" fillId="0" borderId="9" xfId="1" applyFont="1" applyBorder="1" applyAlignment="1">
      <alignment vertical="center"/>
    </xf>
    <xf numFmtId="43" fontId="7" fillId="0" borderId="10" xfId="1" applyFont="1" applyBorder="1" applyAlignment="1">
      <alignment vertical="center"/>
    </xf>
    <xf numFmtId="0" fontId="14" fillId="0" borderId="2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1" fillId="6" borderId="1" xfId="0" applyFont="1" applyFill="1" applyBorder="1" applyAlignment="1">
      <alignment horizontal="center" vertical="center" wrapText="1"/>
    </xf>
    <xf numFmtId="0" fontId="41" fillId="6" borderId="15" xfId="0" applyFont="1" applyFill="1" applyBorder="1" applyAlignment="1">
      <alignment horizontal="center" vertical="center" wrapText="1"/>
    </xf>
    <xf numFmtId="43" fontId="32" fillId="6" borderId="1" xfId="0" applyNumberFormat="1" applyFont="1" applyFill="1" applyBorder="1" applyAlignment="1">
      <alignment horizontal="center" vertical="center"/>
    </xf>
    <xf numFmtId="167" fontId="4" fillId="8" borderId="5" xfId="0" applyNumberFormat="1" applyFont="1" applyFill="1" applyBorder="1" applyAlignment="1">
      <alignment vertical="center"/>
    </xf>
    <xf numFmtId="167" fontId="4" fillId="8" borderId="0" xfId="0" applyNumberFormat="1" applyFont="1" applyFill="1" applyAlignment="1">
      <alignment vertical="center"/>
    </xf>
    <xf numFmtId="14" fontId="13" fillId="0" borderId="54" xfId="0" applyNumberFormat="1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top"/>
    </xf>
    <xf numFmtId="1" fontId="20" fillId="0" borderId="25" xfId="0" applyNumberFormat="1" applyFont="1" applyBorder="1" applyAlignment="1">
      <alignment horizontal="center" vertical="center"/>
    </xf>
    <xf numFmtId="168" fontId="5" fillId="8" borderId="1" xfId="0" applyNumberFormat="1" applyFont="1" applyFill="1" applyBorder="1" applyAlignment="1">
      <alignment horizontal="center" vertical="center"/>
    </xf>
    <xf numFmtId="0" fontId="68" fillId="0" borderId="7" xfId="0" applyFont="1" applyBorder="1" applyAlignment="1">
      <alignment vertical="center"/>
    </xf>
    <xf numFmtId="0" fontId="68" fillId="0" borderId="7" xfId="0" applyFont="1" applyBorder="1"/>
    <xf numFmtId="2" fontId="17" fillId="0" borderId="1" xfId="2" applyNumberFormat="1" applyFont="1" applyBorder="1" applyAlignment="1">
      <alignment horizontal="center" vertical="center" wrapText="1"/>
    </xf>
    <xf numFmtId="49" fontId="3" fillId="0" borderId="37" xfId="0" applyNumberFormat="1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1" xfId="0" applyFont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5" fontId="6" fillId="3" borderId="12" xfId="0" applyNumberFormat="1" applyFont="1" applyFill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55" fillId="0" borderId="20" xfId="0" applyFont="1" applyBorder="1" applyAlignment="1">
      <alignment horizontal="left" vertical="center" wrapText="1"/>
    </xf>
    <xf numFmtId="0" fontId="16" fillId="7" borderId="20" xfId="0" applyFont="1" applyFill="1" applyBorder="1" applyAlignment="1">
      <alignment horizontal="center" vertical="center"/>
    </xf>
    <xf numFmtId="43" fontId="16" fillId="19" borderId="20" xfId="1" applyFont="1" applyFill="1" applyBorder="1" applyAlignment="1">
      <alignment horizontal="right" vertical="center"/>
    </xf>
    <xf numFmtId="43" fontId="16" fillId="0" borderId="20" xfId="1" applyFont="1" applyBorder="1" applyAlignment="1">
      <alignment horizontal="right" vertical="center"/>
    </xf>
    <xf numFmtId="43" fontId="64" fillId="7" borderId="20" xfId="1" applyFont="1" applyFill="1" applyBorder="1" applyAlignment="1">
      <alignment horizontal="right" vertical="center"/>
    </xf>
    <xf numFmtId="0" fontId="64" fillId="0" borderId="21" xfId="0" applyFont="1" applyBorder="1" applyAlignment="1">
      <alignment vertical="center"/>
    </xf>
    <xf numFmtId="49" fontId="3" fillId="0" borderId="43" xfId="0" applyNumberFormat="1" applyFont="1" applyBorder="1" applyAlignment="1">
      <alignment horizontal="center" vertical="center"/>
    </xf>
    <xf numFmtId="9" fontId="46" fillId="0" borderId="0" xfId="0" applyNumberFormat="1" applyFont="1" applyAlignment="1">
      <alignment horizontal="center" vertical="center"/>
    </xf>
    <xf numFmtId="167" fontId="13" fillId="6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/>
    </xf>
    <xf numFmtId="43" fontId="45" fillId="6" borderId="1" xfId="1" applyFont="1" applyFill="1" applyBorder="1" applyAlignment="1">
      <alignment horizontal="center" vertical="center"/>
    </xf>
    <xf numFmtId="14" fontId="15" fillId="6" borderId="1" xfId="1" applyNumberFormat="1" applyFont="1" applyFill="1" applyBorder="1" applyAlignment="1">
      <alignment horizontal="center" vertical="center"/>
    </xf>
    <xf numFmtId="43" fontId="14" fillId="6" borderId="1" xfId="1" applyFont="1" applyFill="1" applyBorder="1" applyAlignment="1">
      <alignment horizontal="center" vertical="center"/>
    </xf>
    <xf numFmtId="174" fontId="13" fillId="0" borderId="1" xfId="1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2" fontId="6" fillId="20" borderId="3" xfId="0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174" fontId="13" fillId="6" borderId="1" xfId="1" applyNumberFormat="1" applyFont="1" applyFill="1" applyBorder="1" applyAlignment="1">
      <alignment horizontal="center" vertical="center"/>
    </xf>
    <xf numFmtId="164" fontId="3" fillId="20" borderId="1" xfId="0" applyNumberFormat="1" applyFont="1" applyFill="1" applyBorder="1" applyAlignment="1">
      <alignment horizontal="center" vertical="center"/>
    </xf>
    <xf numFmtId="2" fontId="3" fillId="20" borderId="11" xfId="0" applyNumberFormat="1" applyFont="1" applyFill="1" applyBorder="1" applyAlignment="1">
      <alignment horizontal="center" vertical="center"/>
    </xf>
    <xf numFmtId="2" fontId="3" fillId="20" borderId="12" xfId="0" applyNumberFormat="1" applyFont="1" applyFill="1" applyBorder="1" applyAlignment="1">
      <alignment vertical="center"/>
    </xf>
    <xf numFmtId="1" fontId="3" fillId="20" borderId="6" xfId="0" applyNumberFormat="1" applyFont="1" applyFill="1" applyBorder="1" applyAlignment="1">
      <alignment vertical="center"/>
    </xf>
    <xf numFmtId="2" fontId="3" fillId="20" borderId="1" xfId="0" applyNumberFormat="1" applyFont="1" applyFill="1" applyBorder="1" applyAlignment="1">
      <alignment vertical="center"/>
    </xf>
    <xf numFmtId="14" fontId="13" fillId="8" borderId="1" xfId="0" applyNumberFormat="1" applyFont="1" applyFill="1" applyBorder="1" applyAlignment="1">
      <alignment horizontal="center" vertical="center"/>
    </xf>
    <xf numFmtId="164" fontId="3" fillId="20" borderId="11" xfId="0" applyNumberFormat="1" applyFont="1" applyFill="1" applyBorder="1" applyAlignment="1">
      <alignment vertical="center"/>
    </xf>
    <xf numFmtId="2" fontId="3" fillId="20" borderId="3" xfId="0" applyNumberFormat="1" applyFont="1" applyFill="1" applyBorder="1" applyAlignment="1">
      <alignment horizontal="center" vertical="center"/>
    </xf>
    <xf numFmtId="2" fontId="6" fillId="20" borderId="1" xfId="0" applyNumberFormat="1" applyFont="1" applyFill="1" applyBorder="1" applyAlignment="1">
      <alignment horizontal="center" vertical="center"/>
    </xf>
    <xf numFmtId="2" fontId="3" fillId="20" borderId="12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6" fillId="6" borderId="4" xfId="0" applyFont="1" applyFill="1" applyBorder="1" applyAlignment="1">
      <alignment vertical="center" wrapText="1"/>
    </xf>
    <xf numFmtId="0" fontId="16" fillId="6" borderId="5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vertical="center" wrapText="1"/>
    </xf>
    <xf numFmtId="0" fontId="16" fillId="6" borderId="10" xfId="0" applyFont="1" applyFill="1" applyBorder="1" applyAlignment="1">
      <alignment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2" fontId="5" fillId="20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166" fontId="3" fillId="20" borderId="1" xfId="0" applyNumberFormat="1" applyFont="1" applyFill="1" applyBorder="1" applyAlignment="1">
      <alignment horizontal="center" vertical="center"/>
    </xf>
    <xf numFmtId="2" fontId="8" fillId="2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4" fontId="28" fillId="0" borderId="25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2" fontId="9" fillId="20" borderId="3" xfId="0" applyNumberFormat="1" applyFont="1" applyFill="1" applyBorder="1" applyAlignment="1">
      <alignment horizontal="center" vertical="center"/>
    </xf>
    <xf numFmtId="2" fontId="8" fillId="20" borderId="3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2" fontId="13" fillId="6" borderId="25" xfId="0" applyNumberFormat="1" applyFont="1" applyFill="1" applyBorder="1" applyAlignment="1">
      <alignment horizontal="center" vertical="center"/>
    </xf>
    <xf numFmtId="168" fontId="13" fillId="6" borderId="25" xfId="0" applyNumberFormat="1" applyFont="1" applyFill="1" applyBorder="1" applyAlignment="1">
      <alignment horizontal="center" vertical="center"/>
    </xf>
    <xf numFmtId="1" fontId="5" fillId="6" borderId="25" xfId="0" applyNumberFormat="1" applyFont="1" applyFill="1" applyBorder="1" applyAlignment="1">
      <alignment horizontal="center" vertical="center"/>
    </xf>
    <xf numFmtId="43" fontId="13" fillId="6" borderId="25" xfId="1" applyFont="1" applyFill="1" applyBorder="1" applyAlignment="1">
      <alignment horizontal="right" vertical="center"/>
    </xf>
    <xf numFmtId="14" fontId="28" fillId="6" borderId="25" xfId="0" applyNumberFormat="1" applyFont="1" applyFill="1" applyBorder="1" applyAlignment="1">
      <alignment horizontal="center" vertical="center"/>
    </xf>
    <xf numFmtId="168" fontId="20" fillId="6" borderId="25" xfId="0" applyNumberFormat="1" applyFont="1" applyFill="1" applyBorder="1" applyAlignment="1">
      <alignment horizontal="center" vertical="center"/>
    </xf>
    <xf numFmtId="168" fontId="21" fillId="6" borderId="25" xfId="0" applyNumberFormat="1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/>
    </xf>
    <xf numFmtId="2" fontId="7" fillId="20" borderId="5" xfId="2" applyNumberFormat="1" applyFont="1" applyFill="1" applyBorder="1" applyAlignment="1">
      <alignment horizontal="center" vertical="center"/>
    </xf>
    <xf numFmtId="2" fontId="7" fillId="20" borderId="2" xfId="2" applyNumberFormat="1" applyFont="1" applyFill="1" applyBorder="1" applyAlignment="1">
      <alignment horizontal="center" vertical="center"/>
    </xf>
    <xf numFmtId="2" fontId="7" fillId="20" borderId="0" xfId="2" applyNumberFormat="1" applyFont="1" applyFill="1" applyBorder="1" applyAlignment="1">
      <alignment horizontal="center" vertical="center"/>
    </xf>
    <xf numFmtId="2" fontId="7" fillId="20" borderId="6" xfId="2" applyNumberFormat="1" applyFont="1" applyFill="1" applyBorder="1" applyAlignment="1">
      <alignment horizontal="center" vertical="center"/>
    </xf>
    <xf numFmtId="1" fontId="7" fillId="20" borderId="1" xfId="2" applyNumberFormat="1" applyFont="1" applyFill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7" fillId="6" borderId="1" xfId="2" applyNumberFormat="1" applyFont="1" applyFill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2" fontId="7" fillId="20" borderId="4" xfId="2" applyNumberFormat="1" applyFont="1" applyFill="1" applyBorder="1" applyAlignment="1">
      <alignment horizontal="center" vertical="center"/>
    </xf>
    <xf numFmtId="2" fontId="7" fillId="20" borderId="7" xfId="2" applyNumberFormat="1" applyFont="1" applyFill="1" applyBorder="1" applyAlignment="1">
      <alignment horizontal="center" vertical="center"/>
    </xf>
    <xf numFmtId="2" fontId="7" fillId="20" borderId="8" xfId="2" applyNumberFormat="1" applyFont="1" applyFill="1" applyBorder="1" applyAlignment="1">
      <alignment horizontal="center" vertical="center"/>
    </xf>
    <xf numFmtId="2" fontId="7" fillId="20" borderId="9" xfId="2" applyNumberFormat="1" applyFont="1" applyFill="1" applyBorder="1" applyAlignment="1">
      <alignment horizontal="center" vertical="center"/>
    </xf>
    <xf numFmtId="2" fontId="7" fillId="20" borderId="10" xfId="2" applyNumberFormat="1" applyFont="1" applyFill="1" applyBorder="1" applyAlignment="1">
      <alignment horizontal="center" vertical="center"/>
    </xf>
    <xf numFmtId="1" fontId="7" fillId="0" borderId="1" xfId="2" applyNumberFormat="1" applyFont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 wrapText="1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2" fontId="17" fillId="0" borderId="15" xfId="2" applyNumberFormat="1" applyFont="1" applyBorder="1" applyAlignment="1">
      <alignment horizontal="center" vertical="center" wrapText="1"/>
    </xf>
    <xf numFmtId="2" fontId="17" fillId="0" borderId="12" xfId="2" applyNumberFormat="1" applyFont="1" applyBorder="1" applyAlignment="1">
      <alignment horizontal="center" vertical="center" wrapText="1"/>
    </xf>
    <xf numFmtId="2" fontId="7" fillId="0" borderId="4" xfId="2" applyNumberFormat="1" applyFont="1" applyBorder="1" applyAlignment="1">
      <alignment horizontal="center" vertical="center" wrapText="1"/>
    </xf>
    <xf numFmtId="2" fontId="7" fillId="0" borderId="2" xfId="2" applyNumberFormat="1" applyFont="1" applyBorder="1" applyAlignment="1">
      <alignment horizontal="center" vertical="center" wrapText="1"/>
    </xf>
    <xf numFmtId="2" fontId="7" fillId="0" borderId="8" xfId="2" applyNumberFormat="1" applyFont="1" applyBorder="1" applyAlignment="1">
      <alignment horizontal="center" vertical="center" wrapText="1"/>
    </xf>
    <xf numFmtId="2" fontId="7" fillId="0" borderId="10" xfId="2" applyNumberFormat="1" applyFont="1" applyBorder="1" applyAlignment="1">
      <alignment horizontal="center" vertical="center" wrapText="1"/>
    </xf>
    <xf numFmtId="2" fontId="17" fillId="0" borderId="11" xfId="2" applyNumberFormat="1" applyFont="1" applyBorder="1" applyAlignment="1">
      <alignment horizontal="center" vertical="center" wrapText="1"/>
    </xf>
    <xf numFmtId="2" fontId="7" fillId="0" borderId="7" xfId="2" applyNumberFormat="1" applyFont="1" applyBorder="1" applyAlignment="1">
      <alignment horizontal="center" vertical="center" wrapText="1"/>
    </xf>
    <xf numFmtId="2" fontId="7" fillId="0" borderId="6" xfId="2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5" fillId="5" borderId="15" xfId="0" applyNumberFormat="1" applyFont="1" applyFill="1" applyBorder="1" applyAlignment="1">
      <alignment horizontal="center" vertical="center"/>
    </xf>
    <xf numFmtId="2" fontId="5" fillId="5" borderId="12" xfId="0" applyNumberFormat="1" applyFont="1" applyFill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1" xfId="2" applyNumberFormat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14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Border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43" fontId="7" fillId="0" borderId="13" xfId="1" applyFont="1" applyBorder="1" applyAlignment="1">
      <alignment horizontal="center"/>
    </xf>
    <xf numFmtId="43" fontId="7" fillId="0" borderId="14" xfId="1" applyFont="1" applyBorder="1" applyAlignment="1">
      <alignment horizontal="center"/>
    </xf>
    <xf numFmtId="43" fontId="7" fillId="0" borderId="3" xfId="1" applyFont="1" applyBorder="1" applyAlignment="1">
      <alignment horizontal="center"/>
    </xf>
    <xf numFmtId="43" fontId="5" fillId="11" borderId="1" xfId="1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2" fontId="17" fillId="0" borderId="13" xfId="2" applyNumberFormat="1" applyFont="1" applyBorder="1" applyAlignment="1">
      <alignment horizontal="center" vertical="center" wrapText="1"/>
    </xf>
    <xf numFmtId="2" fontId="17" fillId="0" borderId="14" xfId="2" applyNumberFormat="1" applyFont="1" applyBorder="1" applyAlignment="1">
      <alignment horizontal="center" vertical="center" wrapText="1"/>
    </xf>
    <xf numFmtId="2" fontId="17" fillId="0" borderId="3" xfId="2" applyNumberFormat="1" applyFont="1" applyBorder="1" applyAlignment="1">
      <alignment horizontal="center" vertical="center" wrapText="1"/>
    </xf>
    <xf numFmtId="4" fontId="7" fillId="0" borderId="4" xfId="2" applyNumberFormat="1" applyFont="1" applyBorder="1" applyAlignment="1">
      <alignment horizontal="center" vertical="center"/>
    </xf>
    <xf numFmtId="4" fontId="7" fillId="0" borderId="5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9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14" fontId="5" fillId="16" borderId="0" xfId="0" applyNumberFormat="1" applyFont="1" applyFill="1" applyAlignment="1">
      <alignment horizontal="center" vertical="center"/>
    </xf>
    <xf numFmtId="2" fontId="24" fillId="0" borderId="13" xfId="2" applyNumberFormat="1" applyFont="1" applyBorder="1" applyAlignment="1">
      <alignment horizontal="center" vertical="center"/>
    </xf>
    <xf numFmtId="2" fontId="24" fillId="0" borderId="14" xfId="2" applyNumberFormat="1" applyFont="1" applyBorder="1" applyAlignment="1">
      <alignment horizontal="center" vertical="center"/>
    </xf>
    <xf numFmtId="2" fontId="24" fillId="0" borderId="3" xfId="2" applyNumberFormat="1" applyFont="1" applyBorder="1" applyAlignment="1">
      <alignment horizontal="center" vertical="center"/>
    </xf>
    <xf numFmtId="4" fontId="7" fillId="0" borderId="7" xfId="2" applyNumberFormat="1" applyFont="1" applyBorder="1" applyAlignment="1">
      <alignment horizontal="center" vertical="center"/>
    </xf>
    <xf numFmtId="4" fontId="7" fillId="0" borderId="6" xfId="2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7" fillId="6" borderId="14" xfId="2" applyNumberFormat="1" applyFont="1" applyFill="1" applyBorder="1" applyAlignment="1">
      <alignment horizontal="center" vertical="center"/>
    </xf>
    <xf numFmtId="4" fontId="8" fillId="0" borderId="14" xfId="2" applyNumberFormat="1" applyFont="1" applyBorder="1" applyAlignment="1">
      <alignment horizontal="center" vertical="center" wrapText="1"/>
    </xf>
    <xf numFmtId="4" fontId="8" fillId="0" borderId="56" xfId="2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/>
    </xf>
    <xf numFmtId="169" fontId="3" fillId="3" borderId="13" xfId="0" applyNumberFormat="1" applyFont="1" applyFill="1" applyBorder="1" applyAlignment="1">
      <alignment horizontal="center" vertical="center"/>
    </xf>
    <xf numFmtId="169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9" borderId="12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3" fillId="10" borderId="12" xfId="0" applyFont="1" applyFill="1" applyBorder="1" applyAlignment="1">
      <alignment horizontal="center" vertical="center" textRotation="90"/>
    </xf>
    <xf numFmtId="2" fontId="5" fillId="0" borderId="1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 wrapText="1"/>
    </xf>
    <xf numFmtId="4" fontId="7" fillId="0" borderId="5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4" fontId="7" fillId="0" borderId="8" xfId="0" applyNumberFormat="1" applyFont="1" applyBorder="1" applyAlignment="1">
      <alignment horizontal="center" vertical="center" wrapText="1"/>
    </xf>
    <xf numFmtId="4" fontId="7" fillId="0" borderId="9" xfId="0" applyNumberFormat="1" applyFont="1" applyBorder="1" applyAlignment="1">
      <alignment horizontal="center" vertical="center" wrapText="1"/>
    </xf>
    <xf numFmtId="4" fontId="7" fillId="0" borderId="10" xfId="0" applyNumberFormat="1" applyFont="1" applyBorder="1" applyAlignment="1">
      <alignment horizontal="center" vertical="center" wrapText="1"/>
    </xf>
    <xf numFmtId="164" fontId="13" fillId="0" borderId="11" xfId="0" applyNumberFormat="1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/>
    </xf>
    <xf numFmtId="43" fontId="7" fillId="21" borderId="7" xfId="1" applyFont="1" applyFill="1" applyBorder="1" applyAlignment="1">
      <alignment horizontal="center" vertical="center"/>
    </xf>
    <xf numFmtId="43" fontId="7" fillId="21" borderId="0" xfId="1" applyFont="1" applyFill="1" applyBorder="1" applyAlignment="1">
      <alignment horizontal="center" vertical="center"/>
    </xf>
    <xf numFmtId="43" fontId="7" fillId="21" borderId="6" xfId="1" applyFont="1" applyFill="1" applyBorder="1" applyAlignment="1">
      <alignment horizontal="center" vertical="center"/>
    </xf>
    <xf numFmtId="43" fontId="6" fillId="0" borderId="4" xfId="1" applyFont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6" fillId="0" borderId="2" xfId="1" applyFont="1" applyBorder="1" applyAlignment="1">
      <alignment horizontal="center" vertical="center" wrapText="1"/>
    </xf>
    <xf numFmtId="43" fontId="16" fillId="0" borderId="1" xfId="1" applyFont="1" applyBorder="1" applyAlignment="1">
      <alignment horizontal="center" vertical="center"/>
    </xf>
    <xf numFmtId="43" fontId="20" fillId="0" borderId="15" xfId="1" applyFont="1" applyBorder="1" applyAlignment="1">
      <alignment horizontal="center" vertical="center"/>
    </xf>
    <xf numFmtId="43" fontId="20" fillId="0" borderId="11" xfId="1" applyFont="1" applyBorder="1" applyAlignment="1">
      <alignment horizontal="center" vertical="center"/>
    </xf>
    <xf numFmtId="43" fontId="20" fillId="0" borderId="12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4" fontId="7" fillId="0" borderId="13" xfId="2" applyNumberFormat="1" applyFont="1" applyBorder="1" applyAlignment="1">
      <alignment horizontal="center" vertical="center"/>
    </xf>
    <xf numFmtId="4" fontId="7" fillId="0" borderId="3" xfId="2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4" fontId="6" fillId="0" borderId="4" xfId="2" applyNumberFormat="1" applyFont="1" applyFill="1" applyBorder="1" applyAlignment="1">
      <alignment horizontal="center" vertical="center"/>
    </xf>
    <xf numFmtId="4" fontId="6" fillId="0" borderId="5" xfId="2" applyNumberFormat="1" applyFont="1" applyFill="1" applyBorder="1" applyAlignment="1">
      <alignment horizontal="center" vertical="center"/>
    </xf>
    <xf numFmtId="43" fontId="6" fillId="0" borderId="13" xfId="1" applyFont="1" applyBorder="1" applyAlignment="1">
      <alignment vertical="center"/>
    </xf>
    <xf numFmtId="43" fontId="6" fillId="0" borderId="3" xfId="1" applyFont="1" applyBorder="1" applyAlignment="1">
      <alignment vertical="center"/>
    </xf>
    <xf numFmtId="43" fontId="6" fillId="0" borderId="0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69" fillId="0" borderId="22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6" fontId="16" fillId="0" borderId="57" xfId="0" applyNumberFormat="1" applyFont="1" applyBorder="1" applyAlignment="1">
      <alignment horizontal="center" vertical="center"/>
    </xf>
    <xf numFmtId="166" fontId="16" fillId="0" borderId="48" xfId="0" applyNumberFormat="1" applyFont="1" applyBorder="1" applyAlignment="1">
      <alignment horizontal="center" vertical="center"/>
    </xf>
    <xf numFmtId="166" fontId="16" fillId="0" borderId="52" xfId="0" applyNumberFormat="1" applyFont="1" applyBorder="1" applyAlignment="1">
      <alignment horizontal="center" vertical="center"/>
    </xf>
    <xf numFmtId="0" fontId="63" fillId="12" borderId="1" xfId="0" applyFont="1" applyFill="1" applyBorder="1" applyAlignment="1">
      <alignment horizontal="left" vertical="center" wrapText="1"/>
    </xf>
    <xf numFmtId="0" fontId="63" fillId="12" borderId="28" xfId="0" applyFont="1" applyFill="1" applyBorder="1" applyAlignment="1">
      <alignment horizontal="left" vertical="center" wrapText="1"/>
    </xf>
    <xf numFmtId="0" fontId="16" fillId="7" borderId="48" xfId="0" applyFont="1" applyFill="1" applyBorder="1" applyAlignment="1">
      <alignment horizontal="center" vertical="center"/>
    </xf>
    <xf numFmtId="0" fontId="16" fillId="7" borderId="50" xfId="0" applyFont="1" applyFill="1" applyBorder="1" applyAlignment="1">
      <alignment horizontal="center" vertical="center"/>
    </xf>
    <xf numFmtId="0" fontId="64" fillId="7" borderId="1" xfId="0" applyFont="1" applyFill="1" applyBorder="1" applyAlignment="1">
      <alignment horizontal="center" vertical="center"/>
    </xf>
    <xf numFmtId="0" fontId="64" fillId="7" borderId="15" xfId="0" applyFont="1" applyFill="1" applyBorder="1" applyAlignment="1">
      <alignment horizontal="center" vertical="center"/>
    </xf>
    <xf numFmtId="0" fontId="55" fillId="7" borderId="1" xfId="0" applyFont="1" applyFill="1" applyBorder="1" applyAlignment="1">
      <alignment horizontal="left" vertical="center" wrapText="1"/>
    </xf>
    <xf numFmtId="0" fontId="55" fillId="7" borderId="15" xfId="0" applyFont="1" applyFill="1" applyBorder="1" applyAlignment="1">
      <alignment horizontal="left" vertical="center" wrapText="1"/>
    </xf>
    <xf numFmtId="0" fontId="16" fillId="7" borderId="46" xfId="0" applyFont="1" applyFill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55" fillId="0" borderId="12" xfId="0" applyFont="1" applyBorder="1" applyAlignment="1">
      <alignment horizontal="left" vertical="center" wrapText="1"/>
    </xf>
    <xf numFmtId="0" fontId="55" fillId="0" borderId="1" xfId="0" applyFont="1" applyBorder="1" applyAlignment="1">
      <alignment horizontal="left" vertical="center" wrapText="1"/>
    </xf>
    <xf numFmtId="0" fontId="55" fillId="7" borderId="12" xfId="0" applyFont="1" applyFill="1" applyBorder="1" applyAlignment="1">
      <alignment horizontal="center" vertical="center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64" fillId="7" borderId="47" xfId="0" applyFont="1" applyFill="1" applyBorder="1" applyAlignment="1">
      <alignment horizontal="center" vertical="center" wrapText="1"/>
    </xf>
    <xf numFmtId="0" fontId="64" fillId="7" borderId="49" xfId="0" applyFont="1" applyFill="1" applyBorder="1" applyAlignment="1">
      <alignment horizontal="center" vertical="center" wrapText="1"/>
    </xf>
    <xf numFmtId="0" fontId="64" fillId="7" borderId="5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 wrapText="1"/>
    </xf>
    <xf numFmtId="0" fontId="60" fillId="2" borderId="17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5" fillId="7" borderId="23" xfId="0" applyFont="1" applyFill="1" applyBorder="1" applyAlignment="1">
      <alignment horizontal="center" vertical="center" wrapText="1"/>
    </xf>
    <xf numFmtId="0" fontId="61" fillId="7" borderId="40" xfId="0" applyFont="1" applyFill="1" applyBorder="1" applyAlignment="1">
      <alignment horizontal="left" vertical="center"/>
    </xf>
    <xf numFmtId="0" fontId="61" fillId="2" borderId="17" xfId="0" applyFont="1" applyFill="1" applyBorder="1" applyAlignment="1">
      <alignment horizontal="center" vertical="center"/>
    </xf>
    <xf numFmtId="0" fontId="62" fillId="2" borderId="17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64" fillId="7" borderId="12" xfId="0" applyFont="1" applyFill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00FF00"/>
      <color rgb="FF99FFCC"/>
      <color rgb="FFE709AD"/>
      <color rgb="FFEAEAEA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W469"/>
  <sheetViews>
    <sheetView topLeftCell="A46" zoomScale="110" zoomScaleNormal="110" workbookViewId="0">
      <selection activeCell="Y61" sqref="X61:Y61"/>
    </sheetView>
  </sheetViews>
  <sheetFormatPr defaultColWidth="9.19921875" defaultRowHeight="15.75" x14ac:dyDescent="0.55000000000000004"/>
  <cols>
    <col min="1" max="1" width="3.796875" style="1" customWidth="1"/>
    <col min="2" max="2" width="12.59765625" style="38" customWidth="1"/>
    <col min="3" max="5" width="7.3984375" style="38" customWidth="1"/>
    <col min="6" max="6" width="7.3984375" style="39" customWidth="1"/>
    <col min="7" max="7" width="8.59765625" style="39" customWidth="1"/>
    <col min="8" max="8" width="9" style="86" customWidth="1"/>
    <col min="9" max="9" width="8.59765625" style="86" customWidth="1"/>
    <col min="10" max="10" width="8.59765625" style="1" customWidth="1"/>
    <col min="11" max="11" width="5.59765625" style="1" customWidth="1"/>
    <col min="12" max="12" width="8.59765625" style="2" customWidth="1"/>
    <col min="13" max="13" width="7.19921875" style="1" customWidth="1"/>
    <col min="14" max="14" width="13.59765625" style="1" customWidth="1"/>
    <col min="15" max="15" width="7.796875" style="1" customWidth="1"/>
    <col min="16" max="16" width="12.796875" style="1" customWidth="1"/>
    <col min="17" max="16384" width="9.19921875" style="1"/>
  </cols>
  <sheetData>
    <row r="1" spans="1:23" ht="32.25" customHeight="1" x14ac:dyDescent="0.55000000000000004">
      <c r="A1" s="696" t="s">
        <v>557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275" t="s">
        <v>111</v>
      </c>
    </row>
    <row r="2" spans="1:23" s="2" customFormat="1" ht="15.75" customHeight="1" x14ac:dyDescent="0.55000000000000004">
      <c r="A2" s="143"/>
      <c r="B2" s="144" t="s">
        <v>0</v>
      </c>
      <c r="C2" s="145">
        <v>1</v>
      </c>
      <c r="D2" s="146">
        <v>2</v>
      </c>
      <c r="E2" s="145">
        <v>3</v>
      </c>
      <c r="F2" s="146">
        <v>4</v>
      </c>
      <c r="G2" s="145">
        <v>5</v>
      </c>
      <c r="H2" s="146">
        <v>6</v>
      </c>
      <c r="I2" s="145">
        <v>7</v>
      </c>
      <c r="J2" s="148"/>
      <c r="K2" s="149"/>
      <c r="L2" s="150" t="s">
        <v>1</v>
      </c>
      <c r="M2" s="697" t="s">
        <v>2</v>
      </c>
      <c r="N2" s="698"/>
      <c r="O2" s="699"/>
      <c r="P2" s="161" t="s">
        <v>113</v>
      </c>
    </row>
    <row r="3" spans="1:23" s="2" customFormat="1" x14ac:dyDescent="0.55000000000000004">
      <c r="B3" s="6" t="s">
        <v>3</v>
      </c>
      <c r="C3" s="7">
        <f t="shared" ref="C3:J3" si="0">SUMIFS($L$461:$L$1062,$F$461:$F$1062,"A",$B$461:$B$1062,C2&amp;"-02-2023")</f>
        <v>0</v>
      </c>
      <c r="D3" s="7">
        <f t="shared" si="0"/>
        <v>0</v>
      </c>
      <c r="E3" s="7">
        <f t="shared" si="0"/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379"/>
      <c r="L3" s="8">
        <f>SUM(C3:J3)</f>
        <v>0</v>
      </c>
      <c r="M3" s="700"/>
      <c r="N3" s="701"/>
      <c r="O3" s="702"/>
      <c r="P3" s="162">
        <f>L3+L8+L13+L18</f>
        <v>0</v>
      </c>
      <c r="Q3" s="2" t="s">
        <v>3</v>
      </c>
    </row>
    <row r="4" spans="1:23" s="2" customFormat="1" x14ac:dyDescent="0.55000000000000004">
      <c r="B4" s="6" t="s">
        <v>4</v>
      </c>
      <c r="C4" s="7">
        <f t="shared" ref="C4:J4" si="1">SUMIFS($L$461:$L$1062,$F$461:$F$1062,"B",$B$461:$B$1062,C2&amp;"-02-2023")</f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379"/>
      <c r="L4" s="8">
        <f>SUM(C4:J4)</f>
        <v>0</v>
      </c>
      <c r="M4" s="703"/>
      <c r="N4" s="704"/>
      <c r="O4" s="705"/>
      <c r="P4" s="162">
        <f>L4+L9+L14+L19</f>
        <v>0</v>
      </c>
      <c r="Q4" s="2" t="s">
        <v>4</v>
      </c>
    </row>
    <row r="5" spans="1:23" s="2" customFormat="1" x14ac:dyDescent="0.55000000000000004">
      <c r="B5" s="6" t="s">
        <v>15</v>
      </c>
      <c r="C5" s="7">
        <f t="shared" ref="C5:J5" si="2">SUMIFS($L$461:$L$1062,$F$461:$F$1062,"C",$B$461:$B$1062,C2&amp;"-02-2023")</f>
        <v>0</v>
      </c>
      <c r="D5" s="7">
        <f t="shared" si="2"/>
        <v>0</v>
      </c>
      <c r="E5" s="7">
        <f t="shared" si="2"/>
        <v>0</v>
      </c>
      <c r="F5" s="7">
        <f t="shared" si="2"/>
        <v>0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">
        <f t="shared" si="2"/>
        <v>0</v>
      </c>
      <c r="K5" s="379"/>
      <c r="L5" s="8">
        <f>SUM(C5:J5)</f>
        <v>0</v>
      </c>
      <c r="M5" s="346"/>
      <c r="N5" s="350"/>
      <c r="O5" s="347"/>
      <c r="P5" s="162">
        <f>L5+L10+L15+L20</f>
        <v>0</v>
      </c>
      <c r="Q5" s="2" t="s">
        <v>15</v>
      </c>
    </row>
    <row r="6" spans="1:23" s="2" customFormat="1" x14ac:dyDescent="0.55000000000000004">
      <c r="B6" s="638" t="s">
        <v>165</v>
      </c>
      <c r="C6" s="633">
        <f t="shared" ref="C6:J6" si="3">SUMIFS($L$456:$L$1062,$F$456:$F$1062,"mix",$B$456:$B$1062,C2&amp;"-02-2023")</f>
        <v>0</v>
      </c>
      <c r="D6" s="633">
        <f t="shared" si="3"/>
        <v>0</v>
      </c>
      <c r="E6" s="633">
        <f t="shared" si="3"/>
        <v>0</v>
      </c>
      <c r="F6" s="633">
        <f t="shared" si="3"/>
        <v>0</v>
      </c>
      <c r="G6" s="633">
        <f t="shared" si="3"/>
        <v>0</v>
      </c>
      <c r="H6" s="633">
        <f t="shared" si="3"/>
        <v>0</v>
      </c>
      <c r="I6" s="633">
        <f t="shared" si="3"/>
        <v>0</v>
      </c>
      <c r="J6" s="633">
        <f t="shared" si="3"/>
        <v>0</v>
      </c>
      <c r="K6" s="641"/>
      <c r="L6" s="634">
        <f>SUM(C6:J6)</f>
        <v>0</v>
      </c>
      <c r="M6" s="346"/>
      <c r="N6" s="350"/>
      <c r="O6" s="347"/>
      <c r="P6" s="635">
        <f>L6+L11+L16+L21</f>
        <v>0</v>
      </c>
      <c r="Q6" s="636" t="s">
        <v>165</v>
      </c>
    </row>
    <row r="7" spans="1:23" s="2" customFormat="1" ht="15.75" customHeight="1" x14ac:dyDescent="0.55000000000000004">
      <c r="B7" s="144" t="s">
        <v>0</v>
      </c>
      <c r="C7" s="145">
        <v>8</v>
      </c>
      <c r="D7" s="147">
        <v>9</v>
      </c>
      <c r="E7" s="145">
        <v>10</v>
      </c>
      <c r="F7" s="147">
        <v>11</v>
      </c>
      <c r="G7" s="145">
        <v>12</v>
      </c>
      <c r="H7" s="147">
        <v>13</v>
      </c>
      <c r="I7" s="145">
        <v>14</v>
      </c>
      <c r="J7" s="147">
        <v>15</v>
      </c>
      <c r="K7" s="151"/>
      <c r="L7" s="152" t="s">
        <v>5</v>
      </c>
      <c r="M7" s="687">
        <f>L3+L8+L13+L18</f>
        <v>0</v>
      </c>
      <c r="N7" s="688"/>
      <c r="O7" s="689"/>
      <c r="P7" s="161">
        <f>SUM(P3:P6)</f>
        <v>0</v>
      </c>
    </row>
    <row r="8" spans="1:23" s="2" customFormat="1" ht="19.5" customHeight="1" x14ac:dyDescent="0.55000000000000004">
      <c r="B8" s="6" t="s">
        <v>3</v>
      </c>
      <c r="C8" s="7">
        <f t="shared" ref="C8:J8" si="4">SUMIFS($L$461:$L$1062,$F$461:$F$1062,"A",$B$461:$B$1062,C7&amp;"-01-2023")</f>
        <v>0</v>
      </c>
      <c r="D8" s="7">
        <f t="shared" si="4"/>
        <v>0</v>
      </c>
      <c r="E8" s="7">
        <f t="shared" si="4"/>
        <v>0</v>
      </c>
      <c r="F8" s="7">
        <f t="shared" si="4"/>
        <v>0</v>
      </c>
      <c r="G8" s="7">
        <f t="shared" si="4"/>
        <v>0</v>
      </c>
      <c r="H8" s="7">
        <f t="shared" si="4"/>
        <v>0</v>
      </c>
      <c r="I8" s="7">
        <f t="shared" si="4"/>
        <v>0</v>
      </c>
      <c r="J8" s="7">
        <f t="shared" si="4"/>
        <v>0</v>
      </c>
      <c r="K8" s="380"/>
      <c r="L8" s="8">
        <f>SUM(C8:J8)</f>
        <v>0</v>
      </c>
      <c r="M8" s="690"/>
      <c r="N8" s="691"/>
      <c r="O8" s="692"/>
      <c r="P8" s="161" t="s">
        <v>112</v>
      </c>
    </row>
    <row r="9" spans="1:23" s="2" customFormat="1" ht="18.75" customHeight="1" x14ac:dyDescent="0.55000000000000004">
      <c r="B9" s="6" t="s">
        <v>4</v>
      </c>
      <c r="C9" s="7">
        <f t="shared" ref="C9:J9" si="5">SUMIFS($L$461:$L$1062,$F$461:$F$1062,"B",$B$461:$B$1062,C7&amp;"-01-2023")</f>
        <v>0</v>
      </c>
      <c r="D9" s="7">
        <f t="shared" si="5"/>
        <v>0</v>
      </c>
      <c r="E9" s="7">
        <f t="shared" si="5"/>
        <v>0</v>
      </c>
      <c r="F9" s="7">
        <f t="shared" si="5"/>
        <v>0</v>
      </c>
      <c r="G9" s="7">
        <f t="shared" si="5"/>
        <v>0</v>
      </c>
      <c r="H9" s="7">
        <f t="shared" si="5"/>
        <v>0</v>
      </c>
      <c r="I9" s="7">
        <f t="shared" si="5"/>
        <v>0</v>
      </c>
      <c r="J9" s="7">
        <f t="shared" si="5"/>
        <v>0</v>
      </c>
      <c r="K9" s="380"/>
      <c r="L9" s="8">
        <f>SUM(C9:J9)</f>
        <v>0</v>
      </c>
      <c r="M9" s="690">
        <f>L4+L9+L14+L19</f>
        <v>0</v>
      </c>
      <c r="N9" s="691"/>
      <c r="O9" s="692"/>
      <c r="P9" s="279">
        <f>SUMIFS($L$55:$L$1062,$F$55:$F$1062,"A",$O$55:$O$1062,"O")</f>
        <v>0</v>
      </c>
      <c r="Q9" s="2" t="s">
        <v>3</v>
      </c>
    </row>
    <row r="10" spans="1:23" s="2" customFormat="1" ht="18.75" customHeight="1" x14ac:dyDescent="0.55000000000000004">
      <c r="B10" s="6" t="s">
        <v>15</v>
      </c>
      <c r="C10" s="7">
        <f t="shared" ref="C10:J10" si="6">SUMIFS($L$461:$L$1062,$F$461:$F$1062,"C",$B$461:$B$1062,C7&amp;"-01-2023")</f>
        <v>0</v>
      </c>
      <c r="D10" s="7">
        <f t="shared" si="6"/>
        <v>0</v>
      </c>
      <c r="E10" s="7">
        <f t="shared" si="6"/>
        <v>0</v>
      </c>
      <c r="F10" s="7">
        <f t="shared" si="6"/>
        <v>0</v>
      </c>
      <c r="G10" s="7">
        <f t="shared" si="6"/>
        <v>0</v>
      </c>
      <c r="H10" s="7">
        <f t="shared" si="6"/>
        <v>0</v>
      </c>
      <c r="I10" s="7">
        <f t="shared" si="6"/>
        <v>0</v>
      </c>
      <c r="J10" s="7">
        <f t="shared" si="6"/>
        <v>0</v>
      </c>
      <c r="K10" s="7"/>
      <c r="L10" s="8">
        <f>SUM(C10:J10)</f>
        <v>0</v>
      </c>
      <c r="M10" s="693"/>
      <c r="N10" s="694"/>
      <c r="O10" s="695"/>
      <c r="P10" s="279">
        <f>SUMIFS($L$55:$L$1062,$F$55:$F$1062,"B",$O$55:$O$1062,"O")</f>
        <v>0</v>
      </c>
      <c r="Q10" s="2" t="s">
        <v>4</v>
      </c>
    </row>
    <row r="11" spans="1:23" s="2" customFormat="1" ht="18.75" customHeight="1" x14ac:dyDescent="0.55000000000000004">
      <c r="B11" s="638" t="s">
        <v>165</v>
      </c>
      <c r="C11" s="633">
        <f t="shared" ref="C11:J11" si="7">SUMIFS($L$427:$L$1062,$F$427:$F$1062,"MIX",$B$427:$B$1062,C7&amp;"-01-2023")</f>
        <v>0</v>
      </c>
      <c r="D11" s="633">
        <f t="shared" si="7"/>
        <v>0</v>
      </c>
      <c r="E11" s="633">
        <f t="shared" si="7"/>
        <v>0</v>
      </c>
      <c r="F11" s="633">
        <f t="shared" si="7"/>
        <v>0</v>
      </c>
      <c r="G11" s="633">
        <f t="shared" si="7"/>
        <v>0</v>
      </c>
      <c r="H11" s="633">
        <f t="shared" si="7"/>
        <v>0</v>
      </c>
      <c r="I11" s="633">
        <f t="shared" si="7"/>
        <v>0</v>
      </c>
      <c r="J11" s="633">
        <f t="shared" si="7"/>
        <v>0</v>
      </c>
      <c r="K11" s="633"/>
      <c r="L11" s="634">
        <f>SUM(C11:J11)</f>
        <v>0</v>
      </c>
      <c r="M11" s="687">
        <f>L5+L10+L15+L20</f>
        <v>0</v>
      </c>
      <c r="N11" s="688"/>
      <c r="O11" s="689"/>
      <c r="P11" s="279">
        <f>SUMIFS($L$55:$L$1062,$F$55:$F$1062,"C",$O$55:$O$1062,"O")</f>
        <v>0</v>
      </c>
      <c r="Q11" s="2" t="s">
        <v>15</v>
      </c>
    </row>
    <row r="12" spans="1:23" s="2" customFormat="1" ht="15.75" customHeight="1" x14ac:dyDescent="0.55000000000000004">
      <c r="B12" s="144" t="s">
        <v>0</v>
      </c>
      <c r="C12" s="145">
        <v>16</v>
      </c>
      <c r="D12" s="145">
        <v>17</v>
      </c>
      <c r="E12" s="145">
        <v>18</v>
      </c>
      <c r="F12" s="145">
        <v>19</v>
      </c>
      <c r="G12" s="145">
        <v>20</v>
      </c>
      <c r="H12" s="145">
        <v>21</v>
      </c>
      <c r="I12" s="145">
        <v>22</v>
      </c>
      <c r="J12" s="145">
        <v>23</v>
      </c>
      <c r="K12" s="153"/>
      <c r="L12" s="97" t="s">
        <v>6</v>
      </c>
      <c r="M12" s="690"/>
      <c r="N12" s="691"/>
      <c r="O12" s="692"/>
      <c r="P12" s="642">
        <f>SUMIFS($L$55:$L$1062,$F$55:$F$1062,"MIX",$O$55:$O$1062,"O")</f>
        <v>4.26</v>
      </c>
      <c r="Q12" s="636" t="s">
        <v>165</v>
      </c>
    </row>
    <row r="13" spans="1:23" s="2" customFormat="1" ht="18.75" customHeight="1" x14ac:dyDescent="0.55000000000000004">
      <c r="B13" s="6" t="s">
        <v>3</v>
      </c>
      <c r="C13" s="7">
        <f t="shared" ref="C13:J13" si="8">SUMIFS($L$461:$L$1062,$F$461:$F$1062,"A",$B$461:$B$1062,C12&amp;"-01-2023")</f>
        <v>0</v>
      </c>
      <c r="D13" s="7">
        <f t="shared" si="8"/>
        <v>0</v>
      </c>
      <c r="E13" s="7">
        <f t="shared" si="8"/>
        <v>0</v>
      </c>
      <c r="F13" s="7">
        <f t="shared" si="8"/>
        <v>0</v>
      </c>
      <c r="G13" s="7">
        <f t="shared" si="8"/>
        <v>0</v>
      </c>
      <c r="H13" s="7">
        <f t="shared" si="8"/>
        <v>0</v>
      </c>
      <c r="I13" s="7">
        <f t="shared" si="8"/>
        <v>0</v>
      </c>
      <c r="J13" s="7">
        <f t="shared" si="8"/>
        <v>0</v>
      </c>
      <c r="K13" s="12"/>
      <c r="L13" s="8">
        <f>SUM(C13:J13)</f>
        <v>0</v>
      </c>
      <c r="M13" s="693"/>
      <c r="N13" s="694"/>
      <c r="O13" s="695"/>
      <c r="P13" s="160">
        <f>SUM(P9:P12)</f>
        <v>4.26</v>
      </c>
    </row>
    <row r="14" spans="1:23" s="2" customFormat="1" ht="18.75" customHeight="1" x14ac:dyDescent="0.55000000000000004">
      <c r="B14" s="6" t="s">
        <v>4</v>
      </c>
      <c r="C14" s="7">
        <f t="shared" ref="C14:J14" si="9">SUMIFS($L$461:$L$1062,$F$461:$F$1062,"B",$B$461:$B$1062,C12&amp;"-01-2023")</f>
        <v>0</v>
      </c>
      <c r="D14" s="7">
        <f t="shared" si="9"/>
        <v>0</v>
      </c>
      <c r="E14" s="7">
        <f t="shared" si="9"/>
        <v>0</v>
      </c>
      <c r="F14" s="7">
        <f t="shared" si="9"/>
        <v>0</v>
      </c>
      <c r="G14" s="7">
        <f t="shared" si="9"/>
        <v>0</v>
      </c>
      <c r="H14" s="7">
        <f t="shared" si="9"/>
        <v>0</v>
      </c>
      <c r="I14" s="7">
        <f t="shared" si="9"/>
        <v>0</v>
      </c>
      <c r="J14" s="7">
        <f t="shared" si="9"/>
        <v>0</v>
      </c>
      <c r="K14" s="12"/>
      <c r="L14" s="8">
        <f>SUM(C14:J14)</f>
        <v>0</v>
      </c>
      <c r="M14" s="708">
        <f>L6+L11+L16+L21</f>
        <v>0</v>
      </c>
      <c r="N14" s="682"/>
      <c r="O14" s="683"/>
    </row>
    <row r="15" spans="1:23" s="2" customFormat="1" ht="18.75" customHeight="1" x14ac:dyDescent="0.55000000000000004">
      <c r="B15" s="6" t="s">
        <v>15</v>
      </c>
      <c r="C15" s="7">
        <f t="shared" ref="C15:J15" si="10">SUMIFS($L$461:$L$1062,$F$461:$F$1062,"C",$B$461:$B$1062,C11&amp;"-01-2023")</f>
        <v>0</v>
      </c>
      <c r="D15" s="7">
        <f t="shared" si="10"/>
        <v>0</v>
      </c>
      <c r="E15" s="7">
        <f t="shared" si="10"/>
        <v>0</v>
      </c>
      <c r="F15" s="7">
        <f t="shared" si="10"/>
        <v>0</v>
      </c>
      <c r="G15" s="7">
        <f t="shared" si="10"/>
        <v>0</v>
      </c>
      <c r="H15" s="7">
        <f t="shared" si="10"/>
        <v>0</v>
      </c>
      <c r="I15" s="7">
        <f t="shared" si="10"/>
        <v>0</v>
      </c>
      <c r="J15" s="7">
        <f t="shared" si="10"/>
        <v>0</v>
      </c>
      <c r="K15" s="12"/>
      <c r="L15" s="8">
        <f>SUM(C15:J15)</f>
        <v>0</v>
      </c>
      <c r="M15" s="709"/>
      <c r="N15" s="684"/>
      <c r="O15" s="685"/>
      <c r="W15" s="2" t="s">
        <v>181</v>
      </c>
    </row>
    <row r="16" spans="1:23" s="2" customFormat="1" ht="18.75" customHeight="1" x14ac:dyDescent="0.55000000000000004">
      <c r="B16" s="638" t="s">
        <v>165</v>
      </c>
      <c r="C16" s="633">
        <f t="shared" ref="C16:J16" si="11">SUMIFS($L$433:$L$1062,$F$433:$F$1062,"MIX",$B$433:$B$1062,C12&amp;"-01-2023")</f>
        <v>0</v>
      </c>
      <c r="D16" s="633">
        <f t="shared" si="11"/>
        <v>0</v>
      </c>
      <c r="E16" s="633">
        <f t="shared" si="11"/>
        <v>0</v>
      </c>
      <c r="F16" s="633">
        <f t="shared" si="11"/>
        <v>0</v>
      </c>
      <c r="G16" s="633">
        <f t="shared" si="11"/>
        <v>0</v>
      </c>
      <c r="H16" s="633">
        <f t="shared" si="11"/>
        <v>0</v>
      </c>
      <c r="I16" s="633">
        <f t="shared" si="11"/>
        <v>0</v>
      </c>
      <c r="J16" s="633">
        <f t="shared" si="11"/>
        <v>0</v>
      </c>
      <c r="K16" s="639"/>
      <c r="L16" s="634">
        <f>SUM(C16:J16)</f>
        <v>0</v>
      </c>
      <c r="M16" s="709"/>
      <c r="N16" s="684"/>
      <c r="O16" s="685"/>
      <c r="W16" s="2" t="s">
        <v>181</v>
      </c>
    </row>
    <row r="17" spans="2:16" s="2" customFormat="1" ht="15.75" customHeight="1" x14ac:dyDescent="0.55000000000000004">
      <c r="B17" s="144" t="s">
        <v>0</v>
      </c>
      <c r="C17" s="145">
        <v>24</v>
      </c>
      <c r="D17" s="145">
        <v>25</v>
      </c>
      <c r="E17" s="145">
        <v>26</v>
      </c>
      <c r="F17" s="145">
        <v>27</v>
      </c>
      <c r="G17" s="145">
        <v>28</v>
      </c>
      <c r="H17" s="145">
        <v>29</v>
      </c>
      <c r="I17" s="145">
        <v>30</v>
      </c>
      <c r="J17" s="145">
        <v>31</v>
      </c>
      <c r="K17" s="153"/>
      <c r="L17" s="148" t="s">
        <v>7</v>
      </c>
      <c r="M17" s="710"/>
      <c r="N17" s="711"/>
      <c r="O17" s="712"/>
    </row>
    <row r="18" spans="2:16" s="2" customFormat="1" ht="18.75" customHeight="1" x14ac:dyDescent="0.55000000000000004">
      <c r="B18" s="6" t="s">
        <v>3</v>
      </c>
      <c r="C18" s="7">
        <f t="shared" ref="C18:J18" si="12">SUMIFS($L$461:$L$1062,$F$461:$F$1062,"A",$B$461:$B$1062,C17&amp;"-01-2023")</f>
        <v>0</v>
      </c>
      <c r="D18" s="7">
        <f t="shared" si="12"/>
        <v>0</v>
      </c>
      <c r="E18" s="7">
        <f t="shared" si="12"/>
        <v>0</v>
      </c>
      <c r="F18" s="7">
        <f t="shared" si="12"/>
        <v>0</v>
      </c>
      <c r="G18" s="7">
        <f t="shared" si="12"/>
        <v>0</v>
      </c>
      <c r="H18" s="7">
        <f t="shared" si="12"/>
        <v>0</v>
      </c>
      <c r="I18" s="7">
        <f t="shared" si="12"/>
        <v>0</v>
      </c>
      <c r="J18" s="7">
        <f t="shared" si="12"/>
        <v>0</v>
      </c>
      <c r="K18" s="12"/>
      <c r="L18" s="8">
        <f>SUM(C18:J18)</f>
        <v>0</v>
      </c>
      <c r="M18" s="687">
        <f>M7+M11+M14</f>
        <v>0</v>
      </c>
      <c r="N18" s="688"/>
      <c r="O18" s="689"/>
    </row>
    <row r="19" spans="2:16" s="2" customFormat="1" ht="18.75" customHeight="1" x14ac:dyDescent="0.55000000000000004">
      <c r="B19" s="6" t="s">
        <v>4</v>
      </c>
      <c r="C19" s="7">
        <f t="shared" ref="C19:J19" si="13">SUMIFS($L$461:$L$1062,$F$461:$F$1062,"B",$B$461:$B$1062,C17&amp;"-01-2023")</f>
        <v>0</v>
      </c>
      <c r="D19" s="7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7">
        <f t="shared" si="13"/>
        <v>0</v>
      </c>
      <c r="I19" s="7">
        <f t="shared" si="13"/>
        <v>0</v>
      </c>
      <c r="J19" s="7">
        <f t="shared" si="13"/>
        <v>0</v>
      </c>
      <c r="K19" s="384"/>
      <c r="L19" s="8">
        <f>SUM(C19:J19)</f>
        <v>0</v>
      </c>
      <c r="M19" s="690"/>
      <c r="N19" s="691"/>
      <c r="O19" s="692"/>
    </row>
    <row r="20" spans="2:16" s="2" customFormat="1" ht="18.75" customHeight="1" x14ac:dyDescent="0.55000000000000004">
      <c r="B20" s="6" t="s">
        <v>15</v>
      </c>
      <c r="C20" s="7">
        <f t="shared" ref="C20:J20" si="14">SUMIFS($L$461:$L$1062,$F$461:$F$1062,"C",$B$461:$B$1062,C16&amp;"-01-2023")</f>
        <v>0</v>
      </c>
      <c r="D20" s="7">
        <f t="shared" si="14"/>
        <v>0</v>
      </c>
      <c r="E20" s="7">
        <f t="shared" si="14"/>
        <v>0</v>
      </c>
      <c r="F20" s="7">
        <f t="shared" si="14"/>
        <v>0</v>
      </c>
      <c r="G20" s="7">
        <f t="shared" si="14"/>
        <v>0</v>
      </c>
      <c r="H20" s="7">
        <f t="shared" si="14"/>
        <v>0</v>
      </c>
      <c r="I20" s="7">
        <f t="shared" si="14"/>
        <v>0</v>
      </c>
      <c r="J20" s="7">
        <f t="shared" si="14"/>
        <v>0</v>
      </c>
      <c r="K20" s="385"/>
      <c r="L20" s="8">
        <f>SUM(C20:J20)</f>
        <v>0</v>
      </c>
      <c r="M20" s="690"/>
      <c r="N20" s="691"/>
      <c r="O20" s="692"/>
    </row>
    <row r="21" spans="2:16" s="2" customFormat="1" ht="18.75" customHeight="1" x14ac:dyDescent="0.55000000000000004">
      <c r="B21" s="638" t="s">
        <v>165</v>
      </c>
      <c r="C21" s="633">
        <f t="shared" ref="C21:J21" si="15">SUMIFS($L$433:$L$1062,$F$433:$F$1062,"MIX",$B$433:$B$1062,C17&amp;"-01-2023")</f>
        <v>0</v>
      </c>
      <c r="D21" s="633">
        <f t="shared" si="15"/>
        <v>0</v>
      </c>
      <c r="E21" s="633">
        <f t="shared" si="15"/>
        <v>0</v>
      </c>
      <c r="F21" s="633">
        <f t="shared" si="15"/>
        <v>0</v>
      </c>
      <c r="G21" s="633">
        <f t="shared" si="15"/>
        <v>0</v>
      </c>
      <c r="H21" s="633">
        <f t="shared" si="15"/>
        <v>0</v>
      </c>
      <c r="I21" s="633">
        <f t="shared" si="15"/>
        <v>0</v>
      </c>
      <c r="J21" s="633">
        <f t="shared" si="15"/>
        <v>0</v>
      </c>
      <c r="K21" s="640"/>
      <c r="L21" s="634">
        <f>SUM(C21:J21)</f>
        <v>0</v>
      </c>
      <c r="M21" s="693"/>
      <c r="N21" s="694"/>
      <c r="O21" s="695"/>
    </row>
    <row r="22" spans="2:16" s="2" customFormat="1" ht="18.75" customHeight="1" x14ac:dyDescent="0.55000000000000004">
      <c r="B22" s="15"/>
      <c r="C22" s="706" t="s">
        <v>8</v>
      </c>
      <c r="D22" s="706"/>
      <c r="E22" s="706"/>
      <c r="F22" s="16"/>
      <c r="G22" s="16"/>
      <c r="H22" s="16"/>
      <c r="I22" s="16"/>
      <c r="J22" s="16"/>
      <c r="K22" s="17"/>
      <c r="L22" s="191"/>
      <c r="M22" s="706" t="s">
        <v>119</v>
      </c>
      <c r="N22" s="706"/>
      <c r="O22" s="706"/>
    </row>
    <row r="23" spans="2:16" s="2" customFormat="1" ht="18.75" customHeight="1" x14ac:dyDescent="0.55000000000000004">
      <c r="B23" s="15" t="s">
        <v>3</v>
      </c>
      <c r="C23" s="707"/>
      <c r="D23" s="707"/>
      <c r="E23" s="707"/>
      <c r="F23" s="16"/>
      <c r="G23" s="16"/>
      <c r="H23" s="16"/>
      <c r="I23" s="16"/>
      <c r="J23" s="16"/>
      <c r="K23" s="17"/>
      <c r="L23" s="191" t="s">
        <v>3</v>
      </c>
      <c r="M23" s="707">
        <f>C23+M7+N32</f>
        <v>0</v>
      </c>
      <c r="N23" s="707"/>
      <c r="O23" s="707"/>
      <c r="P23" s="76"/>
    </row>
    <row r="24" spans="2:16" s="2" customFormat="1" ht="18.75" customHeight="1" x14ac:dyDescent="0.55000000000000004">
      <c r="B24" s="15" t="s">
        <v>4</v>
      </c>
      <c r="C24" s="707"/>
      <c r="D24" s="707"/>
      <c r="E24" s="707"/>
      <c r="F24" s="16"/>
      <c r="G24" s="16"/>
      <c r="H24" s="16"/>
      <c r="I24" s="16"/>
      <c r="J24" s="16"/>
      <c r="K24" s="17"/>
      <c r="L24" s="191" t="s">
        <v>4</v>
      </c>
      <c r="M24" s="707">
        <f>C24+M8+N34</f>
        <v>0</v>
      </c>
      <c r="N24" s="707"/>
      <c r="O24" s="707"/>
      <c r="P24" s="76"/>
    </row>
    <row r="25" spans="2:16" s="2" customFormat="1" ht="18.75" customHeight="1" x14ac:dyDescent="0.55000000000000004">
      <c r="B25" s="389" t="s">
        <v>15</v>
      </c>
      <c r="C25" s="707"/>
      <c r="D25" s="707"/>
      <c r="E25" s="707"/>
      <c r="F25" s="16"/>
      <c r="G25" s="16"/>
      <c r="H25" s="16"/>
      <c r="I25" s="16"/>
      <c r="J25" s="16"/>
      <c r="K25" s="17"/>
      <c r="L25" s="390" t="s">
        <v>15</v>
      </c>
      <c r="M25" s="707">
        <f>C25+M9+N37</f>
        <v>0</v>
      </c>
      <c r="N25" s="707"/>
      <c r="O25" s="707"/>
      <c r="P25" s="76"/>
    </row>
    <row r="26" spans="2:16" s="2" customFormat="1" ht="18.75" customHeight="1" x14ac:dyDescent="0.55000000000000004">
      <c r="B26" s="18"/>
      <c r="C26" s="16"/>
      <c r="D26" s="16"/>
      <c r="E26" s="16"/>
      <c r="F26" s="16"/>
      <c r="G26" s="16"/>
      <c r="H26" s="16"/>
      <c r="I26" s="16"/>
      <c r="J26" s="16"/>
      <c r="K26" s="19"/>
      <c r="L26" s="192"/>
      <c r="M26" s="21"/>
      <c r="N26" s="21"/>
      <c r="O26" s="21"/>
    </row>
    <row r="27" spans="2:16" s="2" customFormat="1" ht="15.75" customHeight="1" x14ac:dyDescent="0.55000000000000004">
      <c r="B27" s="144" t="s">
        <v>9</v>
      </c>
      <c r="C27" s="145">
        <v>1</v>
      </c>
      <c r="D27" s="146">
        <v>2</v>
      </c>
      <c r="E27" s="145">
        <v>3</v>
      </c>
      <c r="F27" s="146">
        <v>4</v>
      </c>
      <c r="G27" s="147">
        <v>5</v>
      </c>
      <c r="H27" s="146">
        <v>6</v>
      </c>
      <c r="I27" s="145">
        <v>7</v>
      </c>
      <c r="J27" s="148"/>
      <c r="K27" s="154"/>
      <c r="L27" s="150" t="s">
        <v>1</v>
      </c>
      <c r="M27" s="697" t="s">
        <v>10</v>
      </c>
      <c r="N27" s="698"/>
      <c r="O27" s="699"/>
    </row>
    <row r="28" spans="2:16" s="2" customFormat="1" x14ac:dyDescent="0.55000000000000004">
      <c r="B28" s="6" t="s">
        <v>3</v>
      </c>
      <c r="C28" s="7">
        <f>SUMIFS($L$55:$L$5169,$F$55:$F$5169,$B$28,$N$55:$N$5169,C27&amp;"-02-2023",$O$55:$O$5169,"O")</f>
        <v>0</v>
      </c>
      <c r="D28" s="7">
        <f t="shared" ref="D28:J28" si="16">SUMIFS($L$55:$L$5169,$F$55:$F$5169,$B$28,$N$55:$N$5169,D27&amp;"-02-2023",$O$55:$O$5169,"O")</f>
        <v>0</v>
      </c>
      <c r="E28" s="7">
        <f t="shared" si="16"/>
        <v>0</v>
      </c>
      <c r="F28" s="7">
        <f t="shared" si="16"/>
        <v>0</v>
      </c>
      <c r="G28" s="7">
        <f t="shared" si="16"/>
        <v>0</v>
      </c>
      <c r="H28" s="7">
        <f t="shared" si="16"/>
        <v>0</v>
      </c>
      <c r="I28" s="7">
        <f t="shared" si="16"/>
        <v>0</v>
      </c>
      <c r="J28" s="7">
        <f t="shared" si="16"/>
        <v>0</v>
      </c>
      <c r="K28" s="379"/>
      <c r="L28" s="8">
        <f>SUM(C28:J28)</f>
        <v>0</v>
      </c>
      <c r="M28" s="700"/>
      <c r="N28" s="701"/>
      <c r="O28" s="702"/>
    </row>
    <row r="29" spans="2:16" s="2" customFormat="1" x14ac:dyDescent="0.55000000000000004">
      <c r="B29" s="6" t="s">
        <v>4</v>
      </c>
      <c r="C29" s="7">
        <f>SUMIFS($L$55:$L$5169,$F$55:$F$5169,$B$29,$N$55:$N$5169,C27&amp;"-02-2023",$O$55:$O$5169,"O")</f>
        <v>0</v>
      </c>
      <c r="D29" s="7">
        <f t="shared" ref="D29:J29" si="17">SUMIFS($L$55:$L$5169,$F$55:$F$5169,$B$29,$N$55:$N$5169,D27&amp;"-02-2023",$O$55:$O$5169,"O")</f>
        <v>0</v>
      </c>
      <c r="E29" s="7">
        <f t="shared" si="17"/>
        <v>0</v>
      </c>
      <c r="F29" s="7">
        <f t="shared" si="17"/>
        <v>0</v>
      </c>
      <c r="G29" s="7">
        <f t="shared" si="17"/>
        <v>0</v>
      </c>
      <c r="H29" s="7">
        <f t="shared" si="17"/>
        <v>0</v>
      </c>
      <c r="I29" s="7">
        <f t="shared" si="17"/>
        <v>0</v>
      </c>
      <c r="J29" s="7">
        <f t="shared" si="17"/>
        <v>0</v>
      </c>
      <c r="K29" s="379"/>
      <c r="L29" s="8">
        <f>SUM(C29:J29)</f>
        <v>0</v>
      </c>
      <c r="M29" s="703"/>
      <c r="N29" s="704"/>
      <c r="O29" s="705"/>
    </row>
    <row r="30" spans="2:16" s="2" customFormat="1" x14ac:dyDescent="0.55000000000000004">
      <c r="B30" s="6" t="s">
        <v>15</v>
      </c>
      <c r="C30" s="7">
        <f>SUMIFS($L$55:$L$5169,$F$55:$F$5169,$B$30,$N$55:$N$5169,C27&amp;"-02-2023",$O$55:$O$5169,"O")</f>
        <v>0</v>
      </c>
      <c r="D30" s="7">
        <f t="shared" ref="D30:J30" si="18">SUMIFS($L$55:$L$5169,$F$55:$F$5169,$B$30,$N$55:$N$5169,D27&amp;"-02-2023",$O$55:$O$5169,"O")</f>
        <v>0</v>
      </c>
      <c r="E30" s="7">
        <f t="shared" si="18"/>
        <v>0</v>
      </c>
      <c r="F30" s="7">
        <f t="shared" si="18"/>
        <v>0</v>
      </c>
      <c r="G30" s="7">
        <f t="shared" si="18"/>
        <v>0</v>
      </c>
      <c r="H30" s="7">
        <f t="shared" si="18"/>
        <v>0</v>
      </c>
      <c r="I30" s="7">
        <f t="shared" si="18"/>
        <v>0</v>
      </c>
      <c r="J30" s="7">
        <f t="shared" si="18"/>
        <v>0</v>
      </c>
      <c r="K30" s="379"/>
      <c r="L30" s="8">
        <f>SUM(C30:J30)</f>
        <v>0</v>
      </c>
      <c r="M30" s="346"/>
      <c r="N30" s="350"/>
      <c r="O30" s="347"/>
    </row>
    <row r="31" spans="2:16" s="2" customFormat="1" x14ac:dyDescent="0.55000000000000004">
      <c r="B31" s="638" t="s">
        <v>165</v>
      </c>
      <c r="C31" s="633">
        <f>SUMIFS($L$55:$L$5169,$F$55:$F$5169,$B$31,$N$55:$N$5169,C27&amp;"-02-2023",$O$55:$O$5169,"O")</f>
        <v>0</v>
      </c>
      <c r="D31" s="633">
        <f t="shared" ref="D31:J31" si="19">SUMIFS($L$55:$L$5169,$F$55:$F$5169,$B$31,$N$55:$N$5169,D27&amp;"-02-2023",$O$55:$O$5169,"O")</f>
        <v>0</v>
      </c>
      <c r="E31" s="633">
        <f t="shared" si="19"/>
        <v>1.53</v>
      </c>
      <c r="F31" s="633">
        <f t="shared" si="19"/>
        <v>1.35</v>
      </c>
      <c r="G31" s="633">
        <f t="shared" si="19"/>
        <v>0</v>
      </c>
      <c r="H31" s="633">
        <f t="shared" si="19"/>
        <v>0</v>
      </c>
      <c r="I31" s="633">
        <f t="shared" si="19"/>
        <v>1.38</v>
      </c>
      <c r="J31" s="633">
        <f t="shared" si="19"/>
        <v>0</v>
      </c>
      <c r="K31" s="641"/>
      <c r="L31" s="634">
        <f>SUM(C31:J31)</f>
        <v>4.26</v>
      </c>
      <c r="M31" s="346"/>
      <c r="N31" s="350"/>
      <c r="O31" s="347"/>
    </row>
    <row r="32" spans="2:16" s="2" customFormat="1" ht="15.75" customHeight="1" x14ac:dyDescent="0.55000000000000004">
      <c r="B32" s="144" t="s">
        <v>9</v>
      </c>
      <c r="C32" s="145">
        <v>8</v>
      </c>
      <c r="D32" s="147">
        <v>9</v>
      </c>
      <c r="E32" s="145">
        <v>10</v>
      </c>
      <c r="F32" s="147">
        <v>11</v>
      </c>
      <c r="G32" s="145">
        <v>12</v>
      </c>
      <c r="H32" s="147">
        <v>13</v>
      </c>
      <c r="I32" s="145">
        <v>14</v>
      </c>
      <c r="J32" s="155">
        <v>15</v>
      </c>
      <c r="K32" s="151"/>
      <c r="L32" s="156" t="s">
        <v>5</v>
      </c>
      <c r="M32" s="713" t="s">
        <v>3</v>
      </c>
      <c r="N32" s="688">
        <f>SUM(L28+L33+L38+L43+P33)</f>
        <v>0</v>
      </c>
      <c r="O32" s="689"/>
    </row>
    <row r="33" spans="2:15" s="2" customFormat="1" ht="19.5" customHeight="1" x14ac:dyDescent="0.55000000000000004">
      <c r="B33" s="6" t="s">
        <v>3</v>
      </c>
      <c r="C33" s="7">
        <f t="shared" ref="C33:J33" si="20">SUMIFS($L$55:$L$5169,$F$55:$F$5169,$B$33,$N$55:$N$5169,C32&amp;"-01-2023",$O$55:$O$5169,"O")</f>
        <v>0</v>
      </c>
      <c r="D33" s="7">
        <f t="shared" si="20"/>
        <v>0</v>
      </c>
      <c r="E33" s="7">
        <f t="shared" si="20"/>
        <v>0</v>
      </c>
      <c r="F33" s="7">
        <f t="shared" si="20"/>
        <v>0</v>
      </c>
      <c r="G33" s="7">
        <f t="shared" si="20"/>
        <v>0</v>
      </c>
      <c r="H33" s="7">
        <f t="shared" si="20"/>
        <v>0</v>
      </c>
      <c r="I33" s="7">
        <f t="shared" si="20"/>
        <v>0</v>
      </c>
      <c r="J33" s="7">
        <f t="shared" si="20"/>
        <v>0</v>
      </c>
      <c r="K33" s="380"/>
      <c r="L33" s="260">
        <f>SUM(C33:J33)</f>
        <v>0</v>
      </c>
      <c r="M33" s="713"/>
      <c r="N33" s="694"/>
      <c r="O33" s="695"/>
    </row>
    <row r="34" spans="2:15" s="2" customFormat="1" ht="18.75" customHeight="1" x14ac:dyDescent="0.55000000000000004">
      <c r="B34" s="6" t="s">
        <v>4</v>
      </c>
      <c r="C34" s="7">
        <f t="shared" ref="C34:J34" si="21">SUMIFS($L$55:$L$5169,$F$55:$F$5169,$B$34,$N$55:$N$5169,C32&amp;"-01-2023",$O$55:$O$5169,"O")</f>
        <v>0</v>
      </c>
      <c r="D34" s="7">
        <f t="shared" si="21"/>
        <v>0</v>
      </c>
      <c r="E34" s="7">
        <f t="shared" si="21"/>
        <v>0</v>
      </c>
      <c r="F34" s="7">
        <f t="shared" si="21"/>
        <v>0</v>
      </c>
      <c r="G34" s="7">
        <f t="shared" si="21"/>
        <v>0</v>
      </c>
      <c r="H34" s="7">
        <f t="shared" si="21"/>
        <v>0</v>
      </c>
      <c r="I34" s="7">
        <f t="shared" si="21"/>
        <v>0</v>
      </c>
      <c r="J34" s="7">
        <f t="shared" si="21"/>
        <v>0</v>
      </c>
      <c r="K34" s="380"/>
      <c r="L34" s="260">
        <f>SUM(C34:J34)</f>
        <v>0</v>
      </c>
      <c r="M34" s="713" t="s">
        <v>4</v>
      </c>
      <c r="N34" s="688">
        <f>SUM(L29+L34+L39+L44)</f>
        <v>0</v>
      </c>
      <c r="O34" s="689"/>
    </row>
    <row r="35" spans="2:15" s="2" customFormat="1" ht="18.75" customHeight="1" x14ac:dyDescent="0.55000000000000004">
      <c r="B35" s="6" t="s">
        <v>15</v>
      </c>
      <c r="C35" s="7">
        <f t="shared" ref="C35:J35" si="22">SUMIFS($L$55:$L$5169,$F$55:$F$5169,$B$35,$N$55:$N$5169,C32&amp;"-01-2023",$O$55:$O$5169,"O")</f>
        <v>0</v>
      </c>
      <c r="D35" s="7">
        <f t="shared" si="22"/>
        <v>0</v>
      </c>
      <c r="E35" s="7">
        <f t="shared" si="22"/>
        <v>0</v>
      </c>
      <c r="F35" s="7">
        <f t="shared" si="22"/>
        <v>0</v>
      </c>
      <c r="G35" s="7">
        <f t="shared" si="22"/>
        <v>0</v>
      </c>
      <c r="H35" s="7">
        <f t="shared" si="22"/>
        <v>0</v>
      </c>
      <c r="I35" s="7">
        <f t="shared" si="22"/>
        <v>0</v>
      </c>
      <c r="J35" s="7">
        <f t="shared" si="22"/>
        <v>0</v>
      </c>
      <c r="K35" s="380"/>
      <c r="L35" s="260">
        <f>SUM(C35:J35)</f>
        <v>0</v>
      </c>
      <c r="M35" s="713"/>
      <c r="N35" s="694"/>
      <c r="O35" s="695"/>
    </row>
    <row r="36" spans="2:15" s="2" customFormat="1" ht="18.75" customHeight="1" x14ac:dyDescent="0.55000000000000004">
      <c r="B36" s="638" t="s">
        <v>165</v>
      </c>
      <c r="C36" s="633">
        <f t="shared" ref="C36:J36" si="23">SUMIFS($L$55:$L$5169,$F$55:$F$5169,$B$36,$N$55:$N$5169,C32&amp;"-01-2023",$O$55:$O$5169,"O")</f>
        <v>0</v>
      </c>
      <c r="D36" s="633">
        <f t="shared" si="23"/>
        <v>0</v>
      </c>
      <c r="E36" s="633">
        <f t="shared" si="23"/>
        <v>0</v>
      </c>
      <c r="F36" s="633">
        <f t="shared" si="23"/>
        <v>0</v>
      </c>
      <c r="G36" s="633">
        <f t="shared" si="23"/>
        <v>0</v>
      </c>
      <c r="H36" s="633">
        <f t="shared" si="23"/>
        <v>0</v>
      </c>
      <c r="I36" s="633">
        <f t="shared" si="23"/>
        <v>0</v>
      </c>
      <c r="J36" s="633">
        <f t="shared" si="23"/>
        <v>0</v>
      </c>
      <c r="K36" s="644"/>
      <c r="L36" s="645">
        <f>SUM(C36:J36)</f>
        <v>0</v>
      </c>
      <c r="M36" s="713" t="s">
        <v>15</v>
      </c>
      <c r="N36" s="688">
        <f>SUM(L30+L35+L40+L45)</f>
        <v>0</v>
      </c>
      <c r="O36" s="689"/>
    </row>
    <row r="37" spans="2:15" s="2" customFormat="1" ht="15.75" customHeight="1" x14ac:dyDescent="0.55000000000000004">
      <c r="B37" s="144" t="s">
        <v>9</v>
      </c>
      <c r="C37" s="145">
        <v>16</v>
      </c>
      <c r="D37" s="145">
        <v>17</v>
      </c>
      <c r="E37" s="145">
        <v>18</v>
      </c>
      <c r="F37" s="145">
        <v>19</v>
      </c>
      <c r="G37" s="145">
        <v>20</v>
      </c>
      <c r="H37" s="145">
        <v>21</v>
      </c>
      <c r="I37" s="145">
        <v>22</v>
      </c>
      <c r="J37" s="145">
        <v>23</v>
      </c>
      <c r="K37" s="153"/>
      <c r="L37" s="157" t="s">
        <v>6</v>
      </c>
      <c r="M37" s="713"/>
      <c r="N37" s="694"/>
      <c r="O37" s="695"/>
    </row>
    <row r="38" spans="2:15" s="2" customFormat="1" ht="18.75" customHeight="1" x14ac:dyDescent="0.55000000000000004">
      <c r="B38" s="6" t="s">
        <v>3</v>
      </c>
      <c r="C38" s="7">
        <f>SUMIFS($L$55:$L$5169,$F$55:$F$5169,$B$38,$N55:$N$5169,C37&amp;"-01-2023",$O$55:$O$5169,"O")</f>
        <v>0</v>
      </c>
      <c r="D38" s="7">
        <f>SUMIFS($L$55:$L$5169,$F$55:$F$5169,$B$38,$N55:$N$5169,D37&amp;"-01-2023",$O$55:$O$5169,"O")</f>
        <v>0</v>
      </c>
      <c r="E38" s="7">
        <f>SUMIFS($L$55:$L$5169,$F$55:$F$5169,$B$38,$N55:$N$5169,E37&amp;"-01-2023",$O$55:$O$5169,"O")</f>
        <v>0</v>
      </c>
      <c r="F38" s="7">
        <f>SUMIFS($L$55:$L$5169,$F$55:$F$5169,$B$38,$N55:$N$5169,F37&amp;"-01-2023",$O$55:$O$5169,"O")</f>
        <v>0</v>
      </c>
      <c r="G38" s="7">
        <f>SUMIFS($L$55:$L$5169,$F$55:$F$5169,$B$38,$N55:$N$5169,G37&amp;"-01-2023",$O$55:$O$5169,"O")</f>
        <v>0</v>
      </c>
      <c r="H38" s="7">
        <f>SUMIFS($L$55:$L$5169,$F$55:$F$5169,$B$38,$N55:$N$5169,H37&amp;"-01-2023",$O$55:$O$5169,"O")</f>
        <v>0</v>
      </c>
      <c r="I38" s="7">
        <f>SUMIFS($L$55:$L$5169,$F$55:$F$5169,$B$38,$N55:$N$5169,I37&amp;"-01-2023",$O$55:$O$5169,"O")</f>
        <v>0</v>
      </c>
      <c r="J38" s="7">
        <f>SUMIFS($L$55:$L$5169,$F$55:$F$5169,$B$38,$N55:$N$5169,J37&amp;"-01-2023",$O$55:$O$5169,"O")</f>
        <v>0</v>
      </c>
      <c r="K38" s="12"/>
      <c r="L38" s="142">
        <f>SUM(C38:K38)</f>
        <v>0</v>
      </c>
      <c r="M38" s="686" t="s">
        <v>165</v>
      </c>
      <c r="N38" s="682">
        <f>SUM(L31+L36+L41+L46)</f>
        <v>4.26</v>
      </c>
      <c r="O38" s="683"/>
    </row>
    <row r="39" spans="2:15" s="2" customFormat="1" ht="18.75" customHeight="1" x14ac:dyDescent="0.55000000000000004">
      <c r="B39" s="6" t="s">
        <v>4</v>
      </c>
      <c r="C39" s="7">
        <f t="shared" ref="C39:J39" si="24">SUMIFS($L$55:$L$5169,$F$55:$F$5169,$B$39,$N$55:$N$5169,C37&amp;"-01-2023",$O$55:$O$5169,"O")</f>
        <v>0</v>
      </c>
      <c r="D39" s="7">
        <f t="shared" si="24"/>
        <v>0</v>
      </c>
      <c r="E39" s="7">
        <f t="shared" si="24"/>
        <v>0</v>
      </c>
      <c r="F39" s="7">
        <f t="shared" si="24"/>
        <v>0</v>
      </c>
      <c r="G39" s="7">
        <f t="shared" si="24"/>
        <v>0</v>
      </c>
      <c r="H39" s="7">
        <f t="shared" si="24"/>
        <v>0</v>
      </c>
      <c r="I39" s="7">
        <f t="shared" si="24"/>
        <v>0</v>
      </c>
      <c r="J39" s="7">
        <f t="shared" si="24"/>
        <v>0</v>
      </c>
      <c r="K39" s="12"/>
      <c r="L39" s="142">
        <f>SUM(C39:K39)</f>
        <v>0</v>
      </c>
      <c r="M39" s="686"/>
      <c r="N39" s="684"/>
      <c r="O39" s="685"/>
    </row>
    <row r="40" spans="2:15" s="2" customFormat="1" ht="18.75" customHeight="1" x14ac:dyDescent="0.55000000000000004">
      <c r="B40" s="6" t="s">
        <v>15</v>
      </c>
      <c r="C40" s="7">
        <f t="shared" ref="C40:J40" si="25">SUMIFS($L$55:$L$5169,$F$55:$F$5169,$B$40,$N$55:$N$5169,C37&amp;"-01-2023",$O$55:$O$5169,"O")</f>
        <v>0</v>
      </c>
      <c r="D40" s="7">
        <f t="shared" si="25"/>
        <v>0</v>
      </c>
      <c r="E40" s="7">
        <f t="shared" si="25"/>
        <v>0</v>
      </c>
      <c r="F40" s="7">
        <f t="shared" si="25"/>
        <v>0</v>
      </c>
      <c r="G40" s="7">
        <f t="shared" si="25"/>
        <v>0</v>
      </c>
      <c r="H40" s="7">
        <f t="shared" si="25"/>
        <v>0</v>
      </c>
      <c r="I40" s="7">
        <f t="shared" si="25"/>
        <v>0</v>
      </c>
      <c r="J40" s="7">
        <f t="shared" si="25"/>
        <v>0</v>
      </c>
      <c r="K40" s="12"/>
      <c r="L40" s="142">
        <f>SUM(C40:K40)</f>
        <v>0</v>
      </c>
      <c r="M40" s="687">
        <f>SUM(N32+N34+N36+N38)</f>
        <v>4.26</v>
      </c>
      <c r="N40" s="688"/>
      <c r="O40" s="689"/>
    </row>
    <row r="41" spans="2:15" s="2" customFormat="1" ht="18.75" customHeight="1" x14ac:dyDescent="0.55000000000000004">
      <c r="B41" s="638" t="s">
        <v>165</v>
      </c>
      <c r="C41" s="633">
        <f t="shared" ref="C41:J41" si="26">SUMIFS($L$55:$L$5169,$F$55:$F$5169,$B$41,$N$55:$N$5169,C37&amp;"-01-2023",$O$55:$O$5169,"O")</f>
        <v>0</v>
      </c>
      <c r="D41" s="633">
        <f t="shared" si="26"/>
        <v>0</v>
      </c>
      <c r="E41" s="633">
        <f t="shared" si="26"/>
        <v>0</v>
      </c>
      <c r="F41" s="633">
        <f t="shared" si="26"/>
        <v>0</v>
      </c>
      <c r="G41" s="633">
        <f t="shared" si="26"/>
        <v>0</v>
      </c>
      <c r="H41" s="633">
        <f t="shared" si="26"/>
        <v>0</v>
      </c>
      <c r="I41" s="633">
        <f t="shared" si="26"/>
        <v>0</v>
      </c>
      <c r="J41" s="633">
        <f t="shared" si="26"/>
        <v>0</v>
      </c>
      <c r="K41" s="639"/>
      <c r="L41" s="646">
        <f>SUM(C41:K41)</f>
        <v>0</v>
      </c>
      <c r="M41" s="690"/>
      <c r="N41" s="691"/>
      <c r="O41" s="692"/>
    </row>
    <row r="42" spans="2:15" s="2" customFormat="1" ht="15.75" customHeight="1" x14ac:dyDescent="0.55000000000000004">
      <c r="B42" s="144" t="s">
        <v>9</v>
      </c>
      <c r="C42" s="145">
        <v>24</v>
      </c>
      <c r="D42" s="145">
        <v>25</v>
      </c>
      <c r="E42" s="145">
        <v>26</v>
      </c>
      <c r="F42" s="145">
        <v>27</v>
      </c>
      <c r="G42" s="145">
        <v>28</v>
      </c>
      <c r="H42" s="145">
        <v>29</v>
      </c>
      <c r="I42" s="145">
        <v>30</v>
      </c>
      <c r="J42" s="145">
        <v>31</v>
      </c>
      <c r="K42" s="153"/>
      <c r="L42" s="158" t="s">
        <v>7</v>
      </c>
      <c r="M42" s="690"/>
      <c r="N42" s="691"/>
      <c r="O42" s="692"/>
    </row>
    <row r="43" spans="2:15" s="2" customFormat="1" ht="18.75" customHeight="1" x14ac:dyDescent="0.55000000000000004">
      <c r="B43" s="6" t="s">
        <v>3</v>
      </c>
      <c r="C43" s="7">
        <f t="shared" ref="C43:J43" si="27">SUMIFS($L$55:$L$5169,$F$55:$F$5169,$B$43,$N$55:$N$5169,C42&amp;"-01-2023",$O$55:$O$5169,"O")</f>
        <v>0</v>
      </c>
      <c r="D43" s="7">
        <f t="shared" si="27"/>
        <v>0</v>
      </c>
      <c r="E43" s="7">
        <f t="shared" si="27"/>
        <v>0</v>
      </c>
      <c r="F43" s="7">
        <f t="shared" si="27"/>
        <v>0</v>
      </c>
      <c r="G43" s="7">
        <f t="shared" si="27"/>
        <v>0</v>
      </c>
      <c r="H43" s="7">
        <f t="shared" si="27"/>
        <v>0</v>
      </c>
      <c r="I43" s="7">
        <f t="shared" si="27"/>
        <v>0</v>
      </c>
      <c r="J43" s="7">
        <f t="shared" si="27"/>
        <v>0</v>
      </c>
      <c r="K43" s="12"/>
      <c r="L43" s="142">
        <f>SUM(C43:K43)</f>
        <v>0</v>
      </c>
      <c r="M43" s="690"/>
      <c r="N43" s="691"/>
      <c r="O43" s="692"/>
    </row>
    <row r="44" spans="2:15" s="2" customFormat="1" ht="18.75" customHeight="1" x14ac:dyDescent="0.55000000000000004">
      <c r="B44" s="6" t="s">
        <v>4</v>
      </c>
      <c r="C44" s="7">
        <f t="shared" ref="C44:J44" si="28">SUMIFS($L$55:$L$5169,$F$55:$F$5169,$B$44,$N$55:$N$5169,C42&amp;"-01-2023",$O$55:$O$5169,"O")</f>
        <v>0</v>
      </c>
      <c r="D44" s="7">
        <f t="shared" si="28"/>
        <v>0</v>
      </c>
      <c r="E44" s="7">
        <f t="shared" si="28"/>
        <v>0</v>
      </c>
      <c r="F44" s="7">
        <f t="shared" si="28"/>
        <v>0</v>
      </c>
      <c r="G44" s="7">
        <f t="shared" si="28"/>
        <v>0</v>
      </c>
      <c r="H44" s="7">
        <f t="shared" si="28"/>
        <v>0</v>
      </c>
      <c r="I44" s="7">
        <f t="shared" si="28"/>
        <v>0</v>
      </c>
      <c r="J44" s="7">
        <f t="shared" si="28"/>
        <v>0</v>
      </c>
      <c r="K44" s="14"/>
      <c r="L44" s="142">
        <f>SUM(C44:K44)</f>
        <v>0</v>
      </c>
      <c r="M44" s="690"/>
      <c r="N44" s="691"/>
      <c r="O44" s="692"/>
    </row>
    <row r="45" spans="2:15" s="2" customFormat="1" ht="18.75" customHeight="1" x14ac:dyDescent="0.55000000000000004">
      <c r="B45" s="6" t="s">
        <v>15</v>
      </c>
      <c r="C45" s="7">
        <f t="shared" ref="C45:J45" si="29">SUMIFS($L$55:$L$5169,$F$55:$F$5169,$B$45,$N$55:$N$5169,C42&amp;"-01-2023",$O$55:$O$5169,"O")</f>
        <v>0</v>
      </c>
      <c r="D45" s="7">
        <f t="shared" si="29"/>
        <v>0</v>
      </c>
      <c r="E45" s="7">
        <f t="shared" si="29"/>
        <v>0</v>
      </c>
      <c r="F45" s="7">
        <f t="shared" si="29"/>
        <v>0</v>
      </c>
      <c r="G45" s="7">
        <f t="shared" si="29"/>
        <v>0</v>
      </c>
      <c r="H45" s="7">
        <f t="shared" si="29"/>
        <v>0</v>
      </c>
      <c r="I45" s="7">
        <f t="shared" si="29"/>
        <v>0</v>
      </c>
      <c r="J45" s="7">
        <f t="shared" si="29"/>
        <v>0</v>
      </c>
      <c r="K45" s="14"/>
      <c r="L45" s="142">
        <f>SUM(C45:K45)</f>
        <v>0</v>
      </c>
      <c r="M45" s="690"/>
      <c r="N45" s="691"/>
      <c r="O45" s="692"/>
    </row>
    <row r="46" spans="2:15" s="2" customFormat="1" ht="18.75" customHeight="1" x14ac:dyDescent="0.55000000000000004">
      <c r="B46" s="638" t="s">
        <v>165</v>
      </c>
      <c r="C46" s="633">
        <f t="shared" ref="C46:J46" si="30">SUMIFS($L$55:$L$5169,$F$55:$F$5169,$B$46,$N$55:$N$5169,C42&amp;"-01-2023",$O$55:$O$5169,"O")</f>
        <v>0</v>
      </c>
      <c r="D46" s="633">
        <f t="shared" si="30"/>
        <v>0</v>
      </c>
      <c r="E46" s="633">
        <f t="shared" si="30"/>
        <v>0</v>
      </c>
      <c r="F46" s="633">
        <f t="shared" si="30"/>
        <v>0</v>
      </c>
      <c r="G46" s="633">
        <f t="shared" si="30"/>
        <v>0</v>
      </c>
      <c r="H46" s="633">
        <f t="shared" si="30"/>
        <v>0</v>
      </c>
      <c r="I46" s="633">
        <f t="shared" si="30"/>
        <v>0</v>
      </c>
      <c r="J46" s="633">
        <f t="shared" si="30"/>
        <v>0</v>
      </c>
      <c r="K46" s="647"/>
      <c r="L46" s="646">
        <f>SUM(C46:K46)</f>
        <v>0</v>
      </c>
      <c r="M46" s="693"/>
      <c r="N46" s="694"/>
      <c r="O46" s="695"/>
    </row>
    <row r="47" spans="2:15" s="2" customFormat="1" ht="20.25" customHeight="1" x14ac:dyDescent="0.55000000000000004">
      <c r="B47" s="18"/>
      <c r="C47" s="16"/>
      <c r="D47" s="28"/>
      <c r="E47" s="28"/>
      <c r="F47" s="28" t="s">
        <v>3</v>
      </c>
      <c r="G47" s="29">
        <f>SUMIF(D55:D1047,"A",K55:K1047)</f>
        <v>0</v>
      </c>
      <c r="H47" s="30">
        <f>SUMIF($D$55:$D$1047,"A",$L$55:$L$1047)</f>
        <v>0</v>
      </c>
      <c r="I47" s="28"/>
      <c r="J47" s="16"/>
      <c r="K47" s="17"/>
      <c r="L47" s="192"/>
      <c r="M47" s="21"/>
      <c r="N47" s="21"/>
      <c r="O47" s="21"/>
    </row>
    <row r="48" spans="2:15" ht="20.25" customHeight="1" x14ac:dyDescent="0.55000000000000004">
      <c r="B48" s="1"/>
      <c r="C48" s="1"/>
      <c r="D48" s="31"/>
      <c r="E48" s="31"/>
      <c r="F48" s="29" t="s">
        <v>4</v>
      </c>
      <c r="G48" s="29">
        <f>SUMIF(D55:D1047,"B",K55:K1047)</f>
        <v>0</v>
      </c>
      <c r="H48" s="30">
        <f>SUMIF($D$55:$D$1047,"B",$L$55:$L$1047)</f>
        <v>0</v>
      </c>
      <c r="I48" s="29"/>
      <c r="L48" s="86"/>
    </row>
    <row r="49" spans="1:17" s="2" customFormat="1" ht="20.25" customHeight="1" x14ac:dyDescent="0.55000000000000004">
      <c r="B49" s="18"/>
      <c r="C49" s="16"/>
      <c r="D49" s="28" t="s">
        <v>11</v>
      </c>
      <c r="E49" s="28"/>
      <c r="F49" s="28" t="s">
        <v>12</v>
      </c>
      <c r="G49" s="29">
        <f ca="1">SUMIF($D$55:$D$1048,"G1",$K$55:$K$1047)</f>
        <v>0</v>
      </c>
      <c r="H49" s="30">
        <f>SUMIF($D$55:$D$1047,"G1",$L$55:$L$1047)</f>
        <v>0</v>
      </c>
      <c r="I49" s="28"/>
      <c r="J49" s="16"/>
      <c r="K49" s="17"/>
      <c r="L49" s="192"/>
      <c r="M49" s="21"/>
      <c r="N49" s="21"/>
      <c r="O49" s="21"/>
    </row>
    <row r="50" spans="1:17" ht="20.25" customHeight="1" x14ac:dyDescent="0.55000000000000004">
      <c r="B50" s="1"/>
      <c r="C50" s="1"/>
      <c r="D50" s="31"/>
      <c r="E50" s="31"/>
      <c r="F50" s="29" t="s">
        <v>13</v>
      </c>
      <c r="G50" s="29">
        <f>SUMIF($D$55:$D$1047,"G2",$K$55:$K$1047)</f>
        <v>372</v>
      </c>
      <c r="H50" s="30">
        <f>SUMIF($D$55:$D$1047,"G2",$L$55:$L$1047)</f>
        <v>229.39185000000006</v>
      </c>
      <c r="I50" s="29"/>
      <c r="L50" s="86"/>
    </row>
    <row r="51" spans="1:17" ht="20.25" customHeight="1" x14ac:dyDescent="0.55000000000000004">
      <c r="B51" s="1"/>
      <c r="C51" s="1"/>
      <c r="D51" s="31"/>
      <c r="E51" s="31"/>
      <c r="F51" s="29" t="s">
        <v>14</v>
      </c>
      <c r="G51" s="29">
        <f>SUMIF($D$55:$D$1047,"G3",$K$55:$K$1047)</f>
        <v>0</v>
      </c>
      <c r="H51" s="30">
        <f>SUMIF($D$55:$D$1047,"G3",$L$55:$L$1047)</f>
        <v>0</v>
      </c>
      <c r="I51" s="190"/>
      <c r="L51" s="86"/>
    </row>
    <row r="52" spans="1:17" ht="20.25" customHeight="1" x14ac:dyDescent="0.55000000000000004">
      <c r="B52" s="1"/>
      <c r="C52" s="1"/>
      <c r="D52" s="31"/>
      <c r="E52" s="31"/>
      <c r="F52" s="29" t="s">
        <v>15</v>
      </c>
      <c r="G52" s="29">
        <f>SUMIF($D$55:$D$1046,"C",$K$55:$K$1046)</f>
        <v>0</v>
      </c>
      <c r="H52" s="30">
        <f>SUMIF($D$55:$D$1046,"C",$L$55:$L$1046)</f>
        <v>0</v>
      </c>
      <c r="I52" s="190"/>
      <c r="L52" s="86"/>
    </row>
    <row r="53" spans="1:17" ht="20.25" customHeight="1" x14ac:dyDescent="0.55000000000000004">
      <c r="B53" s="1"/>
      <c r="C53" s="1"/>
      <c r="D53" s="31"/>
      <c r="E53" s="31"/>
      <c r="F53" s="29" t="s">
        <v>122</v>
      </c>
      <c r="G53" s="29">
        <f>SUMIF($D$55:$D$1046,"G4",$K$55:$K$1046)</f>
        <v>0</v>
      </c>
      <c r="H53" s="30">
        <f>SUMIF($D$461:$D$1046,"G4",$L$461:$L$1046)</f>
        <v>0</v>
      </c>
      <c r="I53" s="190"/>
      <c r="L53" s="86"/>
    </row>
    <row r="54" spans="1:17" ht="45.95" customHeight="1" x14ac:dyDescent="0.55000000000000004">
      <c r="A54" s="465" t="s">
        <v>16</v>
      </c>
      <c r="B54" s="466" t="s">
        <v>17</v>
      </c>
      <c r="C54" s="467" t="s">
        <v>18</v>
      </c>
      <c r="D54" s="468" t="s">
        <v>19</v>
      </c>
      <c r="E54" s="467" t="s">
        <v>20</v>
      </c>
      <c r="F54" s="467" t="s">
        <v>21</v>
      </c>
      <c r="G54" s="465" t="s">
        <v>22</v>
      </c>
      <c r="H54" s="465" t="s">
        <v>23</v>
      </c>
      <c r="I54" s="465" t="s">
        <v>24</v>
      </c>
      <c r="J54" s="465" t="s">
        <v>25</v>
      </c>
      <c r="K54" s="465" t="s">
        <v>26</v>
      </c>
      <c r="L54" s="594" t="s">
        <v>490</v>
      </c>
      <c r="M54" s="592" t="s">
        <v>27</v>
      </c>
      <c r="N54" s="33" t="s">
        <v>28</v>
      </c>
      <c r="O54" s="593" t="s">
        <v>29</v>
      </c>
    </row>
    <row r="55" spans="1:17" ht="15.75" customHeight="1" x14ac:dyDescent="0.55000000000000004">
      <c r="A55" s="447"/>
      <c r="B55" s="194"/>
      <c r="C55" s="582" t="s">
        <v>30</v>
      </c>
      <c r="D55" s="67" t="s">
        <v>13</v>
      </c>
      <c r="E55" s="583">
        <v>12</v>
      </c>
      <c r="F55" s="67" t="s">
        <v>15</v>
      </c>
      <c r="G55" s="298" t="s">
        <v>209</v>
      </c>
      <c r="H55" s="66">
        <v>1</v>
      </c>
      <c r="I55" s="66">
        <v>0.85</v>
      </c>
      <c r="J55" s="66">
        <v>0.85</v>
      </c>
      <c r="K55" s="276">
        <v>1</v>
      </c>
      <c r="L55" s="277">
        <v>0.72249999999999992</v>
      </c>
      <c r="M55" s="280" t="s">
        <v>164</v>
      </c>
      <c r="N55" s="195"/>
      <c r="O55" s="196"/>
      <c r="P55" s="601">
        <v>2</v>
      </c>
      <c r="Q55" s="463"/>
    </row>
    <row r="56" spans="1:17" ht="15.75" customHeight="1" x14ac:dyDescent="0.2">
      <c r="A56" s="447"/>
      <c r="B56" s="194"/>
      <c r="C56" s="582" t="s">
        <v>30</v>
      </c>
      <c r="D56" s="67" t="s">
        <v>13</v>
      </c>
      <c r="E56" s="583">
        <v>12</v>
      </c>
      <c r="F56" s="67" t="s">
        <v>15</v>
      </c>
      <c r="G56" s="298" t="s">
        <v>197</v>
      </c>
      <c r="H56" s="66">
        <v>1.1000000000000001</v>
      </c>
      <c r="I56" s="66">
        <v>0.65</v>
      </c>
      <c r="J56" s="66">
        <v>0.6</v>
      </c>
      <c r="K56" s="276">
        <v>1</v>
      </c>
      <c r="L56" s="277">
        <v>0.42900000000000005</v>
      </c>
      <c r="M56" s="280" t="s">
        <v>164</v>
      </c>
      <c r="N56" s="195"/>
      <c r="O56" s="196"/>
      <c r="P56" s="602"/>
      <c r="Q56" s="463"/>
    </row>
    <row r="57" spans="1:17" ht="15.75" customHeight="1" x14ac:dyDescent="0.2">
      <c r="A57" s="447"/>
      <c r="B57" s="194"/>
      <c r="C57" s="582" t="s">
        <v>30</v>
      </c>
      <c r="D57" s="67" t="s">
        <v>13</v>
      </c>
      <c r="E57" s="583">
        <v>12</v>
      </c>
      <c r="F57" s="67" t="s">
        <v>4</v>
      </c>
      <c r="G57" s="298" t="s">
        <v>185</v>
      </c>
      <c r="H57" s="66">
        <v>0.9</v>
      </c>
      <c r="I57" s="66">
        <v>0.85</v>
      </c>
      <c r="J57" s="66">
        <v>0.6</v>
      </c>
      <c r="K57" s="276">
        <v>1</v>
      </c>
      <c r="L57" s="277">
        <v>0.45899999999999996</v>
      </c>
      <c r="M57" s="280" t="s">
        <v>164</v>
      </c>
      <c r="N57" s="195"/>
      <c r="O57" s="196"/>
      <c r="P57" s="602"/>
      <c r="Q57" s="463"/>
    </row>
    <row r="58" spans="1:17" ht="15.75" customHeight="1" x14ac:dyDescent="0.55000000000000004">
      <c r="A58" s="447"/>
      <c r="B58" s="194"/>
      <c r="C58" s="582" t="s">
        <v>30</v>
      </c>
      <c r="D58" s="67" t="s">
        <v>13</v>
      </c>
      <c r="E58" s="583">
        <v>12</v>
      </c>
      <c r="F58" s="67" t="s">
        <v>4</v>
      </c>
      <c r="G58" s="298" t="s">
        <v>210</v>
      </c>
      <c r="H58" s="66">
        <v>1.3</v>
      </c>
      <c r="I58" s="66">
        <v>0.55000000000000004</v>
      </c>
      <c r="J58" s="66">
        <v>0.6</v>
      </c>
      <c r="K58" s="276">
        <v>1</v>
      </c>
      <c r="L58" s="277">
        <v>0.42900000000000005</v>
      </c>
      <c r="M58" s="280" t="s">
        <v>164</v>
      </c>
      <c r="N58" s="195"/>
      <c r="O58" s="196"/>
      <c r="P58" s="601"/>
      <c r="Q58" s="463"/>
    </row>
    <row r="59" spans="1:17" ht="15.75" customHeight="1" x14ac:dyDescent="0.2">
      <c r="A59" s="447"/>
      <c r="B59" s="194"/>
      <c r="C59" s="582" t="s">
        <v>30</v>
      </c>
      <c r="D59" s="67" t="s">
        <v>13</v>
      </c>
      <c r="E59" s="583">
        <v>11</v>
      </c>
      <c r="F59" s="67" t="s">
        <v>15</v>
      </c>
      <c r="G59" s="298" t="s">
        <v>213</v>
      </c>
      <c r="H59" s="66">
        <v>1.2</v>
      </c>
      <c r="I59" s="66">
        <v>0.9</v>
      </c>
      <c r="J59" s="66">
        <v>0.75</v>
      </c>
      <c r="K59" s="276">
        <v>1</v>
      </c>
      <c r="L59" s="277">
        <v>0.81</v>
      </c>
      <c r="M59" s="280" t="s">
        <v>164</v>
      </c>
      <c r="N59" s="195"/>
      <c r="O59" s="196"/>
      <c r="P59" s="602">
        <v>2</v>
      </c>
      <c r="Q59" s="463"/>
    </row>
    <row r="60" spans="1:17" ht="15.75" customHeight="1" x14ac:dyDescent="0.55000000000000004">
      <c r="A60" s="447"/>
      <c r="B60" s="194"/>
      <c r="C60" s="582" t="s">
        <v>30</v>
      </c>
      <c r="D60" s="67" t="s">
        <v>13</v>
      </c>
      <c r="E60" s="583">
        <v>12</v>
      </c>
      <c r="F60" s="67" t="s">
        <v>15</v>
      </c>
      <c r="G60" s="298" t="s">
        <v>203</v>
      </c>
      <c r="H60" s="66">
        <v>1</v>
      </c>
      <c r="I60" s="66">
        <v>0.95</v>
      </c>
      <c r="J60" s="66">
        <v>0.8</v>
      </c>
      <c r="K60" s="276">
        <v>1</v>
      </c>
      <c r="L60" s="277">
        <v>0.76</v>
      </c>
      <c r="M60" s="280" t="s">
        <v>164</v>
      </c>
      <c r="N60" s="195"/>
      <c r="O60" s="196"/>
      <c r="P60" s="601">
        <v>4</v>
      </c>
      <c r="Q60" s="463"/>
    </row>
    <row r="61" spans="1:17" ht="15.75" customHeight="1" x14ac:dyDescent="0.55000000000000004">
      <c r="A61" s="447"/>
      <c r="B61" s="194"/>
      <c r="C61" s="582" t="s">
        <v>30</v>
      </c>
      <c r="D61" s="67" t="s">
        <v>13</v>
      </c>
      <c r="E61" s="583">
        <v>12</v>
      </c>
      <c r="F61" s="67" t="s">
        <v>15</v>
      </c>
      <c r="G61" s="298" t="s">
        <v>216</v>
      </c>
      <c r="H61" s="66">
        <v>1.2</v>
      </c>
      <c r="I61" s="66">
        <v>0.8</v>
      </c>
      <c r="J61" s="66">
        <v>0.75</v>
      </c>
      <c r="K61" s="276">
        <v>1</v>
      </c>
      <c r="L61" s="277">
        <v>0.72</v>
      </c>
      <c r="M61" s="280" t="s">
        <v>164</v>
      </c>
      <c r="N61" s="195"/>
      <c r="O61" s="196"/>
      <c r="P61" s="601">
        <v>1</v>
      </c>
      <c r="Q61" s="463"/>
    </row>
    <row r="62" spans="1:17" ht="15.75" customHeight="1" x14ac:dyDescent="0.2">
      <c r="A62" s="447"/>
      <c r="B62" s="194"/>
      <c r="C62" s="582" t="s">
        <v>30</v>
      </c>
      <c r="D62" s="67" t="s">
        <v>13</v>
      </c>
      <c r="E62" s="583">
        <v>11</v>
      </c>
      <c r="F62" s="67" t="s">
        <v>3</v>
      </c>
      <c r="G62" s="298" t="s">
        <v>228</v>
      </c>
      <c r="H62" s="66">
        <v>1.1000000000000001</v>
      </c>
      <c r="I62" s="66">
        <v>0.65</v>
      </c>
      <c r="J62" s="66">
        <v>0.6</v>
      </c>
      <c r="K62" s="276">
        <v>1</v>
      </c>
      <c r="L62" s="277">
        <v>0.42900000000000005</v>
      </c>
      <c r="M62" s="280" t="s">
        <v>164</v>
      </c>
      <c r="N62" s="195"/>
      <c r="O62" s="196"/>
      <c r="P62" s="602"/>
      <c r="Q62" s="463"/>
    </row>
    <row r="63" spans="1:17" ht="15.75" customHeight="1" x14ac:dyDescent="0.55000000000000004">
      <c r="A63" s="447"/>
      <c r="B63" s="194"/>
      <c r="C63" s="582" t="s">
        <v>30</v>
      </c>
      <c r="D63" s="67" t="s">
        <v>13</v>
      </c>
      <c r="E63" s="583">
        <v>12</v>
      </c>
      <c r="F63" s="67" t="s">
        <v>15</v>
      </c>
      <c r="G63" s="298" t="s">
        <v>232</v>
      </c>
      <c r="H63" s="66">
        <v>0.9</v>
      </c>
      <c r="I63" s="66">
        <v>0.75</v>
      </c>
      <c r="J63" s="66">
        <v>0.6</v>
      </c>
      <c r="K63" s="276">
        <v>1</v>
      </c>
      <c r="L63" s="277">
        <v>0.40500000000000003</v>
      </c>
      <c r="M63" s="280" t="s">
        <v>164</v>
      </c>
      <c r="N63" s="195"/>
      <c r="O63" s="196"/>
      <c r="P63" s="601"/>
      <c r="Q63" s="463"/>
    </row>
    <row r="64" spans="1:17" ht="15.75" customHeight="1" x14ac:dyDescent="0.55000000000000004">
      <c r="A64" s="447"/>
      <c r="B64" s="194"/>
      <c r="C64" s="582" t="s">
        <v>30</v>
      </c>
      <c r="D64" s="67" t="s">
        <v>13</v>
      </c>
      <c r="E64" s="583">
        <v>12</v>
      </c>
      <c r="F64" s="67" t="s">
        <v>15</v>
      </c>
      <c r="G64" s="298" t="s">
        <v>235</v>
      </c>
      <c r="H64" s="66">
        <v>1.2</v>
      </c>
      <c r="I64" s="66">
        <v>0.85</v>
      </c>
      <c r="J64" s="66">
        <v>0.6</v>
      </c>
      <c r="K64" s="276">
        <v>1</v>
      </c>
      <c r="L64" s="277">
        <v>0.61199999999999999</v>
      </c>
      <c r="M64" s="280" t="s">
        <v>164</v>
      </c>
      <c r="N64" s="195"/>
      <c r="O64" s="196"/>
      <c r="P64" s="601"/>
      <c r="Q64" s="463"/>
    </row>
    <row r="65" spans="1:17" ht="15.75" customHeight="1" x14ac:dyDescent="0.2">
      <c r="A65" s="447"/>
      <c r="B65" s="194"/>
      <c r="C65" s="582" t="s">
        <v>30</v>
      </c>
      <c r="D65" s="67" t="s">
        <v>13</v>
      </c>
      <c r="E65" s="583">
        <v>12</v>
      </c>
      <c r="F65" s="67" t="s">
        <v>3</v>
      </c>
      <c r="G65" s="298" t="s">
        <v>236</v>
      </c>
      <c r="H65" s="66">
        <v>1.2</v>
      </c>
      <c r="I65" s="66">
        <v>0.85</v>
      </c>
      <c r="J65" s="66">
        <v>0.6</v>
      </c>
      <c r="K65" s="276">
        <v>1</v>
      </c>
      <c r="L65" s="277">
        <v>0.61199999999999999</v>
      </c>
      <c r="M65" s="280" t="s">
        <v>164</v>
      </c>
      <c r="N65" s="195"/>
      <c r="O65" s="196"/>
      <c r="P65" s="602"/>
      <c r="Q65" s="463"/>
    </row>
    <row r="66" spans="1:17" ht="15.75" customHeight="1" x14ac:dyDescent="0.2">
      <c r="A66" s="447"/>
      <c r="B66" s="194"/>
      <c r="C66" s="582" t="s">
        <v>30</v>
      </c>
      <c r="D66" s="67" t="s">
        <v>13</v>
      </c>
      <c r="E66" s="583">
        <v>12</v>
      </c>
      <c r="F66" s="67" t="s">
        <v>3</v>
      </c>
      <c r="G66" s="298" t="s">
        <v>237</v>
      </c>
      <c r="H66" s="66">
        <v>1.8</v>
      </c>
      <c r="I66" s="66">
        <v>1.1499999999999999</v>
      </c>
      <c r="J66" s="66">
        <v>0.6</v>
      </c>
      <c r="K66" s="276">
        <v>1</v>
      </c>
      <c r="L66" s="277">
        <v>1.2419999999999998</v>
      </c>
      <c r="M66" s="280" t="s">
        <v>164</v>
      </c>
      <c r="N66" s="195"/>
      <c r="O66" s="196"/>
      <c r="P66" s="602"/>
      <c r="Q66" s="463"/>
    </row>
    <row r="67" spans="1:17" ht="15.75" customHeight="1" x14ac:dyDescent="0.55000000000000004">
      <c r="A67" s="447"/>
      <c r="B67" s="194"/>
      <c r="C67" s="582" t="s">
        <v>30</v>
      </c>
      <c r="D67" s="67" t="s">
        <v>13</v>
      </c>
      <c r="E67" s="583">
        <v>12</v>
      </c>
      <c r="F67" s="67" t="s">
        <v>3</v>
      </c>
      <c r="G67" s="298" t="s">
        <v>224</v>
      </c>
      <c r="H67" s="66">
        <v>1.4</v>
      </c>
      <c r="I67" s="66">
        <v>1.1499999999999999</v>
      </c>
      <c r="J67" s="66">
        <v>0.6</v>
      </c>
      <c r="K67" s="276">
        <v>1</v>
      </c>
      <c r="L67" s="277">
        <v>0.96599999999999986</v>
      </c>
      <c r="M67" s="280" t="s">
        <v>164</v>
      </c>
      <c r="N67" s="195"/>
      <c r="O67" s="196"/>
      <c r="P67" s="601"/>
      <c r="Q67" s="463"/>
    </row>
    <row r="68" spans="1:17" ht="15.75" customHeight="1" x14ac:dyDescent="0.55000000000000004">
      <c r="A68" s="447"/>
      <c r="B68" s="194"/>
      <c r="C68" s="582" t="s">
        <v>30</v>
      </c>
      <c r="D68" s="67" t="s">
        <v>13</v>
      </c>
      <c r="E68" s="583">
        <v>12</v>
      </c>
      <c r="F68" s="67" t="s">
        <v>15</v>
      </c>
      <c r="G68" s="298" t="s">
        <v>244</v>
      </c>
      <c r="H68" s="66">
        <v>1.2</v>
      </c>
      <c r="I68" s="66">
        <v>0.65</v>
      </c>
      <c r="J68" s="66">
        <v>0.6</v>
      </c>
      <c r="K68" s="276">
        <v>1</v>
      </c>
      <c r="L68" s="277">
        <v>0.46799999999999997</v>
      </c>
      <c r="M68" s="280" t="s">
        <v>164</v>
      </c>
      <c r="N68" s="195"/>
      <c r="O68" s="196"/>
      <c r="P68" s="601"/>
      <c r="Q68" s="463"/>
    </row>
    <row r="69" spans="1:17" ht="15.75" customHeight="1" x14ac:dyDescent="0.2">
      <c r="A69" s="447"/>
      <c r="B69" s="194"/>
      <c r="C69" s="582" t="s">
        <v>30</v>
      </c>
      <c r="D69" s="67" t="s">
        <v>13</v>
      </c>
      <c r="E69" s="583">
        <v>12</v>
      </c>
      <c r="F69" s="67" t="s">
        <v>15</v>
      </c>
      <c r="G69" s="298" t="s">
        <v>245</v>
      </c>
      <c r="H69" s="66">
        <v>1.1000000000000001</v>
      </c>
      <c r="I69" s="66">
        <v>1.2</v>
      </c>
      <c r="J69" s="66">
        <v>0.95</v>
      </c>
      <c r="K69" s="276">
        <v>1</v>
      </c>
      <c r="L69" s="277">
        <v>1.254</v>
      </c>
      <c r="M69" s="280" t="s">
        <v>164</v>
      </c>
      <c r="N69" s="195"/>
      <c r="O69" s="196"/>
      <c r="P69" s="602"/>
      <c r="Q69" s="463"/>
    </row>
    <row r="70" spans="1:17" ht="15.75" customHeight="1" x14ac:dyDescent="0.2">
      <c r="A70" s="447"/>
      <c r="B70" s="194"/>
      <c r="C70" s="582" t="s">
        <v>30</v>
      </c>
      <c r="D70" s="67" t="s">
        <v>13</v>
      </c>
      <c r="E70" s="583">
        <v>12</v>
      </c>
      <c r="F70" s="67" t="s">
        <v>15</v>
      </c>
      <c r="G70" s="298" t="s">
        <v>247</v>
      </c>
      <c r="H70" s="66">
        <v>1.2</v>
      </c>
      <c r="I70" s="66">
        <v>0.55000000000000004</v>
      </c>
      <c r="J70" s="66">
        <v>0.6</v>
      </c>
      <c r="K70" s="276">
        <v>1</v>
      </c>
      <c r="L70" s="277">
        <v>0.39600000000000002</v>
      </c>
      <c r="M70" s="280" t="s">
        <v>164</v>
      </c>
      <c r="N70" s="195"/>
      <c r="O70" s="196"/>
      <c r="P70" s="602"/>
      <c r="Q70" s="463"/>
    </row>
    <row r="71" spans="1:17" ht="15.75" customHeight="1" x14ac:dyDescent="0.55000000000000004">
      <c r="A71" s="447"/>
      <c r="B71" s="194"/>
      <c r="C71" s="582" t="s">
        <v>30</v>
      </c>
      <c r="D71" s="67" t="s">
        <v>13</v>
      </c>
      <c r="E71" s="583">
        <v>12</v>
      </c>
      <c r="F71" s="67" t="s">
        <v>15</v>
      </c>
      <c r="G71" s="298" t="s">
        <v>255</v>
      </c>
      <c r="H71" s="66">
        <v>1.1000000000000001</v>
      </c>
      <c r="I71" s="66">
        <v>1.05</v>
      </c>
      <c r="J71" s="66">
        <v>0.6</v>
      </c>
      <c r="K71" s="276">
        <v>1</v>
      </c>
      <c r="L71" s="277">
        <v>0.69300000000000017</v>
      </c>
      <c r="M71" s="280" t="s">
        <v>164</v>
      </c>
      <c r="N71" s="195"/>
      <c r="O71" s="196"/>
      <c r="P71" s="601"/>
      <c r="Q71" s="463"/>
    </row>
    <row r="72" spans="1:17" ht="15.75" customHeight="1" x14ac:dyDescent="0.55000000000000004">
      <c r="A72" s="447"/>
      <c r="B72" s="194"/>
      <c r="C72" s="582" t="s">
        <v>30</v>
      </c>
      <c r="D72" s="67" t="s">
        <v>13</v>
      </c>
      <c r="E72" s="583">
        <v>12</v>
      </c>
      <c r="F72" s="67" t="s">
        <v>15</v>
      </c>
      <c r="G72" s="298" t="s">
        <v>256</v>
      </c>
      <c r="H72" s="66">
        <v>1.1000000000000001</v>
      </c>
      <c r="I72" s="66">
        <v>0.55000000000000004</v>
      </c>
      <c r="J72" s="66">
        <v>0.6</v>
      </c>
      <c r="K72" s="276">
        <v>1</v>
      </c>
      <c r="L72" s="277">
        <v>0.36300000000000004</v>
      </c>
      <c r="M72" s="280" t="s">
        <v>164</v>
      </c>
      <c r="N72" s="195"/>
      <c r="O72" s="196"/>
      <c r="P72" s="601"/>
      <c r="Q72" s="463"/>
    </row>
    <row r="73" spans="1:17" ht="15.75" customHeight="1" x14ac:dyDescent="0.2">
      <c r="A73" s="447"/>
      <c r="B73" s="194"/>
      <c r="C73" s="582" t="s">
        <v>30</v>
      </c>
      <c r="D73" s="67" t="s">
        <v>13</v>
      </c>
      <c r="E73" s="583">
        <v>12</v>
      </c>
      <c r="F73" s="67" t="s">
        <v>15</v>
      </c>
      <c r="G73" s="298" t="s">
        <v>257</v>
      </c>
      <c r="H73" s="66">
        <v>1.5</v>
      </c>
      <c r="I73" s="66">
        <v>0.45</v>
      </c>
      <c r="J73" s="66">
        <v>0.6</v>
      </c>
      <c r="K73" s="276">
        <v>1</v>
      </c>
      <c r="L73" s="277">
        <v>0.40500000000000003</v>
      </c>
      <c r="M73" s="280" t="s">
        <v>164</v>
      </c>
      <c r="N73" s="195"/>
      <c r="O73" s="196"/>
      <c r="P73" s="602"/>
      <c r="Q73" s="463"/>
    </row>
    <row r="74" spans="1:17" ht="15.75" customHeight="1" x14ac:dyDescent="0.55000000000000004">
      <c r="A74" s="447"/>
      <c r="B74" s="194"/>
      <c r="C74" s="582" t="s">
        <v>30</v>
      </c>
      <c r="D74" s="67" t="s">
        <v>13</v>
      </c>
      <c r="E74" s="583">
        <v>12</v>
      </c>
      <c r="F74" s="67" t="s">
        <v>15</v>
      </c>
      <c r="G74" s="298" t="s">
        <v>258</v>
      </c>
      <c r="H74" s="66">
        <v>1.2</v>
      </c>
      <c r="I74" s="66">
        <v>0.75</v>
      </c>
      <c r="J74" s="66">
        <v>0.6</v>
      </c>
      <c r="K74" s="276">
        <v>1</v>
      </c>
      <c r="L74" s="277">
        <v>0.53999999999999992</v>
      </c>
      <c r="M74" s="280" t="s">
        <v>164</v>
      </c>
      <c r="N74" s="195"/>
      <c r="O74" s="196"/>
      <c r="P74" s="601"/>
      <c r="Q74" s="463"/>
    </row>
    <row r="75" spans="1:17" ht="15.75" customHeight="1" x14ac:dyDescent="0.55000000000000004">
      <c r="A75" s="447"/>
      <c r="B75" s="194"/>
      <c r="C75" s="582" t="s">
        <v>30</v>
      </c>
      <c r="D75" s="67" t="s">
        <v>13</v>
      </c>
      <c r="E75" s="583">
        <v>12</v>
      </c>
      <c r="F75" s="67" t="s">
        <v>15</v>
      </c>
      <c r="G75" s="298" t="s">
        <v>259</v>
      </c>
      <c r="H75" s="66">
        <v>0.8</v>
      </c>
      <c r="I75" s="66">
        <v>0.8</v>
      </c>
      <c r="J75" s="66">
        <v>0.55000000000000004</v>
      </c>
      <c r="K75" s="276">
        <v>1</v>
      </c>
      <c r="L75" s="277">
        <v>0.35200000000000009</v>
      </c>
      <c r="M75" s="280" t="s">
        <v>164</v>
      </c>
      <c r="N75" s="195"/>
      <c r="O75" s="196"/>
      <c r="P75" s="601">
        <v>1</v>
      </c>
      <c r="Q75" s="463"/>
    </row>
    <row r="76" spans="1:17" ht="15.75" customHeight="1" x14ac:dyDescent="0.2">
      <c r="A76" s="447"/>
      <c r="B76" s="194"/>
      <c r="C76" s="582" t="s">
        <v>30</v>
      </c>
      <c r="D76" s="67" t="s">
        <v>13</v>
      </c>
      <c r="E76" s="583">
        <v>12</v>
      </c>
      <c r="F76" s="67" t="s">
        <v>15</v>
      </c>
      <c r="G76" s="298" t="s">
        <v>260</v>
      </c>
      <c r="H76" s="66">
        <v>1.2</v>
      </c>
      <c r="I76" s="66">
        <v>0.85</v>
      </c>
      <c r="J76" s="66">
        <v>0.6</v>
      </c>
      <c r="K76" s="276">
        <v>1</v>
      </c>
      <c r="L76" s="277">
        <v>0.61199999999999999</v>
      </c>
      <c r="M76" s="280" t="s">
        <v>164</v>
      </c>
      <c r="N76" s="195"/>
      <c r="O76" s="196"/>
      <c r="P76" s="602"/>
      <c r="Q76" s="463"/>
    </row>
    <row r="77" spans="1:17" ht="15.75" customHeight="1" x14ac:dyDescent="0.55000000000000004">
      <c r="A77" s="447"/>
      <c r="B77" s="194"/>
      <c r="C77" s="582" t="s">
        <v>30</v>
      </c>
      <c r="D77" s="67" t="s">
        <v>13</v>
      </c>
      <c r="E77" s="583">
        <v>12</v>
      </c>
      <c r="F77" s="67" t="s">
        <v>15</v>
      </c>
      <c r="G77" s="298" t="s">
        <v>265</v>
      </c>
      <c r="H77" s="66">
        <v>1.2</v>
      </c>
      <c r="I77" s="66">
        <v>0.85</v>
      </c>
      <c r="J77" s="66">
        <v>0.6</v>
      </c>
      <c r="K77" s="276">
        <v>1</v>
      </c>
      <c r="L77" s="277">
        <v>0.61199999999999999</v>
      </c>
      <c r="M77" s="280" t="s">
        <v>164</v>
      </c>
      <c r="N77" s="195"/>
      <c r="O77" s="196"/>
      <c r="P77" s="601"/>
      <c r="Q77" s="463"/>
    </row>
    <row r="78" spans="1:17" ht="15.75" customHeight="1" x14ac:dyDescent="0.55000000000000004">
      <c r="A78" s="447"/>
      <c r="B78" s="194"/>
      <c r="C78" s="582" t="s">
        <v>30</v>
      </c>
      <c r="D78" s="67" t="s">
        <v>13</v>
      </c>
      <c r="E78" s="583">
        <v>12</v>
      </c>
      <c r="F78" s="67" t="s">
        <v>4</v>
      </c>
      <c r="G78" s="298" t="s">
        <v>266</v>
      </c>
      <c r="H78" s="66">
        <v>1.2</v>
      </c>
      <c r="I78" s="66">
        <v>0.65</v>
      </c>
      <c r="J78" s="66">
        <v>0.6</v>
      </c>
      <c r="K78" s="276">
        <v>1</v>
      </c>
      <c r="L78" s="277">
        <v>0.46799999999999997</v>
      </c>
      <c r="M78" s="280" t="s">
        <v>164</v>
      </c>
      <c r="N78" s="195"/>
      <c r="O78" s="196"/>
      <c r="P78" s="601"/>
      <c r="Q78" s="463"/>
    </row>
    <row r="79" spans="1:17" ht="15.75" customHeight="1" x14ac:dyDescent="0.2">
      <c r="A79" s="447"/>
      <c r="B79" s="194"/>
      <c r="C79" s="582" t="s">
        <v>30</v>
      </c>
      <c r="D79" s="67" t="s">
        <v>13</v>
      </c>
      <c r="E79" s="583">
        <v>13</v>
      </c>
      <c r="F79" s="67" t="s">
        <v>15</v>
      </c>
      <c r="G79" s="298" t="s">
        <v>267</v>
      </c>
      <c r="H79" s="66">
        <v>1.2</v>
      </c>
      <c r="I79" s="66">
        <v>0.85</v>
      </c>
      <c r="J79" s="66">
        <v>0.6</v>
      </c>
      <c r="K79" s="276">
        <v>1</v>
      </c>
      <c r="L79" s="277">
        <v>0.61199999999999999</v>
      </c>
      <c r="M79" s="280" t="s">
        <v>164</v>
      </c>
      <c r="N79" s="195"/>
      <c r="O79" s="196"/>
      <c r="P79" s="602"/>
      <c r="Q79" s="463"/>
    </row>
    <row r="80" spans="1:17" ht="15.75" customHeight="1" x14ac:dyDescent="0.55000000000000004">
      <c r="A80" s="447"/>
      <c r="B80" s="194"/>
      <c r="C80" s="582" t="s">
        <v>30</v>
      </c>
      <c r="D80" s="67" t="s">
        <v>13</v>
      </c>
      <c r="E80" s="583">
        <v>13</v>
      </c>
      <c r="F80" s="67" t="s">
        <v>15</v>
      </c>
      <c r="G80" s="298" t="s">
        <v>211</v>
      </c>
      <c r="H80" s="66">
        <v>1.2</v>
      </c>
      <c r="I80" s="66">
        <v>0.85</v>
      </c>
      <c r="J80" s="66">
        <v>0.65</v>
      </c>
      <c r="K80" s="276">
        <v>1</v>
      </c>
      <c r="L80" s="277">
        <v>0.66300000000000003</v>
      </c>
      <c r="M80" s="280" t="s">
        <v>164</v>
      </c>
      <c r="N80" s="195"/>
      <c r="O80" s="196"/>
      <c r="P80" s="601">
        <v>2</v>
      </c>
      <c r="Q80" s="463"/>
    </row>
    <row r="81" spans="1:17" ht="15.75" customHeight="1" x14ac:dyDescent="0.55000000000000004">
      <c r="A81" s="447"/>
      <c r="B81" s="194"/>
      <c r="C81" s="582" t="s">
        <v>30</v>
      </c>
      <c r="D81" s="67" t="s">
        <v>13</v>
      </c>
      <c r="E81" s="583">
        <v>13</v>
      </c>
      <c r="F81" s="67" t="s">
        <v>15</v>
      </c>
      <c r="G81" s="298" t="s">
        <v>268</v>
      </c>
      <c r="H81" s="66">
        <v>1.2</v>
      </c>
      <c r="I81" s="66">
        <v>1.1499999999999999</v>
      </c>
      <c r="J81" s="66">
        <v>0.9</v>
      </c>
      <c r="K81" s="276">
        <v>1</v>
      </c>
      <c r="L81" s="277">
        <v>1.242</v>
      </c>
      <c r="M81" s="280" t="s">
        <v>164</v>
      </c>
      <c r="N81" s="195"/>
      <c r="O81" s="196"/>
      <c r="P81" s="601">
        <v>1</v>
      </c>
      <c r="Q81" s="463"/>
    </row>
    <row r="82" spans="1:17" ht="15.75" customHeight="1" x14ac:dyDescent="0.2">
      <c r="A82" s="447"/>
      <c r="B82" s="194"/>
      <c r="C82" s="582" t="s">
        <v>30</v>
      </c>
      <c r="D82" s="67" t="s">
        <v>13</v>
      </c>
      <c r="E82" s="583">
        <v>13</v>
      </c>
      <c r="F82" s="67" t="s">
        <v>15</v>
      </c>
      <c r="G82" s="298" t="s">
        <v>191</v>
      </c>
      <c r="H82" s="66">
        <v>1.2</v>
      </c>
      <c r="I82" s="66">
        <v>1.1499999999999999</v>
      </c>
      <c r="J82" s="66">
        <v>0.8</v>
      </c>
      <c r="K82" s="276">
        <v>1</v>
      </c>
      <c r="L82" s="277">
        <v>1.1039999999999999</v>
      </c>
      <c r="M82" s="280" t="s">
        <v>164</v>
      </c>
      <c r="N82" s="195"/>
      <c r="O82" s="196"/>
      <c r="P82" s="602"/>
      <c r="Q82" s="463"/>
    </row>
    <row r="83" spans="1:17" ht="15.75" customHeight="1" x14ac:dyDescent="0.2">
      <c r="A83" s="447"/>
      <c r="B83" s="194"/>
      <c r="C83" s="582" t="s">
        <v>30</v>
      </c>
      <c r="D83" s="67" t="s">
        <v>13</v>
      </c>
      <c r="E83" s="583">
        <v>13</v>
      </c>
      <c r="F83" s="67" t="s">
        <v>15</v>
      </c>
      <c r="G83" s="298" t="s">
        <v>194</v>
      </c>
      <c r="H83" s="66">
        <v>0.9</v>
      </c>
      <c r="I83" s="66">
        <v>1.2</v>
      </c>
      <c r="J83" s="66">
        <v>0.85</v>
      </c>
      <c r="K83" s="276">
        <v>1</v>
      </c>
      <c r="L83" s="277">
        <v>0.91800000000000004</v>
      </c>
      <c r="M83" s="280" t="s">
        <v>164</v>
      </c>
      <c r="N83" s="195"/>
      <c r="O83" s="196"/>
      <c r="P83" s="602">
        <v>2</v>
      </c>
      <c r="Q83" s="463"/>
    </row>
    <row r="84" spans="1:17" ht="15.75" customHeight="1" x14ac:dyDescent="0.2">
      <c r="A84" s="447"/>
      <c r="B84" s="194"/>
      <c r="C84" s="582" t="s">
        <v>30</v>
      </c>
      <c r="D84" s="67" t="s">
        <v>13</v>
      </c>
      <c r="E84" s="583">
        <v>13</v>
      </c>
      <c r="F84" s="67" t="s">
        <v>15</v>
      </c>
      <c r="G84" s="298" t="s">
        <v>217</v>
      </c>
      <c r="H84" s="66">
        <v>1.3</v>
      </c>
      <c r="I84" s="66">
        <v>0.85</v>
      </c>
      <c r="J84" s="66">
        <v>0.95</v>
      </c>
      <c r="K84" s="276">
        <v>1</v>
      </c>
      <c r="L84" s="277">
        <v>1.04975</v>
      </c>
      <c r="M84" s="280" t="s">
        <v>164</v>
      </c>
      <c r="N84" s="195"/>
      <c r="O84" s="196"/>
      <c r="P84" s="602">
        <v>1</v>
      </c>
      <c r="Q84" s="463"/>
    </row>
    <row r="85" spans="1:17" ht="15.75" customHeight="1" x14ac:dyDescent="0.55000000000000004">
      <c r="A85" s="447"/>
      <c r="B85" s="194"/>
      <c r="C85" s="582" t="s">
        <v>30</v>
      </c>
      <c r="D85" s="67" t="s">
        <v>13</v>
      </c>
      <c r="E85" s="583">
        <v>13</v>
      </c>
      <c r="F85" s="67" t="s">
        <v>15</v>
      </c>
      <c r="G85" s="298" t="s">
        <v>218</v>
      </c>
      <c r="H85" s="66">
        <v>1.2</v>
      </c>
      <c r="I85" s="66">
        <v>1.05</v>
      </c>
      <c r="J85" s="66">
        <v>0.6</v>
      </c>
      <c r="K85" s="276">
        <v>1</v>
      </c>
      <c r="L85" s="277">
        <v>0.75600000000000001</v>
      </c>
      <c r="M85" s="280" t="s">
        <v>164</v>
      </c>
      <c r="N85" s="195"/>
      <c r="O85" s="196"/>
      <c r="P85" s="601"/>
      <c r="Q85" s="463"/>
    </row>
    <row r="86" spans="1:17" ht="15.75" customHeight="1" x14ac:dyDescent="0.55000000000000004">
      <c r="A86" s="447"/>
      <c r="B86" s="194"/>
      <c r="C86" s="582" t="s">
        <v>30</v>
      </c>
      <c r="D86" s="67" t="s">
        <v>13</v>
      </c>
      <c r="E86" s="583">
        <v>13</v>
      </c>
      <c r="F86" s="67" t="s">
        <v>15</v>
      </c>
      <c r="G86" s="298" t="s">
        <v>222</v>
      </c>
      <c r="H86" s="66">
        <v>0.9</v>
      </c>
      <c r="I86" s="66">
        <v>0.85</v>
      </c>
      <c r="J86" s="66">
        <v>0.65</v>
      </c>
      <c r="K86" s="276">
        <v>1</v>
      </c>
      <c r="L86" s="277">
        <v>0.49725000000000003</v>
      </c>
      <c r="M86" s="280" t="s">
        <v>164</v>
      </c>
      <c r="N86" s="195"/>
      <c r="O86" s="196"/>
      <c r="P86" s="601">
        <v>2</v>
      </c>
      <c r="Q86" s="463"/>
    </row>
    <row r="87" spans="1:17" ht="15.75" customHeight="1" x14ac:dyDescent="0.2">
      <c r="A87" s="447"/>
      <c r="B87" s="194"/>
      <c r="C87" s="582" t="s">
        <v>30</v>
      </c>
      <c r="D87" s="67" t="s">
        <v>13</v>
      </c>
      <c r="E87" s="583">
        <v>14</v>
      </c>
      <c r="F87" s="67" t="s">
        <v>15</v>
      </c>
      <c r="G87" s="298" t="s">
        <v>183</v>
      </c>
      <c r="H87" s="66">
        <v>1.3</v>
      </c>
      <c r="I87" s="66">
        <v>1.1499999999999999</v>
      </c>
      <c r="J87" s="66">
        <v>0.6</v>
      </c>
      <c r="K87" s="276">
        <v>1</v>
      </c>
      <c r="L87" s="277">
        <v>0.89699999999999991</v>
      </c>
      <c r="M87" s="280" t="s">
        <v>164</v>
      </c>
      <c r="N87" s="195"/>
      <c r="O87" s="196"/>
      <c r="P87" s="602"/>
      <c r="Q87" s="463"/>
    </row>
    <row r="88" spans="1:17" ht="15.75" customHeight="1" x14ac:dyDescent="0.2">
      <c r="A88" s="447"/>
      <c r="B88" s="194"/>
      <c r="C88" s="582" t="s">
        <v>30</v>
      </c>
      <c r="D88" s="67" t="s">
        <v>13</v>
      </c>
      <c r="E88" s="583">
        <v>14</v>
      </c>
      <c r="F88" s="67" t="s">
        <v>15</v>
      </c>
      <c r="G88" s="298" t="s">
        <v>188</v>
      </c>
      <c r="H88" s="66">
        <v>1.3</v>
      </c>
      <c r="I88" s="66">
        <v>1.05</v>
      </c>
      <c r="J88" s="66">
        <v>0.6</v>
      </c>
      <c r="K88" s="276">
        <v>1</v>
      </c>
      <c r="L88" s="277">
        <v>0.81900000000000006</v>
      </c>
      <c r="M88" s="280" t="s">
        <v>164</v>
      </c>
      <c r="N88" s="195"/>
      <c r="O88" s="196"/>
      <c r="P88" s="602"/>
      <c r="Q88" s="463"/>
    </row>
    <row r="89" spans="1:17" ht="15.75" customHeight="1" x14ac:dyDescent="0.2">
      <c r="A89" s="447"/>
      <c r="B89" s="194"/>
      <c r="C89" s="582" t="s">
        <v>30</v>
      </c>
      <c r="D89" s="67" t="s">
        <v>13</v>
      </c>
      <c r="E89" s="583">
        <v>13</v>
      </c>
      <c r="F89" s="67" t="s">
        <v>15</v>
      </c>
      <c r="G89" s="298" t="s">
        <v>208</v>
      </c>
      <c r="H89" s="66">
        <v>0.85</v>
      </c>
      <c r="I89" s="66">
        <v>1.2</v>
      </c>
      <c r="J89" s="66">
        <v>0.65</v>
      </c>
      <c r="K89" s="276">
        <v>1</v>
      </c>
      <c r="L89" s="277">
        <v>0.66300000000000003</v>
      </c>
      <c r="M89" s="280" t="s">
        <v>164</v>
      </c>
      <c r="N89" s="195"/>
      <c r="O89" s="196"/>
      <c r="P89" s="602"/>
      <c r="Q89" s="463"/>
    </row>
    <row r="90" spans="1:17" ht="15.75" customHeight="1" x14ac:dyDescent="0.55000000000000004">
      <c r="A90" s="447"/>
      <c r="B90" s="194"/>
      <c r="C90" s="582" t="s">
        <v>30</v>
      </c>
      <c r="D90" s="67" t="s">
        <v>13</v>
      </c>
      <c r="E90" s="583">
        <v>13</v>
      </c>
      <c r="F90" s="67" t="s">
        <v>15</v>
      </c>
      <c r="G90" s="298" t="s">
        <v>269</v>
      </c>
      <c r="H90" s="66">
        <v>0.9</v>
      </c>
      <c r="I90" s="66">
        <v>0.8</v>
      </c>
      <c r="J90" s="66">
        <v>0.85</v>
      </c>
      <c r="K90" s="276">
        <v>1</v>
      </c>
      <c r="L90" s="277">
        <v>0.6120000000000001</v>
      </c>
      <c r="M90" s="280" t="s">
        <v>164</v>
      </c>
      <c r="N90" s="195"/>
      <c r="O90" s="196"/>
      <c r="P90" s="601"/>
      <c r="Q90" s="463"/>
    </row>
    <row r="91" spans="1:17" ht="15.75" customHeight="1" x14ac:dyDescent="0.55000000000000004">
      <c r="A91" s="447"/>
      <c r="B91" s="194"/>
      <c r="C91" s="582" t="s">
        <v>30</v>
      </c>
      <c r="D91" s="67" t="s">
        <v>13</v>
      </c>
      <c r="E91" s="583">
        <v>13</v>
      </c>
      <c r="F91" s="67" t="s">
        <v>15</v>
      </c>
      <c r="G91" s="298" t="s">
        <v>225</v>
      </c>
      <c r="H91" s="66">
        <v>1.2</v>
      </c>
      <c r="I91" s="66">
        <v>0.9</v>
      </c>
      <c r="J91" s="66">
        <v>0.55000000000000004</v>
      </c>
      <c r="K91" s="276">
        <v>1</v>
      </c>
      <c r="L91" s="277">
        <v>0.59400000000000008</v>
      </c>
      <c r="M91" s="280" t="s">
        <v>164</v>
      </c>
      <c r="N91" s="195"/>
      <c r="O91" s="196"/>
      <c r="P91" s="601"/>
      <c r="Q91" s="463"/>
    </row>
    <row r="92" spans="1:17" ht="15.75" customHeight="1" x14ac:dyDescent="0.2">
      <c r="A92" s="447"/>
      <c r="B92" s="194"/>
      <c r="C92" s="582" t="s">
        <v>30</v>
      </c>
      <c r="D92" s="67" t="s">
        <v>13</v>
      </c>
      <c r="E92" s="583">
        <v>13</v>
      </c>
      <c r="F92" s="67" t="s">
        <v>4</v>
      </c>
      <c r="G92" s="298" t="s">
        <v>242</v>
      </c>
      <c r="H92" s="66">
        <v>1.1000000000000001</v>
      </c>
      <c r="I92" s="66">
        <v>0.9</v>
      </c>
      <c r="J92" s="66">
        <v>0.65</v>
      </c>
      <c r="K92" s="276">
        <v>1</v>
      </c>
      <c r="L92" s="277">
        <v>0.64350000000000007</v>
      </c>
      <c r="M92" s="280" t="s">
        <v>164</v>
      </c>
      <c r="N92" s="195"/>
      <c r="O92" s="196"/>
      <c r="P92" s="602"/>
      <c r="Q92" s="463"/>
    </row>
    <row r="93" spans="1:17" ht="15.75" customHeight="1" x14ac:dyDescent="0.2">
      <c r="A93" s="447"/>
      <c r="B93" s="194"/>
      <c r="C93" s="582" t="s">
        <v>30</v>
      </c>
      <c r="D93" s="67" t="s">
        <v>13</v>
      </c>
      <c r="E93" s="583">
        <v>13</v>
      </c>
      <c r="F93" s="67" t="s">
        <v>15</v>
      </c>
      <c r="G93" s="298" t="s">
        <v>228</v>
      </c>
      <c r="H93" s="66">
        <v>1.1000000000000001</v>
      </c>
      <c r="I93" s="66">
        <v>0.9</v>
      </c>
      <c r="J93" s="66">
        <v>0.65</v>
      </c>
      <c r="K93" s="276">
        <v>1</v>
      </c>
      <c r="L93" s="277">
        <v>0.64350000000000007</v>
      </c>
      <c r="M93" s="280" t="s">
        <v>164</v>
      </c>
      <c r="N93" s="195"/>
      <c r="O93" s="196"/>
      <c r="P93" s="602"/>
      <c r="Q93" s="463"/>
    </row>
    <row r="94" spans="1:17" ht="15.75" customHeight="1" x14ac:dyDescent="0.55000000000000004">
      <c r="A94" s="447"/>
      <c r="B94" s="194"/>
      <c r="C94" s="582" t="s">
        <v>30</v>
      </c>
      <c r="D94" s="67" t="s">
        <v>13</v>
      </c>
      <c r="E94" s="583">
        <v>13</v>
      </c>
      <c r="F94" s="67" t="s">
        <v>15</v>
      </c>
      <c r="G94" s="298" t="s">
        <v>245</v>
      </c>
      <c r="H94" s="66">
        <v>1.2</v>
      </c>
      <c r="I94" s="66">
        <v>1.1499999999999999</v>
      </c>
      <c r="J94" s="66">
        <v>0.9</v>
      </c>
      <c r="K94" s="276">
        <v>1</v>
      </c>
      <c r="L94" s="277">
        <v>1.242</v>
      </c>
      <c r="M94" s="280" t="s">
        <v>164</v>
      </c>
      <c r="N94" s="195"/>
      <c r="O94" s="196"/>
      <c r="P94" s="601">
        <v>4</v>
      </c>
      <c r="Q94" s="463"/>
    </row>
    <row r="95" spans="1:17" ht="15.75" customHeight="1" x14ac:dyDescent="0.55000000000000004">
      <c r="A95" s="447"/>
      <c r="B95" s="194"/>
      <c r="C95" s="582" t="s">
        <v>30</v>
      </c>
      <c r="D95" s="67" t="s">
        <v>13</v>
      </c>
      <c r="E95" s="583">
        <v>13</v>
      </c>
      <c r="F95" s="67" t="s">
        <v>15</v>
      </c>
      <c r="G95" s="298" t="s">
        <v>270</v>
      </c>
      <c r="H95" s="66">
        <v>1.9</v>
      </c>
      <c r="I95" s="66">
        <v>1.05</v>
      </c>
      <c r="J95" s="66">
        <v>0.85</v>
      </c>
      <c r="K95" s="276">
        <v>1</v>
      </c>
      <c r="L95" s="277">
        <v>1.6957499999999999</v>
      </c>
      <c r="M95" s="280" t="s">
        <v>164</v>
      </c>
      <c r="N95" s="195"/>
      <c r="O95" s="196"/>
      <c r="P95" s="601"/>
      <c r="Q95" s="463"/>
    </row>
    <row r="96" spans="1:17" ht="15.75" customHeight="1" x14ac:dyDescent="0.55000000000000004">
      <c r="A96" s="447"/>
      <c r="B96" s="194"/>
      <c r="C96" s="582" t="s">
        <v>30</v>
      </c>
      <c r="D96" s="67" t="s">
        <v>13</v>
      </c>
      <c r="E96" s="583">
        <v>13</v>
      </c>
      <c r="F96" s="67" t="s">
        <v>15</v>
      </c>
      <c r="G96" s="298" t="s">
        <v>272</v>
      </c>
      <c r="H96" s="66">
        <v>1</v>
      </c>
      <c r="I96" s="66">
        <v>0.85</v>
      </c>
      <c r="J96" s="66">
        <v>0.85</v>
      </c>
      <c r="K96" s="276">
        <v>1</v>
      </c>
      <c r="L96" s="277">
        <v>0.72249999999999992</v>
      </c>
      <c r="M96" s="280" t="s">
        <v>164</v>
      </c>
      <c r="N96" s="195"/>
      <c r="O96" s="196"/>
      <c r="P96" s="601"/>
      <c r="Q96" s="463"/>
    </row>
    <row r="97" spans="1:17" ht="15.75" customHeight="1" x14ac:dyDescent="0.55000000000000004">
      <c r="A97" s="447"/>
      <c r="B97" s="194"/>
      <c r="C97" s="582" t="s">
        <v>30</v>
      </c>
      <c r="D97" s="67" t="s">
        <v>13</v>
      </c>
      <c r="E97" s="583">
        <v>13</v>
      </c>
      <c r="F97" s="67" t="s">
        <v>15</v>
      </c>
      <c r="G97" s="298" t="s">
        <v>273</v>
      </c>
      <c r="H97" s="66">
        <v>1.2</v>
      </c>
      <c r="I97" s="66">
        <v>0.65</v>
      </c>
      <c r="J97" s="66">
        <v>0.6</v>
      </c>
      <c r="K97" s="276">
        <v>1</v>
      </c>
      <c r="L97" s="277">
        <v>0.46799999999999997</v>
      </c>
      <c r="M97" s="280" t="s">
        <v>164</v>
      </c>
      <c r="N97" s="195"/>
      <c r="O97" s="196"/>
      <c r="P97" s="601"/>
      <c r="Q97" s="463"/>
    </row>
    <row r="98" spans="1:17" ht="15.75" customHeight="1" x14ac:dyDescent="0.2">
      <c r="A98" s="447"/>
      <c r="B98" s="194"/>
      <c r="C98" s="582" t="s">
        <v>30</v>
      </c>
      <c r="D98" s="67" t="s">
        <v>13</v>
      </c>
      <c r="E98" s="583">
        <v>13</v>
      </c>
      <c r="F98" s="67" t="s">
        <v>15</v>
      </c>
      <c r="G98" s="298" t="s">
        <v>274</v>
      </c>
      <c r="H98" s="66">
        <v>1.1000000000000001</v>
      </c>
      <c r="I98" s="66">
        <v>0.85</v>
      </c>
      <c r="J98" s="66">
        <v>0.45</v>
      </c>
      <c r="K98" s="276">
        <v>1</v>
      </c>
      <c r="L98" s="277">
        <v>0.42075000000000001</v>
      </c>
      <c r="M98" s="280" t="s">
        <v>164</v>
      </c>
      <c r="N98" s="195"/>
      <c r="O98" s="196"/>
      <c r="P98" s="602">
        <v>4</v>
      </c>
      <c r="Q98" s="463"/>
    </row>
    <row r="99" spans="1:17" ht="15.75" customHeight="1" x14ac:dyDescent="0.2">
      <c r="A99" s="447"/>
      <c r="B99" s="194"/>
      <c r="C99" s="582" t="s">
        <v>30</v>
      </c>
      <c r="D99" s="67" t="s">
        <v>13</v>
      </c>
      <c r="E99" s="583">
        <v>13</v>
      </c>
      <c r="F99" s="67" t="s">
        <v>4</v>
      </c>
      <c r="G99" s="298" t="s">
        <v>278</v>
      </c>
      <c r="H99" s="66">
        <v>1.2</v>
      </c>
      <c r="I99" s="66">
        <v>1.1499999999999999</v>
      </c>
      <c r="J99" s="66">
        <v>0.6</v>
      </c>
      <c r="K99" s="276">
        <v>1</v>
      </c>
      <c r="L99" s="277">
        <v>0.82799999999999996</v>
      </c>
      <c r="M99" s="280" t="s">
        <v>164</v>
      </c>
      <c r="N99" s="195"/>
      <c r="O99" s="196"/>
      <c r="P99" s="602"/>
      <c r="Q99" s="463"/>
    </row>
    <row r="100" spans="1:17" ht="15.75" customHeight="1" x14ac:dyDescent="0.55000000000000004">
      <c r="A100" s="447"/>
      <c r="B100" s="194"/>
      <c r="C100" s="582" t="s">
        <v>30</v>
      </c>
      <c r="D100" s="67" t="s">
        <v>13</v>
      </c>
      <c r="E100" s="583">
        <v>13</v>
      </c>
      <c r="F100" s="67" t="s">
        <v>15</v>
      </c>
      <c r="G100" s="298" t="s">
        <v>284</v>
      </c>
      <c r="H100" s="66">
        <v>1.1000000000000001</v>
      </c>
      <c r="I100" s="66">
        <v>0.85</v>
      </c>
      <c r="J100" s="66">
        <v>0.55000000000000004</v>
      </c>
      <c r="K100" s="276">
        <v>1</v>
      </c>
      <c r="L100" s="277">
        <v>0.5142500000000001</v>
      </c>
      <c r="M100" s="280" t="s">
        <v>164</v>
      </c>
      <c r="N100" s="195"/>
      <c r="O100" s="196"/>
      <c r="P100" s="601">
        <v>4</v>
      </c>
      <c r="Q100" s="463"/>
    </row>
    <row r="101" spans="1:17" ht="15.75" customHeight="1" x14ac:dyDescent="0.2">
      <c r="A101" s="447"/>
      <c r="B101" s="194"/>
      <c r="C101" s="582" t="s">
        <v>30</v>
      </c>
      <c r="D101" s="67" t="s">
        <v>13</v>
      </c>
      <c r="E101" s="583">
        <v>13</v>
      </c>
      <c r="F101" s="67" t="s">
        <v>15</v>
      </c>
      <c r="G101" s="298" t="s">
        <v>287</v>
      </c>
      <c r="H101" s="66">
        <v>1.1000000000000001</v>
      </c>
      <c r="I101" s="66">
        <v>0.9</v>
      </c>
      <c r="J101" s="66">
        <v>0.65</v>
      </c>
      <c r="K101" s="276">
        <v>1</v>
      </c>
      <c r="L101" s="277">
        <v>0.64350000000000007</v>
      </c>
      <c r="M101" s="280" t="s">
        <v>164</v>
      </c>
      <c r="N101" s="195"/>
      <c r="O101" s="196"/>
      <c r="P101" s="602">
        <v>4</v>
      </c>
      <c r="Q101" s="463"/>
    </row>
    <row r="102" spans="1:17" ht="15.75" customHeight="1" x14ac:dyDescent="0.55000000000000004">
      <c r="A102" s="447"/>
      <c r="B102" s="194"/>
      <c r="C102" s="582" t="s">
        <v>30</v>
      </c>
      <c r="D102" s="67" t="s">
        <v>13</v>
      </c>
      <c r="E102" s="583">
        <v>13</v>
      </c>
      <c r="F102" s="67" t="s">
        <v>15</v>
      </c>
      <c r="G102" s="298" t="s">
        <v>263</v>
      </c>
      <c r="H102" s="66">
        <v>0.9</v>
      </c>
      <c r="I102" s="66">
        <v>0.8</v>
      </c>
      <c r="J102" s="66">
        <v>0.75</v>
      </c>
      <c r="K102" s="276">
        <v>1</v>
      </c>
      <c r="L102" s="277">
        <v>0.54</v>
      </c>
      <c r="M102" s="280" t="s">
        <v>164</v>
      </c>
      <c r="N102" s="195"/>
      <c r="O102" s="196"/>
      <c r="P102" s="601"/>
      <c r="Q102" s="463"/>
    </row>
    <row r="103" spans="1:17" ht="15.75" customHeight="1" x14ac:dyDescent="0.2">
      <c r="A103" s="447"/>
      <c r="B103" s="194"/>
      <c r="C103" s="582" t="s">
        <v>30</v>
      </c>
      <c r="D103" s="67" t="s">
        <v>13</v>
      </c>
      <c r="E103" s="583">
        <v>13</v>
      </c>
      <c r="F103" s="67" t="s">
        <v>15</v>
      </c>
      <c r="G103" s="298" t="s">
        <v>290</v>
      </c>
      <c r="H103" s="66">
        <v>1.3</v>
      </c>
      <c r="I103" s="66">
        <v>0.85</v>
      </c>
      <c r="J103" s="66">
        <v>0.65</v>
      </c>
      <c r="K103" s="276">
        <v>1</v>
      </c>
      <c r="L103" s="277">
        <v>0.71825000000000006</v>
      </c>
      <c r="M103" s="280" t="s">
        <v>164</v>
      </c>
      <c r="N103" s="195"/>
      <c r="O103" s="196"/>
      <c r="P103" s="602">
        <v>4</v>
      </c>
      <c r="Q103" s="463"/>
    </row>
    <row r="104" spans="1:17" ht="15.75" customHeight="1" x14ac:dyDescent="0.2">
      <c r="A104" s="447"/>
      <c r="B104" s="194"/>
      <c r="C104" s="582" t="s">
        <v>30</v>
      </c>
      <c r="D104" s="67" t="s">
        <v>13</v>
      </c>
      <c r="E104" s="583">
        <v>13</v>
      </c>
      <c r="F104" s="67" t="s">
        <v>4</v>
      </c>
      <c r="G104" s="298" t="s">
        <v>292</v>
      </c>
      <c r="H104" s="66">
        <v>1.2</v>
      </c>
      <c r="I104" s="66">
        <v>0.9</v>
      </c>
      <c r="J104" s="66">
        <v>0.65</v>
      </c>
      <c r="K104" s="276">
        <v>1</v>
      </c>
      <c r="L104" s="277">
        <v>0.70200000000000007</v>
      </c>
      <c r="M104" s="280" t="s">
        <v>164</v>
      </c>
      <c r="N104" s="195"/>
      <c r="O104" s="196"/>
      <c r="P104" s="602"/>
      <c r="Q104" s="463"/>
    </row>
    <row r="105" spans="1:17" ht="15.75" customHeight="1" x14ac:dyDescent="0.55000000000000004">
      <c r="A105" s="447"/>
      <c r="B105" s="194"/>
      <c r="C105" s="582" t="s">
        <v>30</v>
      </c>
      <c r="D105" s="67" t="s">
        <v>13</v>
      </c>
      <c r="E105" s="583">
        <v>13</v>
      </c>
      <c r="F105" s="67" t="s">
        <v>15</v>
      </c>
      <c r="G105" s="298" t="s">
        <v>293</v>
      </c>
      <c r="H105" s="66">
        <v>1</v>
      </c>
      <c r="I105" s="66">
        <v>0.85</v>
      </c>
      <c r="J105" s="66">
        <v>0.6</v>
      </c>
      <c r="K105" s="276">
        <v>1</v>
      </c>
      <c r="L105" s="277">
        <v>0.51</v>
      </c>
      <c r="M105" s="280" t="s">
        <v>164</v>
      </c>
      <c r="N105" s="195"/>
      <c r="O105" s="196"/>
      <c r="P105" s="601"/>
      <c r="Q105" s="463"/>
    </row>
    <row r="106" spans="1:17" ht="15.75" customHeight="1" x14ac:dyDescent="0.55000000000000004">
      <c r="A106" s="447"/>
      <c r="B106" s="194"/>
      <c r="C106" s="582" t="s">
        <v>30</v>
      </c>
      <c r="D106" s="67" t="s">
        <v>13</v>
      </c>
      <c r="E106" s="583">
        <v>13</v>
      </c>
      <c r="F106" s="67" t="s">
        <v>15</v>
      </c>
      <c r="G106" s="298" t="s">
        <v>294</v>
      </c>
      <c r="H106" s="66">
        <v>0.7</v>
      </c>
      <c r="I106" s="66">
        <v>0.65</v>
      </c>
      <c r="J106" s="66">
        <v>0.6</v>
      </c>
      <c r="K106" s="276">
        <v>1</v>
      </c>
      <c r="L106" s="277">
        <v>0.27299999999999996</v>
      </c>
      <c r="M106" s="280" t="s">
        <v>164</v>
      </c>
      <c r="N106" s="195"/>
      <c r="O106" s="196"/>
      <c r="P106" s="601"/>
      <c r="Q106" s="463"/>
    </row>
    <row r="107" spans="1:17" ht="15.75" customHeight="1" x14ac:dyDescent="0.2">
      <c r="A107" s="447"/>
      <c r="B107" s="194"/>
      <c r="C107" s="582" t="s">
        <v>30</v>
      </c>
      <c r="D107" s="67" t="s">
        <v>13</v>
      </c>
      <c r="E107" s="583">
        <v>13</v>
      </c>
      <c r="F107" s="67" t="s">
        <v>15</v>
      </c>
      <c r="G107" s="298" t="s">
        <v>295</v>
      </c>
      <c r="H107" s="66">
        <v>0.8</v>
      </c>
      <c r="I107" s="66">
        <v>0.55000000000000004</v>
      </c>
      <c r="J107" s="66">
        <v>0.6</v>
      </c>
      <c r="K107" s="276">
        <v>1</v>
      </c>
      <c r="L107" s="277">
        <v>0.26400000000000001</v>
      </c>
      <c r="M107" s="280" t="s">
        <v>164</v>
      </c>
      <c r="N107" s="195"/>
      <c r="O107" s="196"/>
      <c r="P107" s="602"/>
      <c r="Q107" s="463"/>
    </row>
    <row r="108" spans="1:17" ht="15.75" customHeight="1" x14ac:dyDescent="0.55000000000000004">
      <c r="A108" s="447"/>
      <c r="B108" s="194"/>
      <c r="C108" s="582" t="s">
        <v>30</v>
      </c>
      <c r="D108" s="67" t="s">
        <v>13</v>
      </c>
      <c r="E108" s="583">
        <v>14</v>
      </c>
      <c r="F108" s="67" t="s">
        <v>15</v>
      </c>
      <c r="G108" s="298" t="s">
        <v>209</v>
      </c>
      <c r="H108" s="66">
        <v>1.1000000000000001</v>
      </c>
      <c r="I108" s="66">
        <v>1.1499999999999999</v>
      </c>
      <c r="J108" s="66">
        <v>0.6</v>
      </c>
      <c r="K108" s="276">
        <v>1</v>
      </c>
      <c r="L108" s="277">
        <v>0.7589999999999999</v>
      </c>
      <c r="M108" s="280" t="s">
        <v>164</v>
      </c>
      <c r="N108" s="195"/>
      <c r="O108" s="196"/>
      <c r="P108" s="601"/>
      <c r="Q108" s="463"/>
    </row>
    <row r="109" spans="1:17" ht="15.75" customHeight="1" x14ac:dyDescent="0.2">
      <c r="A109" s="447"/>
      <c r="B109" s="194"/>
      <c r="C109" s="582" t="s">
        <v>30</v>
      </c>
      <c r="D109" s="67" t="s">
        <v>13</v>
      </c>
      <c r="E109" s="583">
        <v>14</v>
      </c>
      <c r="F109" s="67" t="s">
        <v>15</v>
      </c>
      <c r="G109" s="298" t="s">
        <v>214</v>
      </c>
      <c r="H109" s="66">
        <v>1</v>
      </c>
      <c r="I109" s="66">
        <v>0.75</v>
      </c>
      <c r="J109" s="66">
        <v>0.6</v>
      </c>
      <c r="K109" s="276">
        <v>1</v>
      </c>
      <c r="L109" s="277">
        <v>0.44999999999999996</v>
      </c>
      <c r="M109" s="280" t="s">
        <v>164</v>
      </c>
      <c r="N109" s="195"/>
      <c r="O109" s="196"/>
      <c r="P109" s="602"/>
      <c r="Q109" s="463"/>
    </row>
    <row r="110" spans="1:17" ht="15.75" customHeight="1" x14ac:dyDescent="0.55000000000000004">
      <c r="A110" s="447"/>
      <c r="B110" s="194"/>
      <c r="C110" s="582" t="s">
        <v>30</v>
      </c>
      <c r="D110" s="67" t="s">
        <v>13</v>
      </c>
      <c r="E110" s="583">
        <v>14</v>
      </c>
      <c r="F110" s="67" t="s">
        <v>15</v>
      </c>
      <c r="G110" s="298" t="s">
        <v>215</v>
      </c>
      <c r="H110" s="66">
        <v>0.9</v>
      </c>
      <c r="I110" s="66">
        <v>0.55000000000000004</v>
      </c>
      <c r="J110" s="66">
        <v>0.6</v>
      </c>
      <c r="K110" s="276">
        <v>1</v>
      </c>
      <c r="L110" s="277">
        <v>0.29700000000000004</v>
      </c>
      <c r="M110" s="280" t="s">
        <v>164</v>
      </c>
      <c r="N110" s="195"/>
      <c r="O110" s="196"/>
      <c r="P110" s="601"/>
      <c r="Q110" s="463"/>
    </row>
    <row r="111" spans="1:17" ht="15.75" customHeight="1" x14ac:dyDescent="0.2">
      <c r="A111" s="447"/>
      <c r="B111" s="194"/>
      <c r="C111" s="582" t="s">
        <v>30</v>
      </c>
      <c r="D111" s="67" t="s">
        <v>13</v>
      </c>
      <c r="E111" s="583">
        <v>14</v>
      </c>
      <c r="F111" s="67" t="s">
        <v>15</v>
      </c>
      <c r="G111" s="298" t="s">
        <v>195</v>
      </c>
      <c r="H111" s="66">
        <v>1.4</v>
      </c>
      <c r="I111" s="66">
        <v>1.3</v>
      </c>
      <c r="J111" s="66">
        <v>0.6</v>
      </c>
      <c r="K111" s="276">
        <v>1</v>
      </c>
      <c r="L111" s="277">
        <v>1.0919999999999999</v>
      </c>
      <c r="M111" s="280" t="s">
        <v>164</v>
      </c>
      <c r="N111" s="195"/>
      <c r="O111" s="196"/>
      <c r="P111" s="602"/>
      <c r="Q111" s="463"/>
    </row>
    <row r="112" spans="1:17" ht="15.75" customHeight="1" x14ac:dyDescent="0.55000000000000004">
      <c r="A112" s="447"/>
      <c r="B112" s="194"/>
      <c r="C112" s="582" t="s">
        <v>30</v>
      </c>
      <c r="D112" s="67" t="s">
        <v>13</v>
      </c>
      <c r="E112" s="583">
        <v>14</v>
      </c>
      <c r="F112" s="67" t="s">
        <v>3</v>
      </c>
      <c r="G112" s="298" t="s">
        <v>220</v>
      </c>
      <c r="H112" s="66">
        <v>1.6</v>
      </c>
      <c r="I112" s="66">
        <v>0.86</v>
      </c>
      <c r="J112" s="66">
        <v>0.6</v>
      </c>
      <c r="K112" s="276">
        <v>1</v>
      </c>
      <c r="L112" s="277">
        <v>0.8256</v>
      </c>
      <c r="M112" s="280" t="s">
        <v>164</v>
      </c>
      <c r="N112" s="195"/>
      <c r="O112" s="196"/>
      <c r="P112" s="601"/>
      <c r="Q112" s="463"/>
    </row>
    <row r="113" spans="1:17" ht="15.75" customHeight="1" x14ac:dyDescent="0.2">
      <c r="A113" s="447"/>
      <c r="B113" s="194"/>
      <c r="C113" s="582" t="s">
        <v>30</v>
      </c>
      <c r="D113" s="67" t="s">
        <v>13</v>
      </c>
      <c r="E113" s="583">
        <v>14</v>
      </c>
      <c r="F113" s="67" t="s">
        <v>15</v>
      </c>
      <c r="G113" s="298" t="s">
        <v>223</v>
      </c>
      <c r="H113" s="66">
        <v>1.2</v>
      </c>
      <c r="I113" s="66">
        <v>0.85</v>
      </c>
      <c r="J113" s="66">
        <v>0.6</v>
      </c>
      <c r="K113" s="276">
        <v>1</v>
      </c>
      <c r="L113" s="277">
        <v>0.61199999999999999</v>
      </c>
      <c r="M113" s="280" t="s">
        <v>164</v>
      </c>
      <c r="N113" s="195"/>
      <c r="O113" s="196"/>
      <c r="P113" s="602"/>
      <c r="Q113" s="463"/>
    </row>
    <row r="114" spans="1:17" ht="15.75" customHeight="1" x14ac:dyDescent="0.2">
      <c r="A114" s="447"/>
      <c r="B114" s="194"/>
      <c r="C114" s="582" t="s">
        <v>30</v>
      </c>
      <c r="D114" s="67" t="s">
        <v>13</v>
      </c>
      <c r="E114" s="583">
        <v>13</v>
      </c>
      <c r="F114" s="67" t="s">
        <v>15</v>
      </c>
      <c r="G114" s="298" t="s">
        <v>296</v>
      </c>
      <c r="H114" s="66">
        <v>1.3</v>
      </c>
      <c r="I114" s="66">
        <v>1.2</v>
      </c>
      <c r="J114" s="66">
        <v>0.65</v>
      </c>
      <c r="K114" s="276">
        <v>1</v>
      </c>
      <c r="L114" s="277">
        <v>1.014</v>
      </c>
      <c r="M114" s="280" t="s">
        <v>164</v>
      </c>
      <c r="N114" s="195"/>
      <c r="O114" s="196"/>
      <c r="P114" s="602"/>
      <c r="Q114" s="463"/>
    </row>
    <row r="115" spans="1:17" ht="15.75" customHeight="1" x14ac:dyDescent="0.2">
      <c r="A115" s="447"/>
      <c r="B115" s="194"/>
      <c r="C115" s="582" t="s">
        <v>30</v>
      </c>
      <c r="D115" s="67" t="s">
        <v>13</v>
      </c>
      <c r="E115" s="583">
        <v>13</v>
      </c>
      <c r="F115" s="67" t="s">
        <v>15</v>
      </c>
      <c r="G115" s="298" t="s">
        <v>297</v>
      </c>
      <c r="H115" s="66">
        <v>1.2</v>
      </c>
      <c r="I115" s="66">
        <v>0.85</v>
      </c>
      <c r="J115" s="66">
        <v>0.6</v>
      </c>
      <c r="K115" s="276">
        <v>1</v>
      </c>
      <c r="L115" s="277">
        <v>0.61199999999999999</v>
      </c>
      <c r="M115" s="280" t="s">
        <v>164</v>
      </c>
      <c r="N115" s="195"/>
      <c r="O115" s="196"/>
      <c r="P115" s="602"/>
      <c r="Q115" s="463"/>
    </row>
    <row r="116" spans="1:17" ht="15.75" customHeight="1" x14ac:dyDescent="0.2">
      <c r="A116" s="447"/>
      <c r="B116" s="194"/>
      <c r="C116" s="582" t="s">
        <v>30</v>
      </c>
      <c r="D116" s="67" t="s">
        <v>13</v>
      </c>
      <c r="E116" s="583">
        <v>13</v>
      </c>
      <c r="F116" s="67" t="s">
        <v>15</v>
      </c>
      <c r="G116" s="298" t="s">
        <v>186</v>
      </c>
      <c r="H116" s="66">
        <v>1.2</v>
      </c>
      <c r="I116" s="66">
        <v>1.05</v>
      </c>
      <c r="J116" s="66">
        <v>0.6</v>
      </c>
      <c r="K116" s="276">
        <v>1</v>
      </c>
      <c r="L116" s="277">
        <v>0.75600000000000001</v>
      </c>
      <c r="M116" s="280" t="s">
        <v>164</v>
      </c>
      <c r="N116" s="195"/>
      <c r="O116" s="196"/>
      <c r="P116" s="602"/>
      <c r="Q116" s="463"/>
    </row>
    <row r="117" spans="1:17" ht="15.75" customHeight="1" x14ac:dyDescent="0.2">
      <c r="A117" s="447"/>
      <c r="B117" s="194"/>
      <c r="C117" s="582" t="s">
        <v>30</v>
      </c>
      <c r="D117" s="67" t="s">
        <v>13</v>
      </c>
      <c r="E117" s="583">
        <v>14</v>
      </c>
      <c r="F117" s="67" t="s">
        <v>15</v>
      </c>
      <c r="G117" s="298" t="s">
        <v>235</v>
      </c>
      <c r="H117" s="66">
        <v>0.9</v>
      </c>
      <c r="I117" s="66">
        <v>0.85</v>
      </c>
      <c r="J117" s="66">
        <v>0.6</v>
      </c>
      <c r="K117" s="276">
        <v>1</v>
      </c>
      <c r="L117" s="277">
        <v>0.45899999999999996</v>
      </c>
      <c r="M117" s="280" t="s">
        <v>164</v>
      </c>
      <c r="N117" s="195"/>
      <c r="O117" s="196"/>
      <c r="P117" s="602"/>
      <c r="Q117" s="463"/>
    </row>
    <row r="118" spans="1:17" ht="15.75" customHeight="1" x14ac:dyDescent="0.55000000000000004">
      <c r="A118" s="447"/>
      <c r="B118" s="194"/>
      <c r="C118" s="582" t="s">
        <v>30</v>
      </c>
      <c r="D118" s="67" t="s">
        <v>13</v>
      </c>
      <c r="E118" s="583">
        <v>14</v>
      </c>
      <c r="F118" s="67" t="s">
        <v>15</v>
      </c>
      <c r="G118" s="298" t="s">
        <v>299</v>
      </c>
      <c r="H118" s="66">
        <v>1.2</v>
      </c>
      <c r="I118" s="66">
        <v>1.1499999999999999</v>
      </c>
      <c r="J118" s="66">
        <v>0.6</v>
      </c>
      <c r="K118" s="276">
        <v>1</v>
      </c>
      <c r="L118" s="277">
        <v>0.82799999999999996</v>
      </c>
      <c r="M118" s="280" t="s">
        <v>164</v>
      </c>
      <c r="N118" s="195"/>
      <c r="O118" s="196"/>
      <c r="P118" s="601"/>
      <c r="Q118" s="463"/>
    </row>
    <row r="119" spans="1:17" ht="15.75" customHeight="1" x14ac:dyDescent="0.2">
      <c r="A119" s="447"/>
      <c r="B119" s="194"/>
      <c r="C119" s="582" t="s">
        <v>30</v>
      </c>
      <c r="D119" s="67" t="s">
        <v>13</v>
      </c>
      <c r="E119" s="583">
        <v>14</v>
      </c>
      <c r="F119" s="67" t="s">
        <v>15</v>
      </c>
      <c r="G119" s="298" t="s">
        <v>239</v>
      </c>
      <c r="H119" s="66">
        <v>0.9</v>
      </c>
      <c r="I119" s="66">
        <v>0.75</v>
      </c>
      <c r="J119" s="66">
        <v>0.6</v>
      </c>
      <c r="K119" s="276">
        <v>1</v>
      </c>
      <c r="L119" s="277">
        <v>0.40500000000000003</v>
      </c>
      <c r="M119" s="280" t="s">
        <v>164</v>
      </c>
      <c r="N119" s="195"/>
      <c r="O119" s="196"/>
      <c r="P119" s="602"/>
      <c r="Q119" s="463"/>
    </row>
    <row r="120" spans="1:17" ht="15.75" customHeight="1" x14ac:dyDescent="0.2">
      <c r="A120" s="447"/>
      <c r="B120" s="194"/>
      <c r="C120" s="582" t="s">
        <v>30</v>
      </c>
      <c r="D120" s="67" t="s">
        <v>13</v>
      </c>
      <c r="E120" s="583">
        <v>14</v>
      </c>
      <c r="F120" s="67" t="s">
        <v>15</v>
      </c>
      <c r="G120" s="298" t="s">
        <v>269</v>
      </c>
      <c r="H120" s="66">
        <v>0.9</v>
      </c>
      <c r="I120" s="66">
        <v>0.65</v>
      </c>
      <c r="J120" s="66">
        <v>0.6</v>
      </c>
      <c r="K120" s="276">
        <v>1</v>
      </c>
      <c r="L120" s="277">
        <v>0.35100000000000003</v>
      </c>
      <c r="M120" s="280" t="s">
        <v>164</v>
      </c>
      <c r="N120" s="195"/>
      <c r="O120" s="196"/>
      <c r="P120" s="602"/>
      <c r="Q120" s="463"/>
    </row>
    <row r="121" spans="1:17" ht="15.75" customHeight="1" x14ac:dyDescent="0.55000000000000004">
      <c r="A121" s="447"/>
      <c r="B121" s="194"/>
      <c r="C121" s="582" t="s">
        <v>30</v>
      </c>
      <c r="D121" s="67" t="s">
        <v>13</v>
      </c>
      <c r="E121" s="583">
        <v>14</v>
      </c>
      <c r="F121" s="67" t="s">
        <v>15</v>
      </c>
      <c r="G121" s="298" t="s">
        <v>300</v>
      </c>
      <c r="H121" s="66">
        <v>1.2</v>
      </c>
      <c r="I121" s="66">
        <v>1.25</v>
      </c>
      <c r="J121" s="66">
        <v>0.6</v>
      </c>
      <c r="K121" s="276">
        <v>1</v>
      </c>
      <c r="L121" s="277">
        <v>0.89999999999999991</v>
      </c>
      <c r="M121" s="280" t="s">
        <v>164</v>
      </c>
      <c r="N121" s="195"/>
      <c r="O121" s="196"/>
      <c r="P121" s="601"/>
      <c r="Q121" s="463"/>
    </row>
    <row r="122" spans="1:17" ht="15.75" customHeight="1" x14ac:dyDescent="0.2">
      <c r="A122" s="447"/>
      <c r="B122" s="194"/>
      <c r="C122" s="582" t="s">
        <v>30</v>
      </c>
      <c r="D122" s="67" t="s">
        <v>13</v>
      </c>
      <c r="E122" s="583">
        <v>14</v>
      </c>
      <c r="F122" s="67" t="s">
        <v>15</v>
      </c>
      <c r="G122" s="298" t="s">
        <v>240</v>
      </c>
      <c r="H122" s="66">
        <v>1.4</v>
      </c>
      <c r="I122" s="66">
        <v>1.1499999999999999</v>
      </c>
      <c r="J122" s="66">
        <v>0.6</v>
      </c>
      <c r="K122" s="276">
        <v>1</v>
      </c>
      <c r="L122" s="277">
        <v>0.96599999999999986</v>
      </c>
      <c r="M122" s="280" t="s">
        <v>164</v>
      </c>
      <c r="N122" s="195"/>
      <c r="O122" s="196"/>
      <c r="P122" s="602"/>
      <c r="Q122" s="463"/>
    </row>
    <row r="123" spans="1:17" ht="15.75" customHeight="1" x14ac:dyDescent="0.55000000000000004">
      <c r="A123" s="447"/>
      <c r="B123" s="194"/>
      <c r="C123" s="582" t="s">
        <v>30</v>
      </c>
      <c r="D123" s="67" t="s">
        <v>13</v>
      </c>
      <c r="E123" s="583">
        <v>14</v>
      </c>
      <c r="F123" s="67" t="s">
        <v>15</v>
      </c>
      <c r="G123" s="298" t="s">
        <v>301</v>
      </c>
      <c r="H123" s="66">
        <v>1.2</v>
      </c>
      <c r="I123" s="66">
        <v>0.85</v>
      </c>
      <c r="J123" s="66">
        <v>0.6</v>
      </c>
      <c r="K123" s="276">
        <v>1</v>
      </c>
      <c r="L123" s="277">
        <v>0.61199999999999999</v>
      </c>
      <c r="M123" s="280" t="s">
        <v>164</v>
      </c>
      <c r="N123" s="195"/>
      <c r="O123" s="196"/>
      <c r="P123" s="601"/>
      <c r="Q123" s="463"/>
    </row>
    <row r="124" spans="1:17" ht="15.75" customHeight="1" x14ac:dyDescent="0.55000000000000004">
      <c r="A124" s="447"/>
      <c r="B124" s="194"/>
      <c r="C124" s="582" t="s">
        <v>30</v>
      </c>
      <c r="D124" s="67" t="s">
        <v>13</v>
      </c>
      <c r="E124" s="583">
        <v>14</v>
      </c>
      <c r="F124" s="67" t="s">
        <v>3</v>
      </c>
      <c r="G124" s="298" t="s">
        <v>224</v>
      </c>
      <c r="H124" s="66">
        <v>0.9</v>
      </c>
      <c r="I124" s="66">
        <v>1.2</v>
      </c>
      <c r="J124" s="66">
        <v>0.65</v>
      </c>
      <c r="K124" s="276">
        <v>1</v>
      </c>
      <c r="L124" s="277">
        <v>0.70200000000000007</v>
      </c>
      <c r="M124" s="280" t="s">
        <v>164</v>
      </c>
      <c r="N124" s="195"/>
      <c r="O124" s="196"/>
      <c r="P124" s="601"/>
      <c r="Q124" s="463"/>
    </row>
    <row r="125" spans="1:17" ht="15.75" customHeight="1" x14ac:dyDescent="0.2">
      <c r="A125" s="447"/>
      <c r="B125" s="194"/>
      <c r="C125" s="582" t="s">
        <v>30</v>
      </c>
      <c r="D125" s="67" t="s">
        <v>13</v>
      </c>
      <c r="E125" s="583">
        <v>14</v>
      </c>
      <c r="F125" s="67" t="s">
        <v>15</v>
      </c>
      <c r="G125" s="298" t="s">
        <v>226</v>
      </c>
      <c r="H125" s="66">
        <v>1.4</v>
      </c>
      <c r="I125" s="66">
        <v>1.1499999999999999</v>
      </c>
      <c r="J125" s="66">
        <v>0.6</v>
      </c>
      <c r="K125" s="276">
        <v>1</v>
      </c>
      <c r="L125" s="277">
        <v>0.96599999999999986</v>
      </c>
      <c r="M125" s="280" t="s">
        <v>164</v>
      </c>
      <c r="N125" s="195"/>
      <c r="O125" s="196"/>
      <c r="P125" s="602"/>
      <c r="Q125" s="463"/>
    </row>
    <row r="126" spans="1:17" ht="15.75" customHeight="1" x14ac:dyDescent="0.55000000000000004">
      <c r="A126" s="447"/>
      <c r="B126" s="194"/>
      <c r="C126" s="582" t="s">
        <v>30</v>
      </c>
      <c r="D126" s="67" t="s">
        <v>13</v>
      </c>
      <c r="E126" s="583">
        <v>14</v>
      </c>
      <c r="F126" s="67" t="s">
        <v>15</v>
      </c>
      <c r="G126" s="298" t="s">
        <v>227</v>
      </c>
      <c r="H126" s="66">
        <v>1.2</v>
      </c>
      <c r="I126" s="66">
        <v>0.65</v>
      </c>
      <c r="J126" s="66">
        <v>0.6</v>
      </c>
      <c r="K126" s="276">
        <v>1</v>
      </c>
      <c r="L126" s="277">
        <v>0.46799999999999997</v>
      </c>
      <c r="M126" s="280" t="s">
        <v>164</v>
      </c>
      <c r="N126" s="195"/>
      <c r="O126" s="196"/>
      <c r="P126" s="601"/>
      <c r="Q126" s="463"/>
    </row>
    <row r="127" spans="1:17" ht="15.75" customHeight="1" x14ac:dyDescent="0.55000000000000004">
      <c r="A127" s="447"/>
      <c r="B127" s="194"/>
      <c r="C127" s="582" t="s">
        <v>30</v>
      </c>
      <c r="D127" s="67" t="s">
        <v>13</v>
      </c>
      <c r="E127" s="583">
        <v>14</v>
      </c>
      <c r="F127" s="67" t="s">
        <v>15</v>
      </c>
      <c r="G127" s="298" t="s">
        <v>241</v>
      </c>
      <c r="H127" s="66">
        <v>0.8</v>
      </c>
      <c r="I127" s="66">
        <v>0.65</v>
      </c>
      <c r="J127" s="66">
        <v>0.6</v>
      </c>
      <c r="K127" s="276">
        <v>1</v>
      </c>
      <c r="L127" s="277">
        <v>0.312</v>
      </c>
      <c r="M127" s="280" t="s">
        <v>164</v>
      </c>
      <c r="N127" s="195"/>
      <c r="O127" s="196"/>
      <c r="P127" s="601"/>
      <c r="Q127" s="463"/>
    </row>
    <row r="128" spans="1:17" ht="15.75" customHeight="1" x14ac:dyDescent="0.55000000000000004">
      <c r="A128" s="447"/>
      <c r="B128" s="194"/>
      <c r="C128" s="582" t="s">
        <v>30</v>
      </c>
      <c r="D128" s="67" t="s">
        <v>13</v>
      </c>
      <c r="E128" s="583">
        <v>14</v>
      </c>
      <c r="F128" s="67" t="s">
        <v>15</v>
      </c>
      <c r="G128" s="298" t="s">
        <v>228</v>
      </c>
      <c r="H128" s="66">
        <v>1.2</v>
      </c>
      <c r="I128" s="66">
        <v>0.55000000000000004</v>
      </c>
      <c r="J128" s="66">
        <v>0.6</v>
      </c>
      <c r="K128" s="276">
        <v>1</v>
      </c>
      <c r="L128" s="277">
        <v>0.39600000000000002</v>
      </c>
      <c r="M128" s="280" t="s">
        <v>164</v>
      </c>
      <c r="N128" s="195"/>
      <c r="O128" s="196"/>
      <c r="P128" s="601"/>
      <c r="Q128" s="463"/>
    </row>
    <row r="129" spans="1:17" ht="15.75" customHeight="1" x14ac:dyDescent="0.55000000000000004">
      <c r="A129" s="447"/>
      <c r="B129" s="194"/>
      <c r="C129" s="582" t="s">
        <v>30</v>
      </c>
      <c r="D129" s="67" t="s">
        <v>13</v>
      </c>
      <c r="E129" s="583">
        <v>14</v>
      </c>
      <c r="F129" s="67" t="s">
        <v>15</v>
      </c>
      <c r="G129" s="298" t="s">
        <v>229</v>
      </c>
      <c r="H129" s="66">
        <v>1.2</v>
      </c>
      <c r="I129" s="66">
        <v>0.65</v>
      </c>
      <c r="J129" s="66">
        <v>0.6</v>
      </c>
      <c r="K129" s="276">
        <v>1</v>
      </c>
      <c r="L129" s="277">
        <v>0.46799999999999997</v>
      </c>
      <c r="M129" s="280" t="s">
        <v>164</v>
      </c>
      <c r="N129" s="195"/>
      <c r="O129" s="196"/>
      <c r="P129" s="601"/>
      <c r="Q129" s="463"/>
    </row>
    <row r="130" spans="1:17" ht="15.75" customHeight="1" x14ac:dyDescent="0.55000000000000004">
      <c r="A130" s="447"/>
      <c r="B130" s="194"/>
      <c r="C130" s="582" t="s">
        <v>30</v>
      </c>
      <c r="D130" s="67" t="s">
        <v>13</v>
      </c>
      <c r="E130" s="583">
        <v>14</v>
      </c>
      <c r="F130" s="67" t="s">
        <v>4</v>
      </c>
      <c r="G130" s="298" t="s">
        <v>302</v>
      </c>
      <c r="H130" s="66">
        <v>1.3</v>
      </c>
      <c r="I130" s="66">
        <v>1.1499999999999999</v>
      </c>
      <c r="J130" s="66">
        <v>0.6</v>
      </c>
      <c r="K130" s="276">
        <v>1</v>
      </c>
      <c r="L130" s="277">
        <v>0.89699999999999991</v>
      </c>
      <c r="M130" s="280" t="s">
        <v>164</v>
      </c>
      <c r="N130" s="195"/>
      <c r="O130" s="196"/>
      <c r="P130" s="601"/>
      <c r="Q130" s="463"/>
    </row>
    <row r="131" spans="1:17" ht="15.75" customHeight="1" x14ac:dyDescent="0.2">
      <c r="A131" s="447"/>
      <c r="B131" s="194"/>
      <c r="C131" s="582" t="s">
        <v>30</v>
      </c>
      <c r="D131" s="67" t="s">
        <v>13</v>
      </c>
      <c r="E131" s="583">
        <v>14</v>
      </c>
      <c r="F131" s="67" t="s">
        <v>15</v>
      </c>
      <c r="G131" s="298" t="s">
        <v>253</v>
      </c>
      <c r="H131" s="66">
        <v>1.1000000000000001</v>
      </c>
      <c r="I131" s="66">
        <v>0.95</v>
      </c>
      <c r="J131" s="66">
        <v>0.6</v>
      </c>
      <c r="K131" s="276">
        <v>1</v>
      </c>
      <c r="L131" s="277">
        <v>0.62699999999999989</v>
      </c>
      <c r="M131" s="280" t="s">
        <v>164</v>
      </c>
      <c r="N131" s="195"/>
      <c r="O131" s="196"/>
      <c r="P131" s="602"/>
      <c r="Q131" s="463"/>
    </row>
    <row r="132" spans="1:17" ht="15.75" customHeight="1" x14ac:dyDescent="0.2">
      <c r="A132" s="447"/>
      <c r="B132" s="194"/>
      <c r="C132" s="582" t="s">
        <v>30</v>
      </c>
      <c r="D132" s="67" t="s">
        <v>13</v>
      </c>
      <c r="E132" s="583">
        <v>14</v>
      </c>
      <c r="F132" s="67" t="s">
        <v>15</v>
      </c>
      <c r="G132" s="298" t="s">
        <v>247</v>
      </c>
      <c r="H132" s="66">
        <v>1.2</v>
      </c>
      <c r="I132" s="66">
        <v>1.25</v>
      </c>
      <c r="J132" s="66">
        <v>0.6</v>
      </c>
      <c r="K132" s="276">
        <v>1</v>
      </c>
      <c r="L132" s="277">
        <v>0.89999999999999991</v>
      </c>
      <c r="M132" s="280" t="s">
        <v>164</v>
      </c>
      <c r="N132" s="195"/>
      <c r="O132" s="196"/>
      <c r="P132" s="602"/>
      <c r="Q132" s="463"/>
    </row>
    <row r="133" spans="1:17" ht="15.75" customHeight="1" x14ac:dyDescent="0.55000000000000004">
      <c r="A133" s="447"/>
      <c r="B133" s="194"/>
      <c r="C133" s="582" t="s">
        <v>30</v>
      </c>
      <c r="D133" s="67" t="s">
        <v>13</v>
      </c>
      <c r="E133" s="583">
        <v>14</v>
      </c>
      <c r="F133" s="67" t="s">
        <v>15</v>
      </c>
      <c r="G133" s="298" t="s">
        <v>248</v>
      </c>
      <c r="H133" s="66">
        <v>1.2</v>
      </c>
      <c r="I133" s="66">
        <v>1.05</v>
      </c>
      <c r="J133" s="66">
        <v>0.5</v>
      </c>
      <c r="K133" s="276">
        <v>1</v>
      </c>
      <c r="L133" s="277">
        <v>0.63</v>
      </c>
      <c r="M133" s="280" t="s">
        <v>164</v>
      </c>
      <c r="N133" s="195"/>
      <c r="O133" s="196"/>
      <c r="P133" s="601"/>
      <c r="Q133" s="463"/>
    </row>
    <row r="134" spans="1:17" ht="15.75" customHeight="1" x14ac:dyDescent="0.55000000000000004">
      <c r="A134" s="447"/>
      <c r="B134" s="194"/>
      <c r="C134" s="582" t="s">
        <v>30</v>
      </c>
      <c r="D134" s="67" t="s">
        <v>13</v>
      </c>
      <c r="E134" s="583">
        <v>14</v>
      </c>
      <c r="F134" s="67" t="s">
        <v>15</v>
      </c>
      <c r="G134" s="298" t="s">
        <v>279</v>
      </c>
      <c r="H134" s="66">
        <v>1.1000000000000001</v>
      </c>
      <c r="I134" s="66">
        <v>0.95</v>
      </c>
      <c r="J134" s="66">
        <v>0.6</v>
      </c>
      <c r="K134" s="276">
        <v>1</v>
      </c>
      <c r="L134" s="277">
        <v>0.62699999999999989</v>
      </c>
      <c r="M134" s="280" t="s">
        <v>164</v>
      </c>
      <c r="N134" s="195"/>
      <c r="O134" s="196"/>
      <c r="P134" s="601"/>
      <c r="Q134" s="463"/>
    </row>
    <row r="135" spans="1:17" ht="15.75" customHeight="1" x14ac:dyDescent="0.2">
      <c r="A135" s="447"/>
      <c r="B135" s="194"/>
      <c r="C135" s="582" t="s">
        <v>30</v>
      </c>
      <c r="D135" s="67" t="s">
        <v>13</v>
      </c>
      <c r="E135" s="583">
        <v>14</v>
      </c>
      <c r="F135" s="67" t="s">
        <v>15</v>
      </c>
      <c r="G135" s="298" t="s">
        <v>303</v>
      </c>
      <c r="H135" s="66">
        <v>1.2</v>
      </c>
      <c r="I135" s="66">
        <v>0.75</v>
      </c>
      <c r="J135" s="66">
        <v>0.6</v>
      </c>
      <c r="K135" s="276">
        <v>1</v>
      </c>
      <c r="L135" s="277">
        <v>0.53999999999999992</v>
      </c>
      <c r="M135" s="280" t="s">
        <v>164</v>
      </c>
      <c r="N135" s="195"/>
      <c r="O135" s="196"/>
      <c r="P135" s="602"/>
      <c r="Q135" s="463"/>
    </row>
    <row r="136" spans="1:17" ht="15.75" customHeight="1" x14ac:dyDescent="0.55000000000000004">
      <c r="A136" s="447"/>
      <c r="B136" s="194"/>
      <c r="C136" s="582" t="s">
        <v>30</v>
      </c>
      <c r="D136" s="67" t="s">
        <v>13</v>
      </c>
      <c r="E136" s="583">
        <v>14</v>
      </c>
      <c r="F136" s="67" t="s">
        <v>15</v>
      </c>
      <c r="G136" s="298" t="s">
        <v>281</v>
      </c>
      <c r="H136" s="66">
        <v>1.4</v>
      </c>
      <c r="I136" s="66">
        <v>1.25</v>
      </c>
      <c r="J136" s="66">
        <v>0.6</v>
      </c>
      <c r="K136" s="276">
        <v>1</v>
      </c>
      <c r="L136" s="277">
        <v>1.05</v>
      </c>
      <c r="M136" s="280" t="s">
        <v>164</v>
      </c>
      <c r="N136" s="195"/>
      <c r="O136" s="196"/>
      <c r="P136" s="601"/>
      <c r="Q136" s="463"/>
    </row>
    <row r="137" spans="1:17" ht="15.75" customHeight="1" x14ac:dyDescent="0.55000000000000004">
      <c r="A137" s="447"/>
      <c r="B137" s="194"/>
      <c r="C137" s="582" t="s">
        <v>30</v>
      </c>
      <c r="D137" s="67" t="s">
        <v>13</v>
      </c>
      <c r="E137" s="583">
        <v>14</v>
      </c>
      <c r="F137" s="67" t="s">
        <v>15</v>
      </c>
      <c r="G137" s="298" t="s">
        <v>304</v>
      </c>
      <c r="H137" s="66">
        <v>1.2</v>
      </c>
      <c r="I137" s="66">
        <v>1.25</v>
      </c>
      <c r="J137" s="66">
        <v>0.6</v>
      </c>
      <c r="K137" s="276">
        <v>1</v>
      </c>
      <c r="L137" s="277">
        <v>0.89999999999999991</v>
      </c>
      <c r="M137" s="280" t="s">
        <v>164</v>
      </c>
      <c r="N137" s="195"/>
      <c r="O137" s="196"/>
      <c r="P137" s="601"/>
      <c r="Q137" s="463"/>
    </row>
    <row r="138" spans="1:17" ht="15.75" customHeight="1" x14ac:dyDescent="0.55000000000000004">
      <c r="A138" s="447"/>
      <c r="B138" s="194"/>
      <c r="C138" s="582" t="s">
        <v>30</v>
      </c>
      <c r="D138" s="67" t="s">
        <v>13</v>
      </c>
      <c r="E138" s="583">
        <v>14</v>
      </c>
      <c r="F138" s="67" t="s">
        <v>15</v>
      </c>
      <c r="G138" s="298" t="s">
        <v>261</v>
      </c>
      <c r="H138" s="66">
        <v>1.2</v>
      </c>
      <c r="I138" s="66">
        <v>1.25</v>
      </c>
      <c r="J138" s="66">
        <v>0.6</v>
      </c>
      <c r="K138" s="276">
        <v>1</v>
      </c>
      <c r="L138" s="277">
        <v>0.89999999999999991</v>
      </c>
      <c r="M138" s="280" t="s">
        <v>164</v>
      </c>
      <c r="N138" s="195"/>
      <c r="O138" s="196"/>
      <c r="P138" s="601"/>
      <c r="Q138" s="463"/>
    </row>
    <row r="139" spans="1:17" ht="15.75" customHeight="1" x14ac:dyDescent="0.55000000000000004">
      <c r="A139" s="447"/>
      <c r="B139" s="194"/>
      <c r="C139" s="582" t="s">
        <v>30</v>
      </c>
      <c r="D139" s="67" t="s">
        <v>13</v>
      </c>
      <c r="E139" s="583">
        <v>14</v>
      </c>
      <c r="F139" s="67" t="s">
        <v>15</v>
      </c>
      <c r="G139" s="298" t="s">
        <v>286</v>
      </c>
      <c r="H139" s="66">
        <v>1.3</v>
      </c>
      <c r="I139" s="66">
        <v>1.05</v>
      </c>
      <c r="J139" s="66">
        <v>0.6</v>
      </c>
      <c r="K139" s="276">
        <v>1</v>
      </c>
      <c r="L139" s="277">
        <v>0.81900000000000006</v>
      </c>
      <c r="M139" s="280" t="s">
        <v>164</v>
      </c>
      <c r="N139" s="195"/>
      <c r="O139" s="196"/>
      <c r="P139" s="601"/>
      <c r="Q139" s="463"/>
    </row>
    <row r="140" spans="1:17" ht="15.75" customHeight="1" x14ac:dyDescent="0.55000000000000004">
      <c r="A140" s="447"/>
      <c r="B140" s="194"/>
      <c r="C140" s="582" t="s">
        <v>30</v>
      </c>
      <c r="D140" s="67" t="s">
        <v>13</v>
      </c>
      <c r="E140" s="583">
        <v>14</v>
      </c>
      <c r="F140" s="67" t="s">
        <v>15</v>
      </c>
      <c r="G140" s="298" t="s">
        <v>305</v>
      </c>
      <c r="H140" s="66">
        <v>1.1000000000000001</v>
      </c>
      <c r="I140" s="66">
        <v>1.05</v>
      </c>
      <c r="J140" s="66">
        <v>0.6</v>
      </c>
      <c r="K140" s="276">
        <v>1</v>
      </c>
      <c r="L140" s="277">
        <v>0.69300000000000017</v>
      </c>
      <c r="M140" s="280" t="s">
        <v>164</v>
      </c>
      <c r="N140" s="195"/>
      <c r="O140" s="196"/>
      <c r="P140" s="601"/>
      <c r="Q140" s="463"/>
    </row>
    <row r="141" spans="1:17" ht="15.75" customHeight="1" x14ac:dyDescent="0.2">
      <c r="A141" s="447"/>
      <c r="B141" s="194"/>
      <c r="C141" s="582" t="s">
        <v>30</v>
      </c>
      <c r="D141" s="67" t="s">
        <v>13</v>
      </c>
      <c r="E141" s="583">
        <v>14</v>
      </c>
      <c r="F141" s="67" t="s">
        <v>15</v>
      </c>
      <c r="G141" s="298" t="s">
        <v>306</v>
      </c>
      <c r="H141" s="66">
        <v>1.3</v>
      </c>
      <c r="I141" s="66">
        <v>0.65</v>
      </c>
      <c r="J141" s="66">
        <v>0.6</v>
      </c>
      <c r="K141" s="276">
        <v>1</v>
      </c>
      <c r="L141" s="277">
        <v>0.50700000000000001</v>
      </c>
      <c r="M141" s="280" t="s">
        <v>164</v>
      </c>
      <c r="N141" s="195"/>
      <c r="O141" s="196"/>
      <c r="P141" s="602"/>
      <c r="Q141" s="463"/>
    </row>
    <row r="142" spans="1:17" ht="15.75" customHeight="1" x14ac:dyDescent="0.55000000000000004">
      <c r="A142" s="447"/>
      <c r="B142" s="194"/>
      <c r="C142" s="582" t="s">
        <v>30</v>
      </c>
      <c r="D142" s="67" t="s">
        <v>13</v>
      </c>
      <c r="E142" s="583">
        <v>14</v>
      </c>
      <c r="F142" s="67" t="s">
        <v>15</v>
      </c>
      <c r="G142" s="298" t="s">
        <v>307</v>
      </c>
      <c r="H142" s="66">
        <v>1</v>
      </c>
      <c r="I142" s="66">
        <v>0.55000000000000004</v>
      </c>
      <c r="J142" s="66">
        <v>0.6</v>
      </c>
      <c r="K142" s="276">
        <v>1</v>
      </c>
      <c r="L142" s="277">
        <v>0.33</v>
      </c>
      <c r="M142" s="280" t="s">
        <v>164</v>
      </c>
      <c r="N142" s="195"/>
      <c r="O142" s="196"/>
      <c r="P142" s="601"/>
      <c r="Q142" s="463"/>
    </row>
    <row r="143" spans="1:17" ht="15.75" customHeight="1" x14ac:dyDescent="0.2">
      <c r="A143" s="447"/>
      <c r="B143" s="194"/>
      <c r="C143" s="582" t="s">
        <v>30</v>
      </c>
      <c r="D143" s="67" t="s">
        <v>13</v>
      </c>
      <c r="E143" s="583">
        <v>14</v>
      </c>
      <c r="F143" s="67" t="s">
        <v>15</v>
      </c>
      <c r="G143" s="298" t="s">
        <v>264</v>
      </c>
      <c r="H143" s="66">
        <v>0.9</v>
      </c>
      <c r="I143" s="66">
        <v>0.65</v>
      </c>
      <c r="J143" s="66">
        <v>0.6</v>
      </c>
      <c r="K143" s="276">
        <v>1</v>
      </c>
      <c r="L143" s="277">
        <v>0.35100000000000003</v>
      </c>
      <c r="M143" s="280" t="s">
        <v>164</v>
      </c>
      <c r="N143" s="195"/>
      <c r="O143" s="196"/>
      <c r="P143" s="602"/>
      <c r="Q143" s="463"/>
    </row>
    <row r="144" spans="1:17" ht="15.75" customHeight="1" x14ac:dyDescent="0.55000000000000004">
      <c r="A144" s="447"/>
      <c r="B144" s="194"/>
      <c r="C144" s="582" t="s">
        <v>30</v>
      </c>
      <c r="D144" s="67" t="s">
        <v>13</v>
      </c>
      <c r="E144" s="583">
        <v>14</v>
      </c>
      <c r="F144" s="67" t="s">
        <v>15</v>
      </c>
      <c r="G144" s="298" t="s">
        <v>289</v>
      </c>
      <c r="H144" s="66">
        <v>1.2</v>
      </c>
      <c r="I144" s="66">
        <v>0.95</v>
      </c>
      <c r="J144" s="66">
        <v>0.6</v>
      </c>
      <c r="K144" s="276">
        <v>1</v>
      </c>
      <c r="L144" s="277">
        <v>0.68399999999999994</v>
      </c>
      <c r="M144" s="280" t="s">
        <v>164</v>
      </c>
      <c r="N144" s="195"/>
      <c r="O144" s="196"/>
      <c r="P144" s="601"/>
      <c r="Q144" s="463"/>
    </row>
    <row r="145" spans="1:17" ht="15.75" customHeight="1" x14ac:dyDescent="0.55000000000000004">
      <c r="A145" s="447"/>
      <c r="B145" s="194"/>
      <c r="C145" s="582" t="s">
        <v>30</v>
      </c>
      <c r="D145" s="67" t="s">
        <v>13</v>
      </c>
      <c r="E145" s="583">
        <v>14</v>
      </c>
      <c r="F145" s="67" t="s">
        <v>15</v>
      </c>
      <c r="G145" s="298" t="s">
        <v>308</v>
      </c>
      <c r="H145" s="66">
        <v>1.1000000000000001</v>
      </c>
      <c r="I145" s="66">
        <v>0.85</v>
      </c>
      <c r="J145" s="66">
        <v>0.6</v>
      </c>
      <c r="K145" s="276">
        <v>1</v>
      </c>
      <c r="L145" s="277">
        <v>0.56100000000000005</v>
      </c>
      <c r="M145" s="280" t="s">
        <v>164</v>
      </c>
      <c r="N145" s="195"/>
      <c r="O145" s="196"/>
      <c r="P145" s="601"/>
      <c r="Q145" s="463"/>
    </row>
    <row r="146" spans="1:17" ht="15.75" customHeight="1" x14ac:dyDescent="0.55000000000000004">
      <c r="A146" s="447"/>
      <c r="B146" s="194"/>
      <c r="C146" s="582" t="s">
        <v>30</v>
      </c>
      <c r="D146" s="67" t="s">
        <v>13</v>
      </c>
      <c r="E146" s="583">
        <v>14</v>
      </c>
      <c r="F146" s="67" t="s">
        <v>15</v>
      </c>
      <c r="G146" s="298" t="s">
        <v>290</v>
      </c>
      <c r="H146" s="66">
        <v>1.2</v>
      </c>
      <c r="I146" s="66">
        <v>1.05</v>
      </c>
      <c r="J146" s="66">
        <v>0.6</v>
      </c>
      <c r="K146" s="276">
        <v>1</v>
      </c>
      <c r="L146" s="277">
        <v>0.75600000000000001</v>
      </c>
      <c r="M146" s="280" t="s">
        <v>164</v>
      </c>
      <c r="N146" s="195"/>
      <c r="O146" s="196"/>
      <c r="P146" s="601"/>
      <c r="Q146" s="463"/>
    </row>
    <row r="147" spans="1:17" ht="15.75" customHeight="1" x14ac:dyDescent="0.2">
      <c r="A147" s="447"/>
      <c r="B147" s="194"/>
      <c r="C147" s="582" t="s">
        <v>30</v>
      </c>
      <c r="D147" s="67" t="s">
        <v>13</v>
      </c>
      <c r="E147" s="583">
        <v>14</v>
      </c>
      <c r="F147" s="67" t="s">
        <v>15</v>
      </c>
      <c r="G147" s="298" t="s">
        <v>309</v>
      </c>
      <c r="H147" s="66">
        <v>1</v>
      </c>
      <c r="I147" s="66">
        <v>0.9</v>
      </c>
      <c r="J147" s="66">
        <v>0.85</v>
      </c>
      <c r="K147" s="276">
        <v>1</v>
      </c>
      <c r="L147" s="277">
        <v>0.76500000000000001</v>
      </c>
      <c r="M147" s="280" t="s">
        <v>164</v>
      </c>
      <c r="N147" s="195"/>
      <c r="O147" s="196"/>
      <c r="P147" s="602"/>
      <c r="Q147" s="463"/>
    </row>
    <row r="148" spans="1:17" ht="15.75" customHeight="1" x14ac:dyDescent="0.55000000000000004">
      <c r="A148" s="447"/>
      <c r="B148" s="194"/>
      <c r="C148" s="582" t="s">
        <v>30</v>
      </c>
      <c r="D148" s="67" t="s">
        <v>13</v>
      </c>
      <c r="E148" s="583">
        <v>14</v>
      </c>
      <c r="F148" s="67" t="s">
        <v>15</v>
      </c>
      <c r="G148" s="298" t="s">
        <v>310</v>
      </c>
      <c r="H148" s="66">
        <v>1.2</v>
      </c>
      <c r="I148" s="66">
        <v>0.55000000000000004</v>
      </c>
      <c r="J148" s="66">
        <v>0.6</v>
      </c>
      <c r="K148" s="276">
        <v>1</v>
      </c>
      <c r="L148" s="277">
        <v>0.39600000000000002</v>
      </c>
      <c r="M148" s="280" t="s">
        <v>164</v>
      </c>
      <c r="N148" s="195"/>
      <c r="O148" s="196"/>
      <c r="P148" s="601"/>
      <c r="Q148" s="463"/>
    </row>
    <row r="149" spans="1:17" ht="15.75" customHeight="1" x14ac:dyDescent="0.55000000000000004">
      <c r="A149" s="447"/>
      <c r="B149" s="194"/>
      <c r="C149" s="582" t="s">
        <v>30</v>
      </c>
      <c r="D149" s="67" t="s">
        <v>13</v>
      </c>
      <c r="E149" s="583">
        <v>14</v>
      </c>
      <c r="F149" s="67" t="s">
        <v>15</v>
      </c>
      <c r="G149" s="298" t="s">
        <v>311</v>
      </c>
      <c r="H149" s="66">
        <v>1.2</v>
      </c>
      <c r="I149" s="66">
        <v>0.95</v>
      </c>
      <c r="J149" s="66">
        <v>0.6</v>
      </c>
      <c r="K149" s="276">
        <v>1</v>
      </c>
      <c r="L149" s="277">
        <v>0.68399999999999994</v>
      </c>
      <c r="M149" s="280" t="s">
        <v>164</v>
      </c>
      <c r="N149" s="195"/>
      <c r="O149" s="196"/>
      <c r="P149" s="601"/>
      <c r="Q149" s="463"/>
    </row>
    <row r="150" spans="1:17" ht="15.75" customHeight="1" x14ac:dyDescent="0.2">
      <c r="A150" s="447"/>
      <c r="B150" s="194"/>
      <c r="C150" s="582" t="s">
        <v>30</v>
      </c>
      <c r="D150" s="67" t="s">
        <v>13</v>
      </c>
      <c r="E150" s="583">
        <v>14</v>
      </c>
      <c r="F150" s="67" t="s">
        <v>15</v>
      </c>
      <c r="G150" s="298" t="s">
        <v>312</v>
      </c>
      <c r="H150" s="66">
        <v>1.1000000000000001</v>
      </c>
      <c r="I150" s="66">
        <v>0.55000000000000004</v>
      </c>
      <c r="J150" s="66">
        <v>0.6</v>
      </c>
      <c r="K150" s="276">
        <v>1</v>
      </c>
      <c r="L150" s="277">
        <v>0.36300000000000004</v>
      </c>
      <c r="M150" s="280" t="s">
        <v>164</v>
      </c>
      <c r="N150" s="195"/>
      <c r="O150" s="196"/>
      <c r="P150" s="602"/>
      <c r="Q150" s="463"/>
    </row>
    <row r="151" spans="1:17" ht="15.75" customHeight="1" x14ac:dyDescent="0.55000000000000004">
      <c r="A151" s="447"/>
      <c r="B151" s="194"/>
      <c r="C151" s="582" t="s">
        <v>30</v>
      </c>
      <c r="D151" s="67" t="s">
        <v>13</v>
      </c>
      <c r="E151" s="583">
        <v>14</v>
      </c>
      <c r="F151" s="67" t="s">
        <v>15</v>
      </c>
      <c r="G151" s="298" t="s">
        <v>313</v>
      </c>
      <c r="H151" s="66">
        <v>1.3</v>
      </c>
      <c r="I151" s="66">
        <v>1.05</v>
      </c>
      <c r="J151" s="66">
        <v>0.6</v>
      </c>
      <c r="K151" s="276">
        <v>1</v>
      </c>
      <c r="L151" s="277">
        <v>0.81900000000000006</v>
      </c>
      <c r="M151" s="280" t="s">
        <v>164</v>
      </c>
      <c r="N151" s="195"/>
      <c r="O151" s="196"/>
      <c r="P151" s="601"/>
      <c r="Q151" s="463"/>
    </row>
    <row r="152" spans="1:17" ht="15.75" customHeight="1" x14ac:dyDescent="0.55000000000000004">
      <c r="A152" s="447"/>
      <c r="B152" s="194"/>
      <c r="C152" s="582" t="s">
        <v>30</v>
      </c>
      <c r="D152" s="67" t="s">
        <v>13</v>
      </c>
      <c r="E152" s="583">
        <v>14</v>
      </c>
      <c r="F152" s="67" t="s">
        <v>15</v>
      </c>
      <c r="G152" s="298" t="s">
        <v>314</v>
      </c>
      <c r="H152" s="66">
        <v>1.2</v>
      </c>
      <c r="I152" s="66">
        <v>0.65</v>
      </c>
      <c r="J152" s="66">
        <v>0.6</v>
      </c>
      <c r="K152" s="276">
        <v>1</v>
      </c>
      <c r="L152" s="277">
        <v>0.46799999999999997</v>
      </c>
      <c r="M152" s="280" t="s">
        <v>164</v>
      </c>
      <c r="N152" s="195"/>
      <c r="O152" s="196"/>
      <c r="P152" s="601"/>
      <c r="Q152" s="463"/>
    </row>
    <row r="153" spans="1:17" ht="15.75" customHeight="1" x14ac:dyDescent="0.55000000000000004">
      <c r="A153" s="447"/>
      <c r="B153" s="194"/>
      <c r="C153" s="582" t="s">
        <v>30</v>
      </c>
      <c r="D153" s="67" t="s">
        <v>13</v>
      </c>
      <c r="E153" s="583">
        <v>14</v>
      </c>
      <c r="F153" s="67" t="s">
        <v>15</v>
      </c>
      <c r="G153" s="298" t="s">
        <v>315</v>
      </c>
      <c r="H153" s="66">
        <v>0.9</v>
      </c>
      <c r="I153" s="66">
        <v>0.55000000000000004</v>
      </c>
      <c r="J153" s="66">
        <v>0.6</v>
      </c>
      <c r="K153" s="276">
        <v>1</v>
      </c>
      <c r="L153" s="277">
        <v>0.29700000000000004</v>
      </c>
      <c r="M153" s="280" t="s">
        <v>164</v>
      </c>
      <c r="N153" s="195"/>
      <c r="O153" s="196"/>
      <c r="P153" s="601"/>
      <c r="Q153" s="463"/>
    </row>
    <row r="154" spans="1:17" ht="15.75" customHeight="1" x14ac:dyDescent="0.55000000000000004">
      <c r="A154" s="447"/>
      <c r="B154" s="194"/>
      <c r="C154" s="582" t="s">
        <v>30</v>
      </c>
      <c r="D154" s="67" t="s">
        <v>13</v>
      </c>
      <c r="E154" s="583">
        <v>14</v>
      </c>
      <c r="F154" s="67" t="s">
        <v>3</v>
      </c>
      <c r="G154" s="298" t="s">
        <v>316</v>
      </c>
      <c r="H154" s="66">
        <v>1.9</v>
      </c>
      <c r="I154" s="66">
        <v>1.25</v>
      </c>
      <c r="J154" s="66">
        <v>0.6</v>
      </c>
      <c r="K154" s="276">
        <v>1</v>
      </c>
      <c r="L154" s="277">
        <v>1.425</v>
      </c>
      <c r="M154" s="280" t="s">
        <v>164</v>
      </c>
      <c r="N154" s="195"/>
      <c r="O154" s="196"/>
      <c r="P154" s="601"/>
      <c r="Q154" s="463"/>
    </row>
    <row r="155" spans="1:17" ht="15.75" customHeight="1" x14ac:dyDescent="0.2">
      <c r="A155" s="447"/>
      <c r="B155" s="194"/>
      <c r="C155" s="582" t="s">
        <v>30</v>
      </c>
      <c r="D155" s="67" t="s">
        <v>13</v>
      </c>
      <c r="E155" s="583">
        <v>14</v>
      </c>
      <c r="F155" s="67" t="s">
        <v>15</v>
      </c>
      <c r="G155" s="298" t="s">
        <v>317</v>
      </c>
      <c r="H155" s="66">
        <v>1.2</v>
      </c>
      <c r="I155" s="66">
        <v>0.95</v>
      </c>
      <c r="J155" s="66">
        <v>0.7</v>
      </c>
      <c r="K155" s="276">
        <v>1</v>
      </c>
      <c r="L155" s="277">
        <v>0.79799999999999993</v>
      </c>
      <c r="M155" s="280" t="s">
        <v>164</v>
      </c>
      <c r="N155" s="195"/>
      <c r="O155" s="196"/>
      <c r="P155" s="602"/>
      <c r="Q155" s="463"/>
    </row>
    <row r="156" spans="1:17" ht="15.75" customHeight="1" x14ac:dyDescent="0.55000000000000004">
      <c r="A156" s="447"/>
      <c r="B156" s="194"/>
      <c r="C156" s="582" t="s">
        <v>30</v>
      </c>
      <c r="D156" s="67" t="s">
        <v>13</v>
      </c>
      <c r="E156" s="583">
        <v>14</v>
      </c>
      <c r="F156" s="67" t="s">
        <v>4</v>
      </c>
      <c r="G156" s="298" t="s">
        <v>318</v>
      </c>
      <c r="H156" s="66">
        <v>1.1000000000000001</v>
      </c>
      <c r="I156" s="66">
        <v>0.85</v>
      </c>
      <c r="J156" s="66">
        <v>0.6</v>
      </c>
      <c r="K156" s="276">
        <v>1</v>
      </c>
      <c r="L156" s="277">
        <v>0.56100000000000005</v>
      </c>
      <c r="M156" s="280" t="s">
        <v>164</v>
      </c>
      <c r="N156" s="195"/>
      <c r="O156" s="196"/>
      <c r="P156" s="601"/>
      <c r="Q156" s="463"/>
    </row>
    <row r="157" spans="1:17" ht="15.75" customHeight="1" x14ac:dyDescent="0.55000000000000004">
      <c r="A157" s="447"/>
      <c r="B157" s="194"/>
      <c r="C157" s="582" t="s">
        <v>30</v>
      </c>
      <c r="D157" s="67" t="s">
        <v>13</v>
      </c>
      <c r="E157" s="583">
        <v>14</v>
      </c>
      <c r="F157" s="67" t="s">
        <v>15</v>
      </c>
      <c r="G157" s="298" t="s">
        <v>319</v>
      </c>
      <c r="H157" s="66">
        <v>1.1000000000000001</v>
      </c>
      <c r="I157" s="66">
        <v>0.65</v>
      </c>
      <c r="J157" s="66">
        <v>0.6</v>
      </c>
      <c r="K157" s="276">
        <v>1</v>
      </c>
      <c r="L157" s="277">
        <v>0.42900000000000005</v>
      </c>
      <c r="M157" s="280" t="s">
        <v>164</v>
      </c>
      <c r="N157" s="195"/>
      <c r="O157" s="196"/>
      <c r="P157" s="601"/>
      <c r="Q157" s="463"/>
    </row>
    <row r="158" spans="1:17" ht="15.75" customHeight="1" x14ac:dyDescent="0.55000000000000004">
      <c r="A158" s="447"/>
      <c r="B158" s="194"/>
      <c r="C158" s="582" t="s">
        <v>30</v>
      </c>
      <c r="D158" s="67" t="s">
        <v>13</v>
      </c>
      <c r="E158" s="583">
        <v>14</v>
      </c>
      <c r="F158" s="67" t="s">
        <v>4</v>
      </c>
      <c r="G158" s="298" t="s">
        <v>320</v>
      </c>
      <c r="H158" s="66">
        <v>1.2</v>
      </c>
      <c r="I158" s="66">
        <v>0.85</v>
      </c>
      <c r="J158" s="66">
        <v>0.6</v>
      </c>
      <c r="K158" s="276">
        <v>1</v>
      </c>
      <c r="L158" s="277">
        <v>0.61199999999999999</v>
      </c>
      <c r="M158" s="280" t="s">
        <v>164</v>
      </c>
      <c r="N158" s="195"/>
      <c r="O158" s="196"/>
      <c r="P158" s="601"/>
      <c r="Q158" s="463"/>
    </row>
    <row r="159" spans="1:17" ht="15.75" customHeight="1" x14ac:dyDescent="0.55000000000000004">
      <c r="A159" s="447"/>
      <c r="B159" s="194"/>
      <c r="C159" s="582" t="s">
        <v>30</v>
      </c>
      <c r="D159" s="67" t="s">
        <v>13</v>
      </c>
      <c r="E159" s="583">
        <v>14</v>
      </c>
      <c r="F159" s="67" t="s">
        <v>15</v>
      </c>
      <c r="G159" s="298" t="s">
        <v>321</v>
      </c>
      <c r="H159" s="66">
        <v>0.8</v>
      </c>
      <c r="I159" s="66">
        <v>0.85</v>
      </c>
      <c r="J159" s="66">
        <v>0.7</v>
      </c>
      <c r="K159" s="276">
        <v>1</v>
      </c>
      <c r="L159" s="277">
        <v>0.47599999999999998</v>
      </c>
      <c r="M159" s="280" t="s">
        <v>164</v>
      </c>
      <c r="N159" s="195"/>
      <c r="O159" s="196"/>
      <c r="P159" s="601"/>
      <c r="Q159" s="463"/>
    </row>
    <row r="160" spans="1:17" ht="15.75" customHeight="1" x14ac:dyDescent="0.55000000000000004">
      <c r="A160" s="447"/>
      <c r="B160" s="194"/>
      <c r="C160" s="582" t="s">
        <v>30</v>
      </c>
      <c r="D160" s="67" t="s">
        <v>13</v>
      </c>
      <c r="E160" s="583">
        <v>14</v>
      </c>
      <c r="F160" s="67" t="s">
        <v>15</v>
      </c>
      <c r="G160" s="298" t="s">
        <v>322</v>
      </c>
      <c r="H160" s="66">
        <v>1.2</v>
      </c>
      <c r="I160" s="66">
        <v>0.95</v>
      </c>
      <c r="J160" s="66">
        <v>0.6</v>
      </c>
      <c r="K160" s="276">
        <v>1</v>
      </c>
      <c r="L160" s="277">
        <v>0.68399999999999994</v>
      </c>
      <c r="M160" s="280" t="s">
        <v>164</v>
      </c>
      <c r="N160" s="195"/>
      <c r="O160" s="196"/>
      <c r="P160" s="601"/>
      <c r="Q160" s="463"/>
    </row>
    <row r="161" spans="1:17" ht="15.75" customHeight="1" x14ac:dyDescent="0.55000000000000004">
      <c r="A161" s="447"/>
      <c r="B161" s="194"/>
      <c r="C161" s="582" t="s">
        <v>30</v>
      </c>
      <c r="D161" s="67" t="s">
        <v>13</v>
      </c>
      <c r="E161" s="583">
        <v>14</v>
      </c>
      <c r="F161" s="67" t="s">
        <v>15</v>
      </c>
      <c r="G161" s="298" t="s">
        <v>323</v>
      </c>
      <c r="H161" s="66">
        <v>1.2</v>
      </c>
      <c r="I161" s="66">
        <v>0.75</v>
      </c>
      <c r="J161" s="66">
        <v>0.6</v>
      </c>
      <c r="K161" s="276">
        <v>1</v>
      </c>
      <c r="L161" s="277">
        <v>0.53999999999999992</v>
      </c>
      <c r="M161" s="280" t="s">
        <v>164</v>
      </c>
      <c r="N161" s="195"/>
      <c r="O161" s="196"/>
      <c r="P161" s="601"/>
      <c r="Q161" s="463"/>
    </row>
    <row r="162" spans="1:17" ht="15.75" customHeight="1" x14ac:dyDescent="0.2">
      <c r="A162" s="447"/>
      <c r="B162" s="194"/>
      <c r="C162" s="582" t="s">
        <v>30</v>
      </c>
      <c r="D162" s="67" t="s">
        <v>13</v>
      </c>
      <c r="E162" s="583">
        <v>14</v>
      </c>
      <c r="F162" s="67" t="s">
        <v>15</v>
      </c>
      <c r="G162" s="298" t="s">
        <v>324</v>
      </c>
      <c r="H162" s="66">
        <v>0.9</v>
      </c>
      <c r="I162" s="66">
        <v>0.65</v>
      </c>
      <c r="J162" s="66">
        <v>0.6</v>
      </c>
      <c r="K162" s="276">
        <v>1</v>
      </c>
      <c r="L162" s="277">
        <v>0.35100000000000003</v>
      </c>
      <c r="M162" s="280" t="s">
        <v>164</v>
      </c>
      <c r="N162" s="195"/>
      <c r="O162" s="196"/>
      <c r="P162" s="602"/>
      <c r="Q162" s="463"/>
    </row>
    <row r="163" spans="1:17" ht="15.75" customHeight="1" x14ac:dyDescent="0.55000000000000004">
      <c r="A163" s="447"/>
      <c r="B163" s="194"/>
      <c r="C163" s="582" t="s">
        <v>30</v>
      </c>
      <c r="D163" s="67" t="s">
        <v>13</v>
      </c>
      <c r="E163" s="583">
        <v>14</v>
      </c>
      <c r="F163" s="67" t="s">
        <v>4</v>
      </c>
      <c r="G163" s="298" t="s">
        <v>325</v>
      </c>
      <c r="H163" s="66">
        <v>0.8</v>
      </c>
      <c r="I163" s="66">
        <v>0.75</v>
      </c>
      <c r="J163" s="66">
        <v>0.6</v>
      </c>
      <c r="K163" s="276">
        <v>1</v>
      </c>
      <c r="L163" s="277">
        <v>0.36000000000000004</v>
      </c>
      <c r="M163" s="280" t="s">
        <v>164</v>
      </c>
      <c r="N163" s="195"/>
      <c r="O163" s="196"/>
      <c r="P163" s="601"/>
      <c r="Q163" s="463"/>
    </row>
    <row r="164" spans="1:17" ht="15.75" customHeight="1" x14ac:dyDescent="0.55000000000000004">
      <c r="A164" s="447"/>
      <c r="B164" s="194"/>
      <c r="C164" s="582" t="s">
        <v>30</v>
      </c>
      <c r="D164" s="67" t="s">
        <v>13</v>
      </c>
      <c r="E164" s="583">
        <v>14</v>
      </c>
      <c r="F164" s="67" t="s">
        <v>15</v>
      </c>
      <c r="G164" s="298" t="s">
        <v>326</v>
      </c>
      <c r="H164" s="66">
        <v>1.2</v>
      </c>
      <c r="I164" s="66">
        <v>1.1499999999999999</v>
      </c>
      <c r="J164" s="66">
        <v>0.6</v>
      </c>
      <c r="K164" s="276">
        <v>1</v>
      </c>
      <c r="L164" s="277">
        <v>0.82799999999999996</v>
      </c>
      <c r="M164" s="280" t="s">
        <v>164</v>
      </c>
      <c r="N164" s="195"/>
      <c r="O164" s="196"/>
      <c r="P164" s="601"/>
      <c r="Q164" s="463"/>
    </row>
    <row r="165" spans="1:17" ht="15.75" customHeight="1" x14ac:dyDescent="0.2">
      <c r="A165" s="447"/>
      <c r="B165" s="194"/>
      <c r="C165" s="582" t="s">
        <v>30</v>
      </c>
      <c r="D165" s="67" t="s">
        <v>13</v>
      </c>
      <c r="E165" s="583">
        <v>14</v>
      </c>
      <c r="F165" s="67" t="s">
        <v>15</v>
      </c>
      <c r="G165" s="298" t="s">
        <v>327</v>
      </c>
      <c r="H165" s="66">
        <v>1.7</v>
      </c>
      <c r="I165" s="66">
        <v>1.1499999999999999</v>
      </c>
      <c r="J165" s="66">
        <v>0.6</v>
      </c>
      <c r="K165" s="276">
        <v>1</v>
      </c>
      <c r="L165" s="277">
        <v>1.1729999999999998</v>
      </c>
      <c r="M165" s="280" t="s">
        <v>164</v>
      </c>
      <c r="N165" s="195"/>
      <c r="O165" s="196"/>
      <c r="P165" s="602"/>
      <c r="Q165" s="463"/>
    </row>
    <row r="166" spans="1:17" ht="15.75" customHeight="1" x14ac:dyDescent="0.2">
      <c r="A166" s="447"/>
      <c r="B166" s="194"/>
      <c r="C166" s="582" t="s">
        <v>30</v>
      </c>
      <c r="D166" s="67" t="s">
        <v>13</v>
      </c>
      <c r="E166" s="583">
        <v>14</v>
      </c>
      <c r="F166" s="67" t="s">
        <v>15</v>
      </c>
      <c r="G166" s="298" t="s">
        <v>328</v>
      </c>
      <c r="H166" s="66">
        <v>0.8</v>
      </c>
      <c r="I166" s="66">
        <v>0.85</v>
      </c>
      <c r="J166" s="66">
        <v>0.6</v>
      </c>
      <c r="K166" s="276">
        <v>1</v>
      </c>
      <c r="L166" s="277">
        <v>0.40800000000000003</v>
      </c>
      <c r="M166" s="280" t="s">
        <v>164</v>
      </c>
      <c r="N166" s="195"/>
      <c r="O166" s="196"/>
      <c r="P166" s="602"/>
      <c r="Q166" s="463"/>
    </row>
    <row r="167" spans="1:17" ht="15.75" customHeight="1" x14ac:dyDescent="0.55000000000000004">
      <c r="A167" s="447"/>
      <c r="B167" s="194"/>
      <c r="C167" s="582" t="s">
        <v>30</v>
      </c>
      <c r="D167" s="67" t="s">
        <v>13</v>
      </c>
      <c r="E167" s="583">
        <v>14</v>
      </c>
      <c r="F167" s="67" t="s">
        <v>15</v>
      </c>
      <c r="G167" s="298" t="s">
        <v>329</v>
      </c>
      <c r="H167" s="66">
        <v>1.2</v>
      </c>
      <c r="I167" s="66">
        <v>0.55000000000000004</v>
      </c>
      <c r="J167" s="66">
        <v>0.6</v>
      </c>
      <c r="K167" s="276">
        <v>1</v>
      </c>
      <c r="L167" s="277">
        <v>0.39600000000000002</v>
      </c>
      <c r="M167" s="280" t="s">
        <v>164</v>
      </c>
      <c r="N167" s="195"/>
      <c r="O167" s="196"/>
      <c r="P167" s="601"/>
      <c r="Q167" s="463"/>
    </row>
    <row r="168" spans="1:17" ht="15.75" customHeight="1" x14ac:dyDescent="0.2">
      <c r="A168" s="447"/>
      <c r="B168" s="194"/>
      <c r="C168" s="582" t="s">
        <v>30</v>
      </c>
      <c r="D168" s="67" t="s">
        <v>13</v>
      </c>
      <c r="E168" s="583">
        <v>14</v>
      </c>
      <c r="F168" s="67" t="s">
        <v>15</v>
      </c>
      <c r="G168" s="298" t="s">
        <v>330</v>
      </c>
      <c r="H168" s="66">
        <v>0.9</v>
      </c>
      <c r="I168" s="66">
        <v>0.75</v>
      </c>
      <c r="J168" s="66">
        <v>0.6</v>
      </c>
      <c r="K168" s="276">
        <v>1</v>
      </c>
      <c r="L168" s="277">
        <v>0.40500000000000003</v>
      </c>
      <c r="M168" s="280" t="s">
        <v>164</v>
      </c>
      <c r="N168" s="195"/>
      <c r="O168" s="196"/>
      <c r="P168" s="602"/>
      <c r="Q168" s="463"/>
    </row>
    <row r="169" spans="1:17" ht="15.75" customHeight="1" x14ac:dyDescent="0.2">
      <c r="A169" s="447"/>
      <c r="B169" s="194"/>
      <c r="C169" s="582" t="s">
        <v>30</v>
      </c>
      <c r="D169" s="67" t="s">
        <v>13</v>
      </c>
      <c r="E169" s="583">
        <v>14</v>
      </c>
      <c r="F169" s="67" t="s">
        <v>15</v>
      </c>
      <c r="G169" s="298" t="s">
        <v>331</v>
      </c>
      <c r="H169" s="66">
        <v>1.2</v>
      </c>
      <c r="I169" s="66">
        <v>0.75</v>
      </c>
      <c r="J169" s="66">
        <v>0.6</v>
      </c>
      <c r="K169" s="276">
        <v>1</v>
      </c>
      <c r="L169" s="277">
        <v>0.53999999999999992</v>
      </c>
      <c r="M169" s="280" t="s">
        <v>164</v>
      </c>
      <c r="N169" s="195"/>
      <c r="O169" s="196"/>
      <c r="P169" s="602"/>
      <c r="Q169" s="463"/>
    </row>
    <row r="170" spans="1:17" ht="15.75" customHeight="1" x14ac:dyDescent="0.2">
      <c r="A170" s="447"/>
      <c r="B170" s="194"/>
      <c r="C170" s="582" t="s">
        <v>30</v>
      </c>
      <c r="D170" s="67" t="s">
        <v>13</v>
      </c>
      <c r="E170" s="583">
        <v>14</v>
      </c>
      <c r="F170" s="67" t="s">
        <v>15</v>
      </c>
      <c r="G170" s="298" t="s">
        <v>332</v>
      </c>
      <c r="H170" s="66">
        <v>1.2</v>
      </c>
      <c r="I170" s="66">
        <v>1.05</v>
      </c>
      <c r="J170" s="66">
        <v>0.6</v>
      </c>
      <c r="K170" s="276">
        <v>1</v>
      </c>
      <c r="L170" s="277">
        <v>0.75600000000000001</v>
      </c>
      <c r="M170" s="280" t="s">
        <v>164</v>
      </c>
      <c r="N170" s="195"/>
      <c r="O170" s="196"/>
      <c r="P170" s="602"/>
      <c r="Q170" s="463"/>
    </row>
    <row r="171" spans="1:17" ht="15.75" customHeight="1" x14ac:dyDescent="0.2">
      <c r="A171" s="447"/>
      <c r="B171" s="194"/>
      <c r="C171" s="582" t="s">
        <v>30</v>
      </c>
      <c r="D171" s="67" t="s">
        <v>13</v>
      </c>
      <c r="E171" s="583">
        <v>14</v>
      </c>
      <c r="F171" s="67" t="s">
        <v>15</v>
      </c>
      <c r="G171" s="298" t="s">
        <v>333</v>
      </c>
      <c r="H171" s="66">
        <v>1.1000000000000001</v>
      </c>
      <c r="I171" s="66">
        <v>0.65</v>
      </c>
      <c r="J171" s="66">
        <v>0.6</v>
      </c>
      <c r="K171" s="276">
        <v>1</v>
      </c>
      <c r="L171" s="277">
        <v>0.42900000000000005</v>
      </c>
      <c r="M171" s="280" t="s">
        <v>164</v>
      </c>
      <c r="N171" s="195"/>
      <c r="O171" s="196"/>
      <c r="P171" s="602"/>
      <c r="Q171" s="463"/>
    </row>
    <row r="172" spans="1:17" ht="15.75" customHeight="1" x14ac:dyDescent="0.55000000000000004">
      <c r="A172" s="447"/>
      <c r="B172" s="194"/>
      <c r="C172" s="582" t="s">
        <v>30</v>
      </c>
      <c r="D172" s="67" t="s">
        <v>13</v>
      </c>
      <c r="E172" s="583">
        <v>14</v>
      </c>
      <c r="F172" s="67" t="s">
        <v>15</v>
      </c>
      <c r="G172" s="298" t="s">
        <v>334</v>
      </c>
      <c r="H172" s="66">
        <v>1.2</v>
      </c>
      <c r="I172" s="66">
        <v>0.75</v>
      </c>
      <c r="J172" s="66">
        <v>0.6</v>
      </c>
      <c r="K172" s="276">
        <v>1</v>
      </c>
      <c r="L172" s="277">
        <v>0.53999999999999992</v>
      </c>
      <c r="M172" s="280" t="s">
        <v>164</v>
      </c>
      <c r="N172" s="195"/>
      <c r="O172" s="196"/>
      <c r="P172" s="601"/>
      <c r="Q172" s="463"/>
    </row>
    <row r="173" spans="1:17" ht="15.75" customHeight="1" x14ac:dyDescent="0.2">
      <c r="A173" s="447"/>
      <c r="B173" s="194"/>
      <c r="C173" s="582" t="s">
        <v>30</v>
      </c>
      <c r="D173" s="67" t="s">
        <v>13</v>
      </c>
      <c r="E173" s="583">
        <v>14</v>
      </c>
      <c r="F173" s="67" t="s">
        <v>15</v>
      </c>
      <c r="G173" s="298" t="s">
        <v>335</v>
      </c>
      <c r="H173" s="66">
        <v>1.2</v>
      </c>
      <c r="I173" s="66">
        <v>0.65</v>
      </c>
      <c r="J173" s="66">
        <v>0.6</v>
      </c>
      <c r="K173" s="276">
        <v>1</v>
      </c>
      <c r="L173" s="277">
        <v>0.46799999999999997</v>
      </c>
      <c r="M173" s="280" t="s">
        <v>164</v>
      </c>
      <c r="N173" s="195"/>
      <c r="O173" s="196"/>
      <c r="P173" s="602"/>
      <c r="Q173" s="463"/>
    </row>
    <row r="174" spans="1:17" ht="15.75" customHeight="1" x14ac:dyDescent="0.2">
      <c r="A174" s="447"/>
      <c r="B174" s="194"/>
      <c r="C174" s="582" t="s">
        <v>30</v>
      </c>
      <c r="D174" s="67" t="s">
        <v>13</v>
      </c>
      <c r="E174" s="583">
        <v>14</v>
      </c>
      <c r="F174" s="67" t="s">
        <v>15</v>
      </c>
      <c r="G174" s="298" t="s">
        <v>336</v>
      </c>
      <c r="H174" s="66">
        <v>1.2</v>
      </c>
      <c r="I174" s="66">
        <v>0.65</v>
      </c>
      <c r="J174" s="66">
        <v>0.6</v>
      </c>
      <c r="K174" s="276">
        <v>1</v>
      </c>
      <c r="L174" s="277">
        <v>0.46799999999999997</v>
      </c>
      <c r="M174" s="280" t="s">
        <v>164</v>
      </c>
      <c r="N174" s="195"/>
      <c r="O174" s="196"/>
      <c r="P174" s="602"/>
      <c r="Q174" s="463"/>
    </row>
    <row r="175" spans="1:17" ht="15.75" customHeight="1" x14ac:dyDescent="0.55000000000000004">
      <c r="A175" s="447"/>
      <c r="B175" s="194"/>
      <c r="C175" s="582" t="s">
        <v>30</v>
      </c>
      <c r="D175" s="67" t="s">
        <v>13</v>
      </c>
      <c r="E175" s="583">
        <v>14</v>
      </c>
      <c r="F175" s="67" t="s">
        <v>15</v>
      </c>
      <c r="G175" s="298" t="s">
        <v>337</v>
      </c>
      <c r="H175" s="66">
        <v>0.9</v>
      </c>
      <c r="I175" s="66">
        <v>0.55000000000000004</v>
      </c>
      <c r="J175" s="66">
        <v>0.6</v>
      </c>
      <c r="K175" s="276">
        <v>1</v>
      </c>
      <c r="L175" s="277">
        <v>0.29700000000000004</v>
      </c>
      <c r="M175" s="280" t="s">
        <v>164</v>
      </c>
      <c r="N175" s="195"/>
      <c r="O175" s="196"/>
      <c r="P175" s="601"/>
      <c r="Q175" s="463"/>
    </row>
    <row r="176" spans="1:17" ht="15.75" customHeight="1" x14ac:dyDescent="0.2">
      <c r="A176" s="447"/>
      <c r="B176" s="194"/>
      <c r="C176" s="582" t="s">
        <v>30</v>
      </c>
      <c r="D176" s="67" t="s">
        <v>13</v>
      </c>
      <c r="E176" s="583">
        <v>14</v>
      </c>
      <c r="F176" s="67" t="s">
        <v>15</v>
      </c>
      <c r="G176" s="298" t="s">
        <v>338</v>
      </c>
      <c r="H176" s="66">
        <v>1.2</v>
      </c>
      <c r="I176" s="66">
        <v>0.85</v>
      </c>
      <c r="J176" s="66">
        <v>0.6</v>
      </c>
      <c r="K176" s="276">
        <v>1</v>
      </c>
      <c r="L176" s="277">
        <v>0.61199999999999999</v>
      </c>
      <c r="M176" s="280" t="s">
        <v>164</v>
      </c>
      <c r="N176" s="195"/>
      <c r="O176" s="196"/>
      <c r="P176" s="602"/>
      <c r="Q176" s="463"/>
    </row>
    <row r="177" spans="1:17" ht="15.75" customHeight="1" x14ac:dyDescent="0.2">
      <c r="A177" s="447"/>
      <c r="B177" s="194"/>
      <c r="C177" s="582" t="s">
        <v>30</v>
      </c>
      <c r="D177" s="67" t="s">
        <v>13</v>
      </c>
      <c r="E177" s="583">
        <v>15</v>
      </c>
      <c r="F177" s="67" t="s">
        <v>4</v>
      </c>
      <c r="G177" s="298" t="s">
        <v>187</v>
      </c>
      <c r="H177" s="66">
        <v>1.1000000000000001</v>
      </c>
      <c r="I177" s="66">
        <v>1.05</v>
      </c>
      <c r="J177" s="66">
        <v>0.6</v>
      </c>
      <c r="K177" s="276">
        <v>1</v>
      </c>
      <c r="L177" s="277">
        <v>0.69300000000000017</v>
      </c>
      <c r="M177" s="280" t="s">
        <v>164</v>
      </c>
      <c r="N177" s="195"/>
      <c r="O177" s="196"/>
      <c r="P177" s="602"/>
      <c r="Q177" s="463"/>
    </row>
    <row r="178" spans="1:17" ht="15.75" customHeight="1" x14ac:dyDescent="0.2">
      <c r="A178" s="447"/>
      <c r="B178" s="194"/>
      <c r="C178" s="582" t="s">
        <v>30</v>
      </c>
      <c r="D178" s="67" t="s">
        <v>13</v>
      </c>
      <c r="E178" s="583">
        <v>15</v>
      </c>
      <c r="F178" s="67" t="s">
        <v>3</v>
      </c>
      <c r="G178" s="298" t="s">
        <v>184</v>
      </c>
      <c r="H178" s="66">
        <v>1.6</v>
      </c>
      <c r="I178" s="66">
        <v>0.85</v>
      </c>
      <c r="J178" s="66">
        <v>0.6</v>
      </c>
      <c r="K178" s="276">
        <v>1</v>
      </c>
      <c r="L178" s="277">
        <v>0.81600000000000006</v>
      </c>
      <c r="M178" s="280" t="s">
        <v>164</v>
      </c>
      <c r="N178" s="195"/>
      <c r="O178" s="196"/>
      <c r="P178" s="602"/>
      <c r="Q178" s="463"/>
    </row>
    <row r="179" spans="1:17" ht="15.75" customHeight="1" x14ac:dyDescent="0.55000000000000004">
      <c r="A179" s="447"/>
      <c r="B179" s="194"/>
      <c r="C179" s="582" t="s">
        <v>30</v>
      </c>
      <c r="D179" s="67" t="s">
        <v>13</v>
      </c>
      <c r="E179" s="583">
        <v>15</v>
      </c>
      <c r="F179" s="67" t="s">
        <v>15</v>
      </c>
      <c r="G179" s="298" t="s">
        <v>185</v>
      </c>
      <c r="H179" s="66">
        <v>1.1000000000000001</v>
      </c>
      <c r="I179" s="66">
        <v>0.85</v>
      </c>
      <c r="J179" s="66">
        <v>0.6</v>
      </c>
      <c r="K179" s="276">
        <v>1</v>
      </c>
      <c r="L179" s="277">
        <v>0.56100000000000005</v>
      </c>
      <c r="M179" s="280" t="s">
        <v>164</v>
      </c>
      <c r="N179" s="195"/>
      <c r="O179" s="196"/>
      <c r="P179" s="601"/>
      <c r="Q179" s="463"/>
    </row>
    <row r="180" spans="1:17" ht="15.75" customHeight="1" x14ac:dyDescent="0.55000000000000004">
      <c r="A180" s="447"/>
      <c r="B180" s="194"/>
      <c r="C180" s="582" t="s">
        <v>30</v>
      </c>
      <c r="D180" s="67" t="s">
        <v>13</v>
      </c>
      <c r="E180" s="583">
        <v>15</v>
      </c>
      <c r="F180" s="67" t="s">
        <v>15</v>
      </c>
      <c r="G180" s="298" t="s">
        <v>339</v>
      </c>
      <c r="H180" s="66">
        <v>0.9</v>
      </c>
      <c r="I180" s="66">
        <v>0.85</v>
      </c>
      <c r="J180" s="66">
        <v>0.6</v>
      </c>
      <c r="K180" s="276">
        <v>1</v>
      </c>
      <c r="L180" s="277">
        <v>0.45899999999999996</v>
      </c>
      <c r="M180" s="280" t="s">
        <v>164</v>
      </c>
      <c r="N180" s="195"/>
      <c r="O180" s="196"/>
      <c r="P180" s="601"/>
      <c r="Q180" s="463"/>
    </row>
    <row r="181" spans="1:17" ht="15.75" customHeight="1" x14ac:dyDescent="0.2">
      <c r="A181" s="447"/>
      <c r="B181" s="194"/>
      <c r="C181" s="582" t="s">
        <v>30</v>
      </c>
      <c r="D181" s="67" t="s">
        <v>13</v>
      </c>
      <c r="E181" s="583">
        <v>15</v>
      </c>
      <c r="F181" s="67" t="s">
        <v>15</v>
      </c>
      <c r="G181" s="298" t="s">
        <v>196</v>
      </c>
      <c r="H181" s="66">
        <v>1.1000000000000001</v>
      </c>
      <c r="I181" s="66">
        <v>0.85</v>
      </c>
      <c r="J181" s="66">
        <v>0.6</v>
      </c>
      <c r="K181" s="276">
        <v>1</v>
      </c>
      <c r="L181" s="277">
        <v>0.56100000000000005</v>
      </c>
      <c r="M181" s="280" t="s">
        <v>164</v>
      </c>
      <c r="N181" s="195"/>
      <c r="O181" s="196"/>
      <c r="P181" s="602"/>
      <c r="Q181" s="463"/>
    </row>
    <row r="182" spans="1:17" ht="15.75" customHeight="1" x14ac:dyDescent="0.2">
      <c r="A182" s="447"/>
      <c r="B182" s="194"/>
      <c r="C182" s="582" t="s">
        <v>30</v>
      </c>
      <c r="D182" s="67" t="s">
        <v>13</v>
      </c>
      <c r="E182" s="583">
        <v>15</v>
      </c>
      <c r="F182" s="67" t="s">
        <v>15</v>
      </c>
      <c r="G182" s="298" t="s">
        <v>209</v>
      </c>
      <c r="H182" s="66">
        <v>1.2</v>
      </c>
      <c r="I182" s="66">
        <v>1.05</v>
      </c>
      <c r="J182" s="66">
        <v>0.6</v>
      </c>
      <c r="K182" s="276">
        <v>1</v>
      </c>
      <c r="L182" s="277">
        <v>0.75600000000000001</v>
      </c>
      <c r="M182" s="280" t="s">
        <v>164</v>
      </c>
      <c r="N182" s="195"/>
      <c r="O182" s="196"/>
      <c r="P182" s="602"/>
      <c r="Q182" s="463"/>
    </row>
    <row r="183" spans="1:17" ht="15.75" customHeight="1" x14ac:dyDescent="0.2">
      <c r="A183" s="447"/>
      <c r="B183" s="194"/>
      <c r="C183" s="582" t="s">
        <v>30</v>
      </c>
      <c r="D183" s="67" t="s">
        <v>13</v>
      </c>
      <c r="E183" s="583">
        <v>15</v>
      </c>
      <c r="F183" s="67" t="s">
        <v>15</v>
      </c>
      <c r="G183" s="298" t="s">
        <v>340</v>
      </c>
      <c r="H183" s="66">
        <v>1.05</v>
      </c>
      <c r="I183" s="66">
        <v>1</v>
      </c>
      <c r="J183" s="66">
        <v>0.6</v>
      </c>
      <c r="K183" s="276">
        <v>1</v>
      </c>
      <c r="L183" s="277">
        <v>0.63</v>
      </c>
      <c r="M183" s="280" t="s">
        <v>164</v>
      </c>
      <c r="N183" s="195"/>
      <c r="O183" s="196"/>
      <c r="P183" s="602"/>
      <c r="Q183" s="463"/>
    </row>
    <row r="184" spans="1:17" ht="15.75" customHeight="1" x14ac:dyDescent="0.55000000000000004">
      <c r="A184" s="447"/>
      <c r="B184" s="194"/>
      <c r="C184" s="582" t="s">
        <v>30</v>
      </c>
      <c r="D184" s="67" t="s">
        <v>13</v>
      </c>
      <c r="E184" s="583">
        <v>15</v>
      </c>
      <c r="F184" s="67" t="s">
        <v>15</v>
      </c>
      <c r="G184" s="298" t="s">
        <v>199</v>
      </c>
      <c r="H184" s="66">
        <v>1.2</v>
      </c>
      <c r="I184" s="66">
        <v>1.1499999999999999</v>
      </c>
      <c r="J184" s="66">
        <v>0.6</v>
      </c>
      <c r="K184" s="276">
        <v>1</v>
      </c>
      <c r="L184" s="277">
        <v>0.82799999999999996</v>
      </c>
      <c r="M184" s="280" t="s">
        <v>164</v>
      </c>
      <c r="N184" s="195"/>
      <c r="O184" s="196"/>
      <c r="P184" s="601"/>
      <c r="Q184" s="463"/>
    </row>
    <row r="185" spans="1:17" ht="15.75" customHeight="1" x14ac:dyDescent="0.2">
      <c r="A185" s="447"/>
      <c r="B185" s="194"/>
      <c r="C185" s="582" t="s">
        <v>30</v>
      </c>
      <c r="D185" s="67" t="s">
        <v>13</v>
      </c>
      <c r="E185" s="583">
        <v>14</v>
      </c>
      <c r="F185" s="67" t="s">
        <v>15</v>
      </c>
      <c r="G185" s="298" t="s">
        <v>341</v>
      </c>
      <c r="H185" s="66">
        <v>1.2</v>
      </c>
      <c r="I185" s="66">
        <v>0.95</v>
      </c>
      <c r="J185" s="66">
        <v>0.6</v>
      </c>
      <c r="K185" s="276">
        <v>1</v>
      </c>
      <c r="L185" s="277">
        <v>0.68399999999999994</v>
      </c>
      <c r="M185" s="280" t="s">
        <v>164</v>
      </c>
      <c r="N185" s="195"/>
      <c r="O185" s="196"/>
      <c r="P185" s="602"/>
      <c r="Q185" s="463"/>
    </row>
    <row r="186" spans="1:17" ht="15.75" customHeight="1" x14ac:dyDescent="0.2">
      <c r="A186" s="447"/>
      <c r="B186" s="194"/>
      <c r="C186" s="582" t="s">
        <v>30</v>
      </c>
      <c r="D186" s="67" t="s">
        <v>13</v>
      </c>
      <c r="E186" s="583">
        <v>14</v>
      </c>
      <c r="F186" s="67" t="s">
        <v>15</v>
      </c>
      <c r="G186" s="298" t="s">
        <v>342</v>
      </c>
      <c r="H186" s="66">
        <v>1.1000000000000001</v>
      </c>
      <c r="I186" s="66">
        <v>0.6</v>
      </c>
      <c r="J186" s="66">
        <v>0.55000000000000004</v>
      </c>
      <c r="K186" s="276">
        <v>1</v>
      </c>
      <c r="L186" s="277">
        <v>0.36300000000000004</v>
      </c>
      <c r="M186" s="280" t="s">
        <v>164</v>
      </c>
      <c r="N186" s="195"/>
      <c r="O186" s="196"/>
      <c r="P186" s="602"/>
      <c r="Q186" s="463"/>
    </row>
    <row r="187" spans="1:17" ht="15.75" customHeight="1" x14ac:dyDescent="0.2">
      <c r="A187" s="447"/>
      <c r="B187" s="194"/>
      <c r="C187" s="582" t="s">
        <v>30</v>
      </c>
      <c r="D187" s="67" t="s">
        <v>13</v>
      </c>
      <c r="E187" s="583">
        <v>14</v>
      </c>
      <c r="F187" s="67" t="s">
        <v>15</v>
      </c>
      <c r="G187" s="298" t="s">
        <v>343</v>
      </c>
      <c r="H187" s="66">
        <v>1.2</v>
      </c>
      <c r="I187" s="66">
        <v>0.65</v>
      </c>
      <c r="J187" s="66">
        <v>0.6</v>
      </c>
      <c r="K187" s="276">
        <v>1</v>
      </c>
      <c r="L187" s="277">
        <v>0.46799999999999997</v>
      </c>
      <c r="M187" s="280" t="s">
        <v>164</v>
      </c>
      <c r="N187" s="195"/>
      <c r="O187" s="196"/>
      <c r="P187" s="602"/>
      <c r="Q187" s="463"/>
    </row>
    <row r="188" spans="1:17" ht="15.75" customHeight="1" x14ac:dyDescent="0.2">
      <c r="A188" s="447"/>
      <c r="B188" s="194"/>
      <c r="C188" s="582" t="s">
        <v>30</v>
      </c>
      <c r="D188" s="67" t="s">
        <v>13</v>
      </c>
      <c r="E188" s="583">
        <v>14</v>
      </c>
      <c r="F188" s="67" t="s">
        <v>15</v>
      </c>
      <c r="G188" s="298" t="s">
        <v>344</v>
      </c>
      <c r="H188" s="66">
        <v>1.2</v>
      </c>
      <c r="I188" s="66">
        <v>1.05</v>
      </c>
      <c r="J188" s="66">
        <v>0.6</v>
      </c>
      <c r="K188" s="276">
        <v>1</v>
      </c>
      <c r="L188" s="277">
        <v>0.75600000000000001</v>
      </c>
      <c r="M188" s="280" t="s">
        <v>164</v>
      </c>
      <c r="N188" s="195"/>
      <c r="O188" s="196"/>
      <c r="P188" s="602"/>
      <c r="Q188" s="463"/>
    </row>
    <row r="189" spans="1:17" ht="15.75" customHeight="1" x14ac:dyDescent="0.55000000000000004">
      <c r="A189" s="447"/>
      <c r="B189" s="194"/>
      <c r="C189" s="582" t="s">
        <v>30</v>
      </c>
      <c r="D189" s="67" t="s">
        <v>13</v>
      </c>
      <c r="E189" s="583">
        <v>14</v>
      </c>
      <c r="F189" s="67" t="s">
        <v>15</v>
      </c>
      <c r="G189" s="298" t="s">
        <v>345</v>
      </c>
      <c r="H189" s="66">
        <v>1.3</v>
      </c>
      <c r="I189" s="66">
        <v>0.75</v>
      </c>
      <c r="J189" s="66">
        <v>0.6</v>
      </c>
      <c r="K189" s="276">
        <v>1</v>
      </c>
      <c r="L189" s="277">
        <v>0.58500000000000008</v>
      </c>
      <c r="M189" s="280" t="s">
        <v>164</v>
      </c>
      <c r="N189" s="195"/>
      <c r="O189" s="196"/>
      <c r="P189" s="601"/>
      <c r="Q189" s="463"/>
    </row>
    <row r="190" spans="1:17" ht="15.75" customHeight="1" x14ac:dyDescent="0.55000000000000004">
      <c r="A190" s="447"/>
      <c r="B190" s="194"/>
      <c r="C190" s="582" t="s">
        <v>30</v>
      </c>
      <c r="D190" s="67" t="s">
        <v>13</v>
      </c>
      <c r="E190" s="583">
        <v>14</v>
      </c>
      <c r="F190" s="67" t="s">
        <v>15</v>
      </c>
      <c r="G190" s="298" t="s">
        <v>346</v>
      </c>
      <c r="H190" s="66">
        <v>1.3</v>
      </c>
      <c r="I190" s="66">
        <v>0.75</v>
      </c>
      <c r="J190" s="66">
        <v>0.6</v>
      </c>
      <c r="K190" s="276">
        <v>1</v>
      </c>
      <c r="L190" s="277">
        <v>0.58500000000000008</v>
      </c>
      <c r="M190" s="280" t="s">
        <v>164</v>
      </c>
      <c r="N190" s="195"/>
      <c r="O190" s="196"/>
      <c r="P190" s="601"/>
      <c r="Q190" s="463"/>
    </row>
    <row r="191" spans="1:17" ht="15.75" customHeight="1" x14ac:dyDescent="0.2">
      <c r="A191" s="447"/>
      <c r="B191" s="194"/>
      <c r="C191" s="582" t="s">
        <v>30</v>
      </c>
      <c r="D191" s="67" t="s">
        <v>13</v>
      </c>
      <c r="E191" s="583">
        <v>14</v>
      </c>
      <c r="F191" s="67" t="s">
        <v>15</v>
      </c>
      <c r="G191" s="298" t="s">
        <v>347</v>
      </c>
      <c r="H191" s="66">
        <v>1.1000000000000001</v>
      </c>
      <c r="I191" s="66">
        <v>0.85</v>
      </c>
      <c r="J191" s="66">
        <v>0.6</v>
      </c>
      <c r="K191" s="276">
        <v>1</v>
      </c>
      <c r="L191" s="277">
        <v>0.56100000000000005</v>
      </c>
      <c r="M191" s="280" t="s">
        <v>164</v>
      </c>
      <c r="N191" s="195"/>
      <c r="O191" s="196"/>
      <c r="P191" s="602"/>
      <c r="Q191" s="463"/>
    </row>
    <row r="192" spans="1:17" ht="15.75" customHeight="1" x14ac:dyDescent="0.2">
      <c r="A192" s="447"/>
      <c r="B192" s="194"/>
      <c r="C192" s="582" t="s">
        <v>30</v>
      </c>
      <c r="D192" s="67" t="s">
        <v>13</v>
      </c>
      <c r="E192" s="583">
        <v>14</v>
      </c>
      <c r="F192" s="67" t="s">
        <v>15</v>
      </c>
      <c r="G192" s="298" t="s">
        <v>348</v>
      </c>
      <c r="H192" s="66">
        <v>1.1000000000000001</v>
      </c>
      <c r="I192" s="66">
        <v>0.75</v>
      </c>
      <c r="J192" s="66">
        <v>0.6</v>
      </c>
      <c r="K192" s="276">
        <v>1</v>
      </c>
      <c r="L192" s="277">
        <v>0.495</v>
      </c>
      <c r="M192" s="280" t="s">
        <v>164</v>
      </c>
      <c r="N192" s="195"/>
      <c r="O192" s="196"/>
      <c r="P192" s="602"/>
      <c r="Q192" s="463"/>
    </row>
    <row r="193" spans="1:17" ht="15.75" customHeight="1" x14ac:dyDescent="0.2">
      <c r="A193" s="447"/>
      <c r="B193" s="194"/>
      <c r="C193" s="582" t="s">
        <v>30</v>
      </c>
      <c r="D193" s="67" t="s">
        <v>13</v>
      </c>
      <c r="E193" s="583">
        <v>14</v>
      </c>
      <c r="F193" s="67" t="s">
        <v>15</v>
      </c>
      <c r="G193" s="298" t="s">
        <v>349</v>
      </c>
      <c r="H193" s="66">
        <v>1</v>
      </c>
      <c r="I193" s="66">
        <v>0.95</v>
      </c>
      <c r="J193" s="66">
        <v>0.6</v>
      </c>
      <c r="K193" s="276">
        <v>1</v>
      </c>
      <c r="L193" s="277">
        <v>0.56999999999999995</v>
      </c>
      <c r="M193" s="280" t="s">
        <v>164</v>
      </c>
      <c r="N193" s="195"/>
      <c r="O193" s="196"/>
      <c r="P193" s="602"/>
      <c r="Q193" s="463"/>
    </row>
    <row r="194" spans="1:17" ht="15.75" customHeight="1" x14ac:dyDescent="0.2">
      <c r="A194" s="447"/>
      <c r="B194" s="194"/>
      <c r="C194" s="582" t="s">
        <v>30</v>
      </c>
      <c r="D194" s="67" t="s">
        <v>13</v>
      </c>
      <c r="E194" s="583">
        <v>14</v>
      </c>
      <c r="F194" s="67" t="s">
        <v>15</v>
      </c>
      <c r="G194" s="298" t="s">
        <v>350</v>
      </c>
      <c r="H194" s="66">
        <v>1.2</v>
      </c>
      <c r="I194" s="66">
        <v>0.6</v>
      </c>
      <c r="J194" s="66">
        <v>0.55000000000000004</v>
      </c>
      <c r="K194" s="276">
        <v>1</v>
      </c>
      <c r="L194" s="277">
        <v>0.39600000000000002</v>
      </c>
      <c r="M194" s="280" t="s">
        <v>164</v>
      </c>
      <c r="N194" s="195"/>
      <c r="O194" s="196"/>
      <c r="P194" s="602"/>
      <c r="Q194" s="463"/>
    </row>
    <row r="195" spans="1:17" ht="15.75" customHeight="1" x14ac:dyDescent="0.2">
      <c r="A195" s="447"/>
      <c r="B195" s="194"/>
      <c r="C195" s="582" t="s">
        <v>30</v>
      </c>
      <c r="D195" s="67" t="s">
        <v>13</v>
      </c>
      <c r="E195" s="583">
        <v>14</v>
      </c>
      <c r="F195" s="67" t="s">
        <v>15</v>
      </c>
      <c r="G195" s="298" t="s">
        <v>351</v>
      </c>
      <c r="H195" s="66">
        <v>0.9</v>
      </c>
      <c r="I195" s="66">
        <v>0.85</v>
      </c>
      <c r="J195" s="66">
        <v>0.6</v>
      </c>
      <c r="K195" s="276">
        <v>1</v>
      </c>
      <c r="L195" s="277">
        <v>0.45899999999999996</v>
      </c>
      <c r="M195" s="280" t="s">
        <v>164</v>
      </c>
      <c r="N195" s="195"/>
      <c r="O195" s="196"/>
      <c r="P195" s="602"/>
      <c r="Q195" s="463"/>
    </row>
    <row r="196" spans="1:17" ht="15.75" customHeight="1" x14ac:dyDescent="0.2">
      <c r="A196" s="447"/>
      <c r="B196" s="194"/>
      <c r="C196" s="582" t="s">
        <v>30</v>
      </c>
      <c r="D196" s="67" t="s">
        <v>13</v>
      </c>
      <c r="E196" s="583">
        <v>14</v>
      </c>
      <c r="F196" s="67" t="s">
        <v>15</v>
      </c>
      <c r="G196" s="298" t="s">
        <v>352</v>
      </c>
      <c r="H196" s="66">
        <v>1.2</v>
      </c>
      <c r="I196" s="66">
        <v>0.8</v>
      </c>
      <c r="J196" s="66">
        <v>0.55000000000000004</v>
      </c>
      <c r="K196" s="276">
        <v>1</v>
      </c>
      <c r="L196" s="277">
        <v>0.52800000000000002</v>
      </c>
      <c r="M196" s="280" t="s">
        <v>164</v>
      </c>
      <c r="N196" s="195"/>
      <c r="O196" s="196"/>
      <c r="P196" s="602"/>
      <c r="Q196" s="463"/>
    </row>
    <row r="197" spans="1:17" ht="15.75" customHeight="1" x14ac:dyDescent="0.2">
      <c r="A197" s="447"/>
      <c r="B197" s="194"/>
      <c r="C197" s="582" t="s">
        <v>30</v>
      </c>
      <c r="D197" s="67" t="s">
        <v>13</v>
      </c>
      <c r="E197" s="583">
        <v>14</v>
      </c>
      <c r="F197" s="67" t="s">
        <v>15</v>
      </c>
      <c r="G197" s="298" t="s">
        <v>353</v>
      </c>
      <c r="H197" s="66">
        <v>0.9</v>
      </c>
      <c r="I197" s="66">
        <v>0.85</v>
      </c>
      <c r="J197" s="66">
        <v>0.6</v>
      </c>
      <c r="K197" s="276">
        <v>1</v>
      </c>
      <c r="L197" s="277">
        <v>0.45899999999999996</v>
      </c>
      <c r="M197" s="280" t="s">
        <v>164</v>
      </c>
      <c r="N197" s="195"/>
      <c r="O197" s="196"/>
      <c r="P197" s="602"/>
      <c r="Q197" s="463"/>
    </row>
    <row r="198" spans="1:17" ht="15.75" customHeight="1" x14ac:dyDescent="0.2">
      <c r="A198" s="447"/>
      <c r="B198" s="194"/>
      <c r="C198" s="582" t="s">
        <v>30</v>
      </c>
      <c r="D198" s="67" t="s">
        <v>13</v>
      </c>
      <c r="E198" s="583">
        <v>15</v>
      </c>
      <c r="F198" s="67" t="s">
        <v>15</v>
      </c>
      <c r="G198" s="298" t="s">
        <v>189</v>
      </c>
      <c r="H198" s="66">
        <v>1.05</v>
      </c>
      <c r="I198" s="66">
        <v>0.1</v>
      </c>
      <c r="J198" s="66">
        <v>0.6</v>
      </c>
      <c r="K198" s="276">
        <v>1</v>
      </c>
      <c r="L198" s="277">
        <v>6.3E-2</v>
      </c>
      <c r="M198" s="280" t="s">
        <v>164</v>
      </c>
      <c r="N198" s="195"/>
      <c r="O198" s="196"/>
      <c r="P198" s="602"/>
      <c r="Q198" s="463"/>
    </row>
    <row r="199" spans="1:17" ht="15.75" customHeight="1" x14ac:dyDescent="0.2">
      <c r="A199" s="447"/>
      <c r="B199" s="194"/>
      <c r="C199" s="582" t="s">
        <v>30</v>
      </c>
      <c r="D199" s="67" t="s">
        <v>13</v>
      </c>
      <c r="E199" s="583">
        <v>15</v>
      </c>
      <c r="F199" s="67" t="s">
        <v>15</v>
      </c>
      <c r="G199" s="298" t="s">
        <v>212</v>
      </c>
      <c r="H199" s="66">
        <v>1.2</v>
      </c>
      <c r="I199" s="66">
        <v>0.85</v>
      </c>
      <c r="J199" s="66">
        <v>0.6</v>
      </c>
      <c r="K199" s="276">
        <v>1</v>
      </c>
      <c r="L199" s="277">
        <v>0.61199999999999999</v>
      </c>
      <c r="M199" s="280" t="s">
        <v>164</v>
      </c>
      <c r="N199" s="195"/>
      <c r="O199" s="196"/>
      <c r="P199" s="602"/>
      <c r="Q199" s="463"/>
    </row>
    <row r="200" spans="1:17" ht="15.75" customHeight="1" x14ac:dyDescent="0.55000000000000004">
      <c r="A200" s="447"/>
      <c r="B200" s="194"/>
      <c r="C200" s="582" t="s">
        <v>30</v>
      </c>
      <c r="D200" s="67" t="s">
        <v>13</v>
      </c>
      <c r="E200" s="583">
        <v>15</v>
      </c>
      <c r="F200" s="67" t="s">
        <v>15</v>
      </c>
      <c r="G200" s="298" t="s">
        <v>202</v>
      </c>
      <c r="H200" s="66">
        <v>1.5</v>
      </c>
      <c r="I200" s="66">
        <v>1.25</v>
      </c>
      <c r="J200" s="66">
        <v>0.6</v>
      </c>
      <c r="K200" s="276">
        <v>1</v>
      </c>
      <c r="L200" s="277">
        <v>1.125</v>
      </c>
      <c r="M200" s="280" t="s">
        <v>164</v>
      </c>
      <c r="N200" s="195"/>
      <c r="O200" s="196"/>
      <c r="P200" s="601"/>
      <c r="Q200" s="463"/>
    </row>
    <row r="201" spans="1:17" ht="15.75" customHeight="1" x14ac:dyDescent="0.2">
      <c r="A201" s="447"/>
      <c r="B201" s="194"/>
      <c r="C201" s="582" t="s">
        <v>30</v>
      </c>
      <c r="D201" s="67" t="s">
        <v>13</v>
      </c>
      <c r="E201" s="583">
        <v>15</v>
      </c>
      <c r="F201" s="67" t="s">
        <v>15</v>
      </c>
      <c r="G201" s="298" t="s">
        <v>191</v>
      </c>
      <c r="H201" s="66">
        <v>1.1000000000000001</v>
      </c>
      <c r="I201" s="66">
        <v>0.65</v>
      </c>
      <c r="J201" s="66">
        <v>0.6</v>
      </c>
      <c r="K201" s="276">
        <v>1</v>
      </c>
      <c r="L201" s="277">
        <v>0.42900000000000005</v>
      </c>
      <c r="M201" s="280" t="s">
        <v>164</v>
      </c>
      <c r="N201" s="195"/>
      <c r="O201" s="196"/>
      <c r="P201" s="602"/>
      <c r="Q201" s="463"/>
    </row>
    <row r="202" spans="1:17" ht="15.75" customHeight="1" x14ac:dyDescent="0.55000000000000004">
      <c r="A202" s="447"/>
      <c r="B202" s="194"/>
      <c r="C202" s="582" t="s">
        <v>30</v>
      </c>
      <c r="D202" s="67" t="s">
        <v>13</v>
      </c>
      <c r="E202" s="583">
        <v>15</v>
      </c>
      <c r="F202" s="67" t="s">
        <v>15</v>
      </c>
      <c r="G202" s="298" t="s">
        <v>192</v>
      </c>
      <c r="H202" s="66">
        <v>1.2</v>
      </c>
      <c r="I202" s="66">
        <v>1.05</v>
      </c>
      <c r="J202" s="66">
        <v>0.6</v>
      </c>
      <c r="K202" s="276">
        <v>1</v>
      </c>
      <c r="L202" s="277">
        <v>0.75600000000000001</v>
      </c>
      <c r="M202" s="280" t="s">
        <v>164</v>
      </c>
      <c r="N202" s="195"/>
      <c r="O202" s="196"/>
      <c r="P202" s="601"/>
      <c r="Q202" s="463"/>
    </row>
    <row r="203" spans="1:17" ht="15.75" customHeight="1" x14ac:dyDescent="0.2">
      <c r="A203" s="447"/>
      <c r="B203" s="194"/>
      <c r="C203" s="582" t="s">
        <v>30</v>
      </c>
      <c r="D203" s="67" t="s">
        <v>13</v>
      </c>
      <c r="E203" s="583">
        <v>15</v>
      </c>
      <c r="F203" s="67" t="s">
        <v>15</v>
      </c>
      <c r="G203" s="298" t="s">
        <v>354</v>
      </c>
      <c r="H203" s="66">
        <v>1</v>
      </c>
      <c r="I203" s="66">
        <v>0.65</v>
      </c>
      <c r="J203" s="66">
        <v>0.6</v>
      </c>
      <c r="K203" s="276">
        <v>1</v>
      </c>
      <c r="L203" s="277">
        <v>0.39</v>
      </c>
      <c r="M203" s="280" t="s">
        <v>164</v>
      </c>
      <c r="N203" s="195"/>
      <c r="O203" s="196"/>
      <c r="P203" s="602"/>
      <c r="Q203" s="463"/>
    </row>
    <row r="204" spans="1:17" ht="15.75" customHeight="1" x14ac:dyDescent="0.2">
      <c r="A204" s="447"/>
      <c r="B204" s="194"/>
      <c r="C204" s="582" t="s">
        <v>30</v>
      </c>
      <c r="D204" s="67" t="s">
        <v>13</v>
      </c>
      <c r="E204" s="583">
        <v>15</v>
      </c>
      <c r="F204" s="67" t="s">
        <v>15</v>
      </c>
      <c r="G204" s="298" t="s">
        <v>193</v>
      </c>
      <c r="H204" s="66">
        <v>1.2</v>
      </c>
      <c r="I204" s="66">
        <v>1.25</v>
      </c>
      <c r="J204" s="66">
        <v>0.6</v>
      </c>
      <c r="K204" s="276">
        <v>1</v>
      </c>
      <c r="L204" s="277">
        <v>0.89999999999999991</v>
      </c>
      <c r="M204" s="280" t="s">
        <v>164</v>
      </c>
      <c r="N204" s="195"/>
      <c r="O204" s="196"/>
      <c r="P204" s="602"/>
      <c r="Q204" s="463"/>
    </row>
    <row r="205" spans="1:17" ht="15.75" customHeight="1" x14ac:dyDescent="0.2">
      <c r="A205" s="447"/>
      <c r="B205" s="194"/>
      <c r="C205" s="582" t="s">
        <v>30</v>
      </c>
      <c r="D205" s="67" t="s">
        <v>13</v>
      </c>
      <c r="E205" s="583">
        <v>15</v>
      </c>
      <c r="F205" s="67" t="s">
        <v>15</v>
      </c>
      <c r="G205" s="298" t="s">
        <v>204</v>
      </c>
      <c r="H205" s="66">
        <v>1</v>
      </c>
      <c r="I205" s="66">
        <v>1.25</v>
      </c>
      <c r="J205" s="66">
        <v>0.6</v>
      </c>
      <c r="K205" s="276">
        <v>1</v>
      </c>
      <c r="L205" s="277">
        <v>0.75</v>
      </c>
      <c r="M205" s="280" t="s">
        <v>164</v>
      </c>
      <c r="N205" s="195"/>
      <c r="O205" s="196"/>
      <c r="P205" s="602"/>
      <c r="Q205" s="463"/>
    </row>
    <row r="206" spans="1:17" ht="15.75" customHeight="1" x14ac:dyDescent="0.55000000000000004">
      <c r="A206" s="447"/>
      <c r="B206" s="194"/>
      <c r="C206" s="582" t="s">
        <v>30</v>
      </c>
      <c r="D206" s="67" t="s">
        <v>13</v>
      </c>
      <c r="E206" s="583">
        <v>15</v>
      </c>
      <c r="F206" s="67" t="s">
        <v>15</v>
      </c>
      <c r="G206" s="298" t="s">
        <v>219</v>
      </c>
      <c r="H206" s="66">
        <v>1.1000000000000001</v>
      </c>
      <c r="I206" s="66">
        <v>0.55000000000000004</v>
      </c>
      <c r="J206" s="66">
        <v>0.6</v>
      </c>
      <c r="K206" s="276">
        <v>1</v>
      </c>
      <c r="L206" s="277">
        <v>0.36300000000000004</v>
      </c>
      <c r="M206" s="280" t="s">
        <v>164</v>
      </c>
      <c r="N206" s="195"/>
      <c r="O206" s="196"/>
      <c r="P206" s="601"/>
      <c r="Q206" s="463"/>
    </row>
    <row r="207" spans="1:17" ht="15.75" customHeight="1" x14ac:dyDescent="0.55000000000000004">
      <c r="A207" s="447"/>
      <c r="B207" s="194"/>
      <c r="C207" s="582" t="s">
        <v>30</v>
      </c>
      <c r="D207" s="67" t="s">
        <v>13</v>
      </c>
      <c r="E207" s="583">
        <v>15</v>
      </c>
      <c r="F207" s="67" t="s">
        <v>15</v>
      </c>
      <c r="G207" s="298" t="s">
        <v>298</v>
      </c>
      <c r="H207" s="66">
        <v>1.1000000000000001</v>
      </c>
      <c r="I207" s="66">
        <v>0.95</v>
      </c>
      <c r="J207" s="66">
        <v>0.6</v>
      </c>
      <c r="K207" s="276">
        <v>1</v>
      </c>
      <c r="L207" s="277">
        <v>0.62699999999999989</v>
      </c>
      <c r="M207" s="280" t="s">
        <v>164</v>
      </c>
      <c r="N207" s="195"/>
      <c r="O207" s="196"/>
      <c r="P207" s="601"/>
      <c r="Q207" s="463"/>
    </row>
    <row r="208" spans="1:17" ht="15.75" customHeight="1" x14ac:dyDescent="0.2">
      <c r="A208" s="447"/>
      <c r="B208" s="194"/>
      <c r="C208" s="582" t="s">
        <v>30</v>
      </c>
      <c r="D208" s="67" t="s">
        <v>13</v>
      </c>
      <c r="E208" s="583">
        <v>15</v>
      </c>
      <c r="F208" s="67" t="s">
        <v>15</v>
      </c>
      <c r="G208" s="298" t="s">
        <v>233</v>
      </c>
      <c r="H208" s="66">
        <v>1.1000000000000001</v>
      </c>
      <c r="I208" s="66">
        <v>0.65</v>
      </c>
      <c r="J208" s="66">
        <v>0.6</v>
      </c>
      <c r="K208" s="276">
        <v>1</v>
      </c>
      <c r="L208" s="277">
        <v>0.42900000000000005</v>
      </c>
      <c r="M208" s="280" t="s">
        <v>164</v>
      </c>
      <c r="N208" s="195"/>
      <c r="O208" s="196"/>
      <c r="P208" s="602"/>
      <c r="Q208" s="463"/>
    </row>
    <row r="209" spans="1:17" ht="15.75" customHeight="1" x14ac:dyDescent="0.2">
      <c r="A209" s="447"/>
      <c r="B209" s="194"/>
      <c r="C209" s="582" t="s">
        <v>30</v>
      </c>
      <c r="D209" s="67" t="s">
        <v>13</v>
      </c>
      <c r="E209" s="583">
        <v>15</v>
      </c>
      <c r="F209" s="67" t="s">
        <v>15</v>
      </c>
      <c r="G209" s="298" t="s">
        <v>206</v>
      </c>
      <c r="H209" s="66">
        <v>1.2</v>
      </c>
      <c r="I209" s="66">
        <v>0.75</v>
      </c>
      <c r="J209" s="66">
        <v>0.6</v>
      </c>
      <c r="K209" s="276">
        <v>1</v>
      </c>
      <c r="L209" s="277">
        <v>0.53999999999999992</v>
      </c>
      <c r="M209" s="280" t="s">
        <v>164</v>
      </c>
      <c r="N209" s="195"/>
      <c r="O209" s="196"/>
      <c r="P209" s="602"/>
      <c r="Q209" s="463"/>
    </row>
    <row r="210" spans="1:17" ht="15.75" customHeight="1" x14ac:dyDescent="0.55000000000000004">
      <c r="A210" s="447"/>
      <c r="B210" s="194"/>
      <c r="C210" s="582" t="s">
        <v>30</v>
      </c>
      <c r="D210" s="67" t="s">
        <v>13</v>
      </c>
      <c r="E210" s="583">
        <v>15</v>
      </c>
      <c r="F210" s="67" t="s">
        <v>15</v>
      </c>
      <c r="G210" s="298" t="s">
        <v>207</v>
      </c>
      <c r="H210" s="66">
        <v>0.7</v>
      </c>
      <c r="I210" s="66">
        <v>1.25</v>
      </c>
      <c r="J210" s="66">
        <v>0.6</v>
      </c>
      <c r="K210" s="276">
        <v>1</v>
      </c>
      <c r="L210" s="277">
        <v>0.52500000000000002</v>
      </c>
      <c r="M210" s="280" t="s">
        <v>164</v>
      </c>
      <c r="N210" s="195"/>
      <c r="O210" s="196"/>
      <c r="P210" s="601"/>
      <c r="Q210" s="463"/>
    </row>
    <row r="211" spans="1:17" ht="15.75" customHeight="1" x14ac:dyDescent="0.2">
      <c r="A211" s="447"/>
      <c r="B211" s="194"/>
      <c r="C211" s="582" t="s">
        <v>30</v>
      </c>
      <c r="D211" s="67" t="s">
        <v>13</v>
      </c>
      <c r="E211" s="583">
        <v>15</v>
      </c>
      <c r="F211" s="67" t="s">
        <v>15</v>
      </c>
      <c r="G211" s="298" t="s">
        <v>208</v>
      </c>
      <c r="H211" s="66">
        <v>1.1000000000000001</v>
      </c>
      <c r="I211" s="66">
        <v>0.65</v>
      </c>
      <c r="J211" s="66">
        <v>0.6</v>
      </c>
      <c r="K211" s="276">
        <v>1</v>
      </c>
      <c r="L211" s="277">
        <v>0.42900000000000005</v>
      </c>
      <c r="M211" s="280" t="s">
        <v>164</v>
      </c>
      <c r="N211" s="195"/>
      <c r="O211" s="196"/>
      <c r="P211" s="602"/>
      <c r="Q211" s="463"/>
    </row>
    <row r="212" spans="1:17" ht="15.75" customHeight="1" x14ac:dyDescent="0.2">
      <c r="A212" s="447"/>
      <c r="B212" s="194"/>
      <c r="C212" s="582" t="s">
        <v>30</v>
      </c>
      <c r="D212" s="67" t="s">
        <v>13</v>
      </c>
      <c r="E212" s="583">
        <v>15</v>
      </c>
      <c r="F212" s="67" t="s">
        <v>3</v>
      </c>
      <c r="G212" s="298" t="s">
        <v>234</v>
      </c>
      <c r="H212" s="66">
        <v>0.9</v>
      </c>
      <c r="I212" s="66">
        <v>0.65</v>
      </c>
      <c r="J212" s="66">
        <v>0.6</v>
      </c>
      <c r="K212" s="276">
        <v>1</v>
      </c>
      <c r="L212" s="277">
        <v>0.35100000000000003</v>
      </c>
      <c r="M212" s="280" t="s">
        <v>164</v>
      </c>
      <c r="N212" s="195"/>
      <c r="O212" s="196"/>
      <c r="P212" s="602"/>
      <c r="Q212" s="463"/>
    </row>
    <row r="213" spans="1:17" ht="15.75" customHeight="1" x14ac:dyDescent="0.2">
      <c r="A213" s="447"/>
      <c r="B213" s="194"/>
      <c r="C213" s="582" t="s">
        <v>30</v>
      </c>
      <c r="D213" s="67" t="s">
        <v>13</v>
      </c>
      <c r="E213" s="583">
        <v>15</v>
      </c>
      <c r="F213" s="67" t="s">
        <v>15</v>
      </c>
      <c r="G213" s="298" t="s">
        <v>236</v>
      </c>
      <c r="H213" s="66">
        <v>0.8</v>
      </c>
      <c r="I213" s="66">
        <v>1.1499999999999999</v>
      </c>
      <c r="J213" s="66">
        <v>0.6</v>
      </c>
      <c r="K213" s="276">
        <v>1</v>
      </c>
      <c r="L213" s="277">
        <v>0.55199999999999994</v>
      </c>
      <c r="M213" s="280" t="s">
        <v>164</v>
      </c>
      <c r="N213" s="195"/>
      <c r="O213" s="196"/>
      <c r="P213" s="602"/>
      <c r="Q213" s="463"/>
    </row>
    <row r="214" spans="1:17" ht="15.75" customHeight="1" x14ac:dyDescent="0.2">
      <c r="A214" s="447"/>
      <c r="B214" s="194"/>
      <c r="C214" s="582" t="s">
        <v>30</v>
      </c>
      <c r="D214" s="67" t="s">
        <v>13</v>
      </c>
      <c r="E214" s="583">
        <v>15</v>
      </c>
      <c r="F214" s="67" t="s">
        <v>15</v>
      </c>
      <c r="G214" s="298" t="s">
        <v>239</v>
      </c>
      <c r="H214" s="66">
        <v>1.1000000000000001</v>
      </c>
      <c r="I214" s="66">
        <v>1.1499999999999999</v>
      </c>
      <c r="J214" s="66">
        <v>0.6</v>
      </c>
      <c r="K214" s="276">
        <v>1</v>
      </c>
      <c r="L214" s="277">
        <v>0.7589999999999999</v>
      </c>
      <c r="M214" s="280" t="s">
        <v>164</v>
      </c>
      <c r="N214" s="195"/>
      <c r="O214" s="196"/>
      <c r="P214" s="602"/>
      <c r="Q214" s="463"/>
    </row>
    <row r="215" spans="1:17" ht="15.75" customHeight="1" x14ac:dyDescent="0.2">
      <c r="A215" s="447"/>
      <c r="B215" s="194"/>
      <c r="C215" s="582" t="s">
        <v>30</v>
      </c>
      <c r="D215" s="67" t="s">
        <v>13</v>
      </c>
      <c r="E215" s="583">
        <v>15</v>
      </c>
      <c r="F215" s="67" t="s">
        <v>15</v>
      </c>
      <c r="G215" s="298" t="s">
        <v>355</v>
      </c>
      <c r="H215" s="66">
        <v>1.1000000000000001</v>
      </c>
      <c r="I215" s="66">
        <v>0.55000000000000004</v>
      </c>
      <c r="J215" s="66">
        <v>0.6</v>
      </c>
      <c r="K215" s="276">
        <v>1</v>
      </c>
      <c r="L215" s="277">
        <v>0.36300000000000004</v>
      </c>
      <c r="M215" s="280" t="s">
        <v>164</v>
      </c>
      <c r="N215" s="195"/>
      <c r="O215" s="196"/>
      <c r="P215" s="602"/>
      <c r="Q215" s="463"/>
    </row>
    <row r="216" spans="1:17" ht="15.75" customHeight="1" x14ac:dyDescent="0.55000000000000004">
      <c r="A216" s="447"/>
      <c r="B216" s="194"/>
      <c r="C216" s="582" t="s">
        <v>30</v>
      </c>
      <c r="D216" s="67" t="s">
        <v>13</v>
      </c>
      <c r="E216" s="583">
        <v>14</v>
      </c>
      <c r="F216" s="67" t="s">
        <v>3</v>
      </c>
      <c r="G216" s="298" t="s">
        <v>356</v>
      </c>
      <c r="H216" s="66">
        <v>0.9</v>
      </c>
      <c r="I216" s="66">
        <v>1.2</v>
      </c>
      <c r="J216" s="66">
        <v>0.65</v>
      </c>
      <c r="K216" s="276">
        <v>1</v>
      </c>
      <c r="L216" s="277">
        <v>0.70200000000000007</v>
      </c>
      <c r="M216" s="280" t="s">
        <v>164</v>
      </c>
      <c r="N216" s="195"/>
      <c r="O216" s="196"/>
      <c r="P216" s="601"/>
      <c r="Q216" s="463"/>
    </row>
    <row r="217" spans="1:17" ht="15.75" customHeight="1" x14ac:dyDescent="0.2">
      <c r="A217" s="447"/>
      <c r="B217" s="194"/>
      <c r="C217" s="582" t="s">
        <v>30</v>
      </c>
      <c r="D217" s="67" t="s">
        <v>13</v>
      </c>
      <c r="E217" s="583">
        <v>14</v>
      </c>
      <c r="F217" s="67" t="s">
        <v>15</v>
      </c>
      <c r="G217" s="298" t="s">
        <v>357</v>
      </c>
      <c r="H217" s="66">
        <v>0.9</v>
      </c>
      <c r="I217" s="66">
        <v>0.55000000000000004</v>
      </c>
      <c r="J217" s="66">
        <v>0.6</v>
      </c>
      <c r="K217" s="276">
        <v>1</v>
      </c>
      <c r="L217" s="277">
        <v>0.29700000000000004</v>
      </c>
      <c r="M217" s="280" t="s">
        <v>164</v>
      </c>
      <c r="N217" s="195"/>
      <c r="O217" s="196"/>
      <c r="P217" s="602"/>
      <c r="Q217" s="463"/>
    </row>
    <row r="218" spans="1:17" ht="15.75" customHeight="1" x14ac:dyDescent="0.2">
      <c r="A218" s="447"/>
      <c r="B218" s="194"/>
      <c r="C218" s="582" t="s">
        <v>30</v>
      </c>
      <c r="D218" s="67" t="s">
        <v>13</v>
      </c>
      <c r="E218" s="583">
        <v>14</v>
      </c>
      <c r="F218" s="67" t="s">
        <v>15</v>
      </c>
      <c r="G218" s="298" t="s">
        <v>358</v>
      </c>
      <c r="H218" s="66">
        <v>0.9</v>
      </c>
      <c r="I218" s="66">
        <v>0.75</v>
      </c>
      <c r="J218" s="66">
        <v>0.6</v>
      </c>
      <c r="K218" s="276">
        <v>1</v>
      </c>
      <c r="L218" s="277">
        <v>0.40500000000000003</v>
      </c>
      <c r="M218" s="280" t="s">
        <v>164</v>
      </c>
      <c r="N218" s="195"/>
      <c r="O218" s="196"/>
      <c r="P218" s="602"/>
      <c r="Q218" s="463"/>
    </row>
    <row r="219" spans="1:17" ht="15.75" customHeight="1" x14ac:dyDescent="0.55000000000000004">
      <c r="A219" s="447"/>
      <c r="B219" s="194"/>
      <c r="C219" s="582" t="s">
        <v>30</v>
      </c>
      <c r="D219" s="67" t="s">
        <v>13</v>
      </c>
      <c r="E219" s="583">
        <v>14</v>
      </c>
      <c r="F219" s="67" t="s">
        <v>4</v>
      </c>
      <c r="G219" s="298" t="s">
        <v>359</v>
      </c>
      <c r="H219" s="66">
        <v>1.5</v>
      </c>
      <c r="I219" s="66">
        <v>0.95</v>
      </c>
      <c r="J219" s="66">
        <v>0.6</v>
      </c>
      <c r="K219" s="276">
        <v>1</v>
      </c>
      <c r="L219" s="277">
        <v>0.85499999999999987</v>
      </c>
      <c r="M219" s="280" t="s">
        <v>164</v>
      </c>
      <c r="N219" s="195"/>
      <c r="O219" s="196"/>
      <c r="P219" s="601"/>
      <c r="Q219" s="463"/>
    </row>
    <row r="220" spans="1:17" ht="15.75" customHeight="1" x14ac:dyDescent="0.2">
      <c r="A220" s="447"/>
      <c r="B220" s="194"/>
      <c r="C220" s="582" t="s">
        <v>30</v>
      </c>
      <c r="D220" s="67" t="s">
        <v>13</v>
      </c>
      <c r="E220" s="583">
        <v>14</v>
      </c>
      <c r="F220" s="67" t="s">
        <v>4</v>
      </c>
      <c r="G220" s="298" t="s">
        <v>360</v>
      </c>
      <c r="H220" s="66">
        <v>1</v>
      </c>
      <c r="I220" s="66">
        <v>0.65</v>
      </c>
      <c r="J220" s="66">
        <v>0.6</v>
      </c>
      <c r="K220" s="276">
        <v>1</v>
      </c>
      <c r="L220" s="277">
        <v>0.39</v>
      </c>
      <c r="M220" s="280" t="s">
        <v>164</v>
      </c>
      <c r="N220" s="195"/>
      <c r="O220" s="196"/>
      <c r="P220" s="602"/>
      <c r="Q220" s="463"/>
    </row>
    <row r="221" spans="1:17" ht="15.75" customHeight="1" x14ac:dyDescent="0.2">
      <c r="A221" s="447"/>
      <c r="B221" s="194"/>
      <c r="C221" s="582" t="s">
        <v>30</v>
      </c>
      <c r="D221" s="67" t="s">
        <v>13</v>
      </c>
      <c r="E221" s="583">
        <v>14</v>
      </c>
      <c r="F221" s="67" t="s">
        <v>15</v>
      </c>
      <c r="G221" s="298" t="s">
        <v>361</v>
      </c>
      <c r="H221" s="66">
        <v>1.2</v>
      </c>
      <c r="I221" s="66">
        <v>0.75</v>
      </c>
      <c r="J221" s="66">
        <v>0.6</v>
      </c>
      <c r="K221" s="276">
        <v>1</v>
      </c>
      <c r="L221" s="277">
        <v>0.53999999999999992</v>
      </c>
      <c r="M221" s="280" t="s">
        <v>164</v>
      </c>
      <c r="N221" s="195"/>
      <c r="O221" s="196"/>
      <c r="P221" s="602"/>
      <c r="Q221" s="463"/>
    </row>
    <row r="222" spans="1:17" ht="15.75" customHeight="1" x14ac:dyDescent="0.2">
      <c r="A222" s="447"/>
      <c r="B222" s="194"/>
      <c r="C222" s="582" t="s">
        <v>30</v>
      </c>
      <c r="D222" s="67" t="s">
        <v>13</v>
      </c>
      <c r="E222" s="583">
        <v>14</v>
      </c>
      <c r="F222" s="67" t="s">
        <v>15</v>
      </c>
      <c r="G222" s="298" t="s">
        <v>363</v>
      </c>
      <c r="H222" s="66">
        <v>1.1000000000000001</v>
      </c>
      <c r="I222" s="66">
        <v>0.85</v>
      </c>
      <c r="J222" s="66">
        <v>0.6</v>
      </c>
      <c r="K222" s="276">
        <v>1</v>
      </c>
      <c r="L222" s="277">
        <v>0.56100000000000005</v>
      </c>
      <c r="M222" s="280" t="s">
        <v>164</v>
      </c>
      <c r="N222" s="195"/>
      <c r="O222" s="196"/>
      <c r="P222" s="602"/>
      <c r="Q222" s="463"/>
    </row>
    <row r="223" spans="1:17" ht="15.75" customHeight="1" x14ac:dyDescent="0.2">
      <c r="A223" s="447"/>
      <c r="B223" s="194"/>
      <c r="C223" s="582" t="s">
        <v>30</v>
      </c>
      <c r="D223" s="67" t="s">
        <v>13</v>
      </c>
      <c r="E223" s="583">
        <v>14</v>
      </c>
      <c r="F223" s="67" t="s">
        <v>15</v>
      </c>
      <c r="G223" s="298" t="s">
        <v>364</v>
      </c>
      <c r="H223" s="66">
        <v>1.2</v>
      </c>
      <c r="I223" s="66">
        <v>0.85</v>
      </c>
      <c r="J223" s="66">
        <v>0.6</v>
      </c>
      <c r="K223" s="276">
        <v>1</v>
      </c>
      <c r="L223" s="277">
        <v>0.61199999999999999</v>
      </c>
      <c r="M223" s="280" t="s">
        <v>164</v>
      </c>
      <c r="N223" s="195"/>
      <c r="O223" s="196"/>
      <c r="P223" s="602"/>
      <c r="Q223" s="463"/>
    </row>
    <row r="224" spans="1:17" ht="15.75" customHeight="1" x14ac:dyDescent="0.2">
      <c r="A224" s="447"/>
      <c r="B224" s="194"/>
      <c r="C224" s="582" t="s">
        <v>30</v>
      </c>
      <c r="D224" s="67" t="s">
        <v>13</v>
      </c>
      <c r="E224" s="583">
        <v>15</v>
      </c>
      <c r="F224" s="67" t="s">
        <v>15</v>
      </c>
      <c r="G224" s="298" t="s">
        <v>365</v>
      </c>
      <c r="H224" s="66">
        <v>0.9</v>
      </c>
      <c r="I224" s="66">
        <v>0.55000000000000004</v>
      </c>
      <c r="J224" s="66">
        <v>0.6</v>
      </c>
      <c r="K224" s="276">
        <v>1</v>
      </c>
      <c r="L224" s="277">
        <v>0.29700000000000004</v>
      </c>
      <c r="M224" s="280" t="s">
        <v>164</v>
      </c>
      <c r="N224" s="195"/>
      <c r="O224" s="196"/>
      <c r="P224" s="602"/>
      <c r="Q224" s="463"/>
    </row>
    <row r="225" spans="1:17" ht="15.75" customHeight="1" x14ac:dyDescent="0.2">
      <c r="A225" s="447"/>
      <c r="B225" s="194"/>
      <c r="C225" s="582" t="s">
        <v>30</v>
      </c>
      <c r="D225" s="67" t="s">
        <v>13</v>
      </c>
      <c r="E225" s="583">
        <v>15</v>
      </c>
      <c r="F225" s="67" t="s">
        <v>15</v>
      </c>
      <c r="G225" s="298" t="s">
        <v>269</v>
      </c>
      <c r="H225" s="66">
        <v>1.2</v>
      </c>
      <c r="I225" s="66">
        <v>0.85</v>
      </c>
      <c r="J225" s="66">
        <v>0.6</v>
      </c>
      <c r="K225" s="276">
        <v>1</v>
      </c>
      <c r="L225" s="277">
        <v>0.61199999999999999</v>
      </c>
      <c r="M225" s="280" t="s">
        <v>164</v>
      </c>
      <c r="N225" s="195"/>
      <c r="O225" s="196"/>
      <c r="P225" s="602"/>
      <c r="Q225" s="463"/>
    </row>
    <row r="226" spans="1:17" ht="15.75" customHeight="1" x14ac:dyDescent="0.55000000000000004">
      <c r="A226" s="447"/>
      <c r="B226" s="194"/>
      <c r="C226" s="582" t="s">
        <v>30</v>
      </c>
      <c r="D226" s="67" t="s">
        <v>13</v>
      </c>
      <c r="E226" s="583">
        <v>15</v>
      </c>
      <c r="F226" s="67" t="s">
        <v>15</v>
      </c>
      <c r="G226" s="298" t="s">
        <v>366</v>
      </c>
      <c r="H226" s="66">
        <v>1.4</v>
      </c>
      <c r="I226" s="66">
        <v>1.25</v>
      </c>
      <c r="J226" s="66">
        <v>0.6</v>
      </c>
      <c r="K226" s="276">
        <v>1</v>
      </c>
      <c r="L226" s="277">
        <v>1.05</v>
      </c>
      <c r="M226" s="280" t="s">
        <v>164</v>
      </c>
      <c r="N226" s="195"/>
      <c r="O226" s="196"/>
      <c r="P226" s="601"/>
      <c r="Q226" s="463"/>
    </row>
    <row r="227" spans="1:17" ht="15.75" customHeight="1" x14ac:dyDescent="0.2">
      <c r="A227" s="447"/>
      <c r="B227" s="194"/>
      <c r="C227" s="582" t="s">
        <v>30</v>
      </c>
      <c r="D227" s="67" t="s">
        <v>13</v>
      </c>
      <c r="E227" s="583">
        <v>15</v>
      </c>
      <c r="F227" s="67" t="s">
        <v>15</v>
      </c>
      <c r="G227" s="298" t="s">
        <v>242</v>
      </c>
      <c r="H227" s="66">
        <v>1</v>
      </c>
      <c r="I227" s="66">
        <v>0.85</v>
      </c>
      <c r="J227" s="66">
        <v>0.6</v>
      </c>
      <c r="K227" s="276">
        <v>1</v>
      </c>
      <c r="L227" s="277">
        <v>0.51</v>
      </c>
      <c r="M227" s="280" t="s">
        <v>164</v>
      </c>
      <c r="N227" s="195"/>
      <c r="O227" s="196"/>
      <c r="P227" s="602"/>
      <c r="Q227" s="463"/>
    </row>
    <row r="228" spans="1:17" ht="15.75" customHeight="1" x14ac:dyDescent="0.55000000000000004">
      <c r="A228" s="447"/>
      <c r="B228" s="194"/>
      <c r="C228" s="582" t="s">
        <v>30</v>
      </c>
      <c r="D228" s="67" t="s">
        <v>13</v>
      </c>
      <c r="E228" s="583">
        <v>15</v>
      </c>
      <c r="F228" s="67" t="s">
        <v>4</v>
      </c>
      <c r="G228" s="298" t="s">
        <v>244</v>
      </c>
      <c r="H228" s="66">
        <v>1.3</v>
      </c>
      <c r="I228" s="66">
        <v>0.45</v>
      </c>
      <c r="J228" s="66">
        <v>0.6</v>
      </c>
      <c r="K228" s="276">
        <v>1</v>
      </c>
      <c r="L228" s="277">
        <v>0.35100000000000003</v>
      </c>
      <c r="M228" s="280" t="s">
        <v>164</v>
      </c>
      <c r="N228" s="195"/>
      <c r="O228" s="196"/>
      <c r="P228" s="601"/>
      <c r="Q228" s="463"/>
    </row>
    <row r="229" spans="1:17" ht="15.75" customHeight="1" x14ac:dyDescent="0.55000000000000004">
      <c r="A229" s="447"/>
      <c r="B229" s="194"/>
      <c r="C229" s="582" t="s">
        <v>30</v>
      </c>
      <c r="D229" s="67" t="s">
        <v>13</v>
      </c>
      <c r="E229" s="583">
        <v>15</v>
      </c>
      <c r="F229" s="67" t="s">
        <v>15</v>
      </c>
      <c r="G229" s="298" t="s">
        <v>367</v>
      </c>
      <c r="H229" s="66">
        <v>1.1000000000000001</v>
      </c>
      <c r="I229" s="66">
        <v>0.55000000000000004</v>
      </c>
      <c r="J229" s="66">
        <v>0.6</v>
      </c>
      <c r="K229" s="276">
        <v>1</v>
      </c>
      <c r="L229" s="277">
        <v>0.36300000000000004</v>
      </c>
      <c r="M229" s="280" t="s">
        <v>164</v>
      </c>
      <c r="N229" s="195"/>
      <c r="O229" s="196"/>
      <c r="P229" s="601"/>
      <c r="Q229" s="463"/>
    </row>
    <row r="230" spans="1:17" ht="15.75" customHeight="1" x14ac:dyDescent="0.2">
      <c r="A230" s="447"/>
      <c r="B230" s="194"/>
      <c r="C230" s="582" t="s">
        <v>30</v>
      </c>
      <c r="D230" s="67" t="s">
        <v>13</v>
      </c>
      <c r="E230" s="583">
        <v>15</v>
      </c>
      <c r="F230" s="67" t="s">
        <v>15</v>
      </c>
      <c r="G230" s="298" t="s">
        <v>271</v>
      </c>
      <c r="H230" s="66">
        <v>1.1000000000000001</v>
      </c>
      <c r="I230" s="66">
        <v>0.65</v>
      </c>
      <c r="J230" s="66">
        <v>0.6</v>
      </c>
      <c r="K230" s="276">
        <v>1</v>
      </c>
      <c r="L230" s="277">
        <v>0.42900000000000005</v>
      </c>
      <c r="M230" s="280" t="s">
        <v>164</v>
      </c>
      <c r="N230" s="195"/>
      <c r="O230" s="196"/>
      <c r="P230" s="602"/>
      <c r="Q230" s="463"/>
    </row>
    <row r="231" spans="1:17" ht="15.75" customHeight="1" x14ac:dyDescent="0.55000000000000004">
      <c r="A231" s="447"/>
      <c r="B231" s="194"/>
      <c r="C231" s="582" t="s">
        <v>30</v>
      </c>
      <c r="D231" s="67" t="s">
        <v>13</v>
      </c>
      <c r="E231" s="583">
        <v>15</v>
      </c>
      <c r="F231" s="67" t="s">
        <v>15</v>
      </c>
      <c r="G231" s="298" t="s">
        <v>246</v>
      </c>
      <c r="H231" s="66">
        <v>1.1000000000000001</v>
      </c>
      <c r="I231" s="66">
        <v>0.85</v>
      </c>
      <c r="J231" s="66">
        <v>0.6</v>
      </c>
      <c r="K231" s="276">
        <v>1</v>
      </c>
      <c r="L231" s="277">
        <v>0.56100000000000005</v>
      </c>
      <c r="M231" s="280" t="s">
        <v>164</v>
      </c>
      <c r="N231" s="195"/>
      <c r="O231" s="196"/>
      <c r="P231" s="601"/>
      <c r="Q231" s="463"/>
    </row>
    <row r="232" spans="1:17" ht="15.75" customHeight="1" x14ac:dyDescent="0.55000000000000004">
      <c r="A232" s="447"/>
      <c r="B232" s="194"/>
      <c r="C232" s="582" t="s">
        <v>30</v>
      </c>
      <c r="D232" s="67" t="s">
        <v>13</v>
      </c>
      <c r="E232" s="583">
        <v>15</v>
      </c>
      <c r="F232" s="67" t="s">
        <v>15</v>
      </c>
      <c r="G232" s="298" t="s">
        <v>252</v>
      </c>
      <c r="H232" s="66">
        <v>1.1000000000000001</v>
      </c>
      <c r="I232" s="66">
        <v>0.65</v>
      </c>
      <c r="J232" s="66">
        <v>0.6</v>
      </c>
      <c r="K232" s="276">
        <v>1</v>
      </c>
      <c r="L232" s="277">
        <v>0.42900000000000005</v>
      </c>
      <c r="M232" s="280" t="s">
        <v>164</v>
      </c>
      <c r="N232" s="195"/>
      <c r="O232" s="196"/>
      <c r="P232" s="601"/>
      <c r="Q232" s="463"/>
    </row>
    <row r="233" spans="1:17" ht="15.75" customHeight="1" x14ac:dyDescent="0.2">
      <c r="A233" s="447"/>
      <c r="B233" s="194"/>
      <c r="C233" s="582" t="s">
        <v>30</v>
      </c>
      <c r="D233" s="67" t="s">
        <v>13</v>
      </c>
      <c r="E233" s="583">
        <v>15</v>
      </c>
      <c r="F233" s="67" t="s">
        <v>15</v>
      </c>
      <c r="G233" s="298" t="s">
        <v>249</v>
      </c>
      <c r="H233" s="66">
        <v>1.1000000000000001</v>
      </c>
      <c r="I233" s="66">
        <v>1.05</v>
      </c>
      <c r="J233" s="66">
        <v>0.6</v>
      </c>
      <c r="K233" s="276">
        <v>1</v>
      </c>
      <c r="L233" s="277">
        <v>0.69300000000000017</v>
      </c>
      <c r="M233" s="280" t="s">
        <v>164</v>
      </c>
      <c r="N233" s="195"/>
      <c r="O233" s="196"/>
      <c r="P233" s="602"/>
      <c r="Q233" s="463"/>
    </row>
    <row r="234" spans="1:17" ht="15.75" customHeight="1" x14ac:dyDescent="0.55000000000000004">
      <c r="A234" s="447"/>
      <c r="B234" s="194"/>
      <c r="C234" s="582" t="s">
        <v>30</v>
      </c>
      <c r="D234" s="67" t="s">
        <v>13</v>
      </c>
      <c r="E234" s="583">
        <v>15</v>
      </c>
      <c r="F234" s="67" t="s">
        <v>15</v>
      </c>
      <c r="G234" s="298" t="s">
        <v>368</v>
      </c>
      <c r="H234" s="66">
        <v>1.1000000000000001</v>
      </c>
      <c r="I234" s="66">
        <v>0.85</v>
      </c>
      <c r="J234" s="66">
        <v>0.6</v>
      </c>
      <c r="K234" s="276">
        <v>1</v>
      </c>
      <c r="L234" s="277">
        <v>0.56100000000000005</v>
      </c>
      <c r="M234" s="280" t="s">
        <v>164</v>
      </c>
      <c r="N234" s="195"/>
      <c r="O234" s="196"/>
      <c r="P234" s="601"/>
      <c r="Q234" s="463"/>
    </row>
    <row r="235" spans="1:17" ht="15.75" customHeight="1" x14ac:dyDescent="0.2">
      <c r="A235" s="447"/>
      <c r="B235" s="194"/>
      <c r="C235" s="582" t="s">
        <v>30</v>
      </c>
      <c r="D235" s="67" t="s">
        <v>13</v>
      </c>
      <c r="E235" s="583">
        <v>15</v>
      </c>
      <c r="F235" s="67" t="s">
        <v>15</v>
      </c>
      <c r="G235" s="298" t="s">
        <v>250</v>
      </c>
      <c r="H235" s="66">
        <v>1.2</v>
      </c>
      <c r="I235" s="66">
        <v>0.65</v>
      </c>
      <c r="J235" s="66">
        <v>0.6</v>
      </c>
      <c r="K235" s="276">
        <v>1</v>
      </c>
      <c r="L235" s="277">
        <v>0.46799999999999997</v>
      </c>
      <c r="M235" s="280" t="s">
        <v>164</v>
      </c>
      <c r="N235" s="195"/>
      <c r="O235" s="196"/>
      <c r="P235" s="602"/>
      <c r="Q235" s="463"/>
    </row>
    <row r="236" spans="1:17" ht="15.75" customHeight="1" x14ac:dyDescent="0.55000000000000004">
      <c r="A236" s="447"/>
      <c r="B236" s="194"/>
      <c r="C236" s="582" t="s">
        <v>30</v>
      </c>
      <c r="D236" s="67" t="s">
        <v>13</v>
      </c>
      <c r="E236" s="583">
        <v>15</v>
      </c>
      <c r="F236" s="67" t="s">
        <v>15</v>
      </c>
      <c r="G236" s="298" t="s">
        <v>369</v>
      </c>
      <c r="H236" s="66">
        <v>1.1000000000000001</v>
      </c>
      <c r="I236" s="66">
        <v>0.95</v>
      </c>
      <c r="J236" s="66">
        <v>0.6</v>
      </c>
      <c r="K236" s="276">
        <v>1</v>
      </c>
      <c r="L236" s="277">
        <v>0.62699999999999989</v>
      </c>
      <c r="M236" s="280" t="s">
        <v>164</v>
      </c>
      <c r="N236" s="195"/>
      <c r="O236" s="196"/>
      <c r="P236" s="601"/>
      <c r="Q236" s="463"/>
    </row>
    <row r="237" spans="1:17" ht="15.75" customHeight="1" x14ac:dyDescent="0.2">
      <c r="A237" s="447"/>
      <c r="B237" s="194"/>
      <c r="C237" s="582" t="s">
        <v>30</v>
      </c>
      <c r="D237" s="67" t="s">
        <v>13</v>
      </c>
      <c r="E237" s="583">
        <v>15</v>
      </c>
      <c r="F237" s="67" t="s">
        <v>15</v>
      </c>
      <c r="G237" s="298" t="s">
        <v>370</v>
      </c>
      <c r="H237" s="66">
        <v>0.8</v>
      </c>
      <c r="I237" s="66">
        <v>0.85</v>
      </c>
      <c r="J237" s="66">
        <v>0.6</v>
      </c>
      <c r="K237" s="276">
        <v>1</v>
      </c>
      <c r="L237" s="277">
        <v>0.40800000000000003</v>
      </c>
      <c r="M237" s="280" t="s">
        <v>164</v>
      </c>
      <c r="N237" s="195"/>
      <c r="O237" s="196"/>
      <c r="P237" s="602"/>
      <c r="Q237" s="463"/>
    </row>
    <row r="238" spans="1:17" ht="15.75" customHeight="1" x14ac:dyDescent="0.55000000000000004">
      <c r="A238" s="447"/>
      <c r="B238" s="194"/>
      <c r="C238" s="582" t="s">
        <v>30</v>
      </c>
      <c r="D238" s="67" t="s">
        <v>13</v>
      </c>
      <c r="E238" s="583">
        <v>15</v>
      </c>
      <c r="F238" s="67" t="s">
        <v>15</v>
      </c>
      <c r="G238" s="298" t="s">
        <v>276</v>
      </c>
      <c r="H238" s="66">
        <v>1.1000000000000001</v>
      </c>
      <c r="I238" s="66">
        <v>0.55000000000000004</v>
      </c>
      <c r="J238" s="66">
        <v>0.6</v>
      </c>
      <c r="K238" s="276">
        <v>1</v>
      </c>
      <c r="L238" s="277">
        <v>0.36300000000000004</v>
      </c>
      <c r="M238" s="280" t="s">
        <v>164</v>
      </c>
      <c r="N238" s="195"/>
      <c r="O238" s="196"/>
      <c r="P238" s="601"/>
      <c r="Q238" s="463"/>
    </row>
    <row r="239" spans="1:17" ht="15.75" customHeight="1" x14ac:dyDescent="0.2">
      <c r="A239" s="447"/>
      <c r="B239" s="194"/>
      <c r="C239" s="582" t="s">
        <v>30</v>
      </c>
      <c r="D239" s="67" t="s">
        <v>13</v>
      </c>
      <c r="E239" s="583">
        <v>15</v>
      </c>
      <c r="F239" s="67" t="s">
        <v>15</v>
      </c>
      <c r="G239" s="298" t="s">
        <v>371</v>
      </c>
      <c r="H239" s="66">
        <v>1.2</v>
      </c>
      <c r="I239" s="66">
        <v>0.85</v>
      </c>
      <c r="J239" s="66">
        <v>0.6</v>
      </c>
      <c r="K239" s="276">
        <v>1</v>
      </c>
      <c r="L239" s="277">
        <v>0.61199999999999999</v>
      </c>
      <c r="M239" s="280" t="s">
        <v>164</v>
      </c>
      <c r="N239" s="195"/>
      <c r="O239" s="196"/>
      <c r="P239" s="602"/>
      <c r="Q239" s="463"/>
    </row>
    <row r="240" spans="1:17" ht="15.75" customHeight="1" x14ac:dyDescent="0.55000000000000004">
      <c r="A240" s="447"/>
      <c r="B240" s="194"/>
      <c r="C240" s="582" t="s">
        <v>30</v>
      </c>
      <c r="D240" s="67" t="s">
        <v>13</v>
      </c>
      <c r="E240" s="583">
        <v>15</v>
      </c>
      <c r="F240" s="67" t="s">
        <v>15</v>
      </c>
      <c r="G240" s="298" t="s">
        <v>281</v>
      </c>
      <c r="H240" s="66">
        <v>0.8</v>
      </c>
      <c r="I240" s="66">
        <v>0.85</v>
      </c>
      <c r="J240" s="66">
        <v>0.6</v>
      </c>
      <c r="K240" s="276">
        <v>1</v>
      </c>
      <c r="L240" s="277">
        <v>0.40800000000000003</v>
      </c>
      <c r="M240" s="280" t="s">
        <v>164</v>
      </c>
      <c r="N240" s="195"/>
      <c r="O240" s="196"/>
      <c r="P240" s="601"/>
      <c r="Q240" s="463"/>
    </row>
    <row r="241" spans="1:17" ht="15.75" customHeight="1" x14ac:dyDescent="0.55000000000000004">
      <c r="A241" s="447"/>
      <c r="B241" s="194"/>
      <c r="C241" s="582" t="s">
        <v>30</v>
      </c>
      <c r="D241" s="67" t="s">
        <v>13</v>
      </c>
      <c r="E241" s="583">
        <v>15</v>
      </c>
      <c r="F241" s="67" t="s">
        <v>4</v>
      </c>
      <c r="G241" s="298" t="s">
        <v>372</v>
      </c>
      <c r="H241" s="66">
        <v>1.1000000000000001</v>
      </c>
      <c r="I241" s="66">
        <v>0.85</v>
      </c>
      <c r="J241" s="66">
        <v>0.6</v>
      </c>
      <c r="K241" s="276">
        <v>1</v>
      </c>
      <c r="L241" s="277">
        <v>0.56100000000000005</v>
      </c>
      <c r="M241" s="280" t="s">
        <v>164</v>
      </c>
      <c r="N241" s="195"/>
      <c r="O241" s="196"/>
      <c r="P241" s="601"/>
      <c r="Q241" s="463"/>
    </row>
    <row r="242" spans="1:17" ht="15.75" customHeight="1" x14ac:dyDescent="0.55000000000000004">
      <c r="A242" s="447"/>
      <c r="B242" s="194"/>
      <c r="C242" s="582" t="s">
        <v>30</v>
      </c>
      <c r="D242" s="67" t="s">
        <v>13</v>
      </c>
      <c r="E242" s="583">
        <v>15</v>
      </c>
      <c r="F242" s="67" t="s">
        <v>15</v>
      </c>
      <c r="G242" s="298" t="s">
        <v>260</v>
      </c>
      <c r="H242" s="66">
        <v>1.2</v>
      </c>
      <c r="I242" s="66">
        <v>0.85</v>
      </c>
      <c r="J242" s="66">
        <v>0.6</v>
      </c>
      <c r="K242" s="276">
        <v>1</v>
      </c>
      <c r="L242" s="277">
        <v>0.61199999999999999</v>
      </c>
      <c r="M242" s="280" t="s">
        <v>164</v>
      </c>
      <c r="N242" s="195"/>
      <c r="O242" s="196"/>
      <c r="P242" s="601"/>
      <c r="Q242" s="463"/>
    </row>
    <row r="243" spans="1:17" ht="15.75" customHeight="1" x14ac:dyDescent="0.2">
      <c r="A243" s="447"/>
      <c r="B243" s="194"/>
      <c r="C243" s="582" t="s">
        <v>30</v>
      </c>
      <c r="D243" s="67" t="s">
        <v>13</v>
      </c>
      <c r="E243" s="583">
        <v>15</v>
      </c>
      <c r="F243" s="67" t="s">
        <v>15</v>
      </c>
      <c r="G243" s="298" t="s">
        <v>282</v>
      </c>
      <c r="H243" s="66">
        <v>1.2</v>
      </c>
      <c r="I243" s="66">
        <v>0.65</v>
      </c>
      <c r="J243" s="66">
        <v>0.6</v>
      </c>
      <c r="K243" s="276">
        <v>1</v>
      </c>
      <c r="L243" s="277">
        <v>0.46799999999999997</v>
      </c>
      <c r="M243" s="280" t="s">
        <v>164</v>
      </c>
      <c r="N243" s="195"/>
      <c r="O243" s="196"/>
      <c r="P243" s="602"/>
      <c r="Q243" s="463"/>
    </row>
    <row r="244" spans="1:17" ht="15.75" customHeight="1" x14ac:dyDescent="0.2">
      <c r="A244" s="447"/>
      <c r="B244" s="194"/>
      <c r="C244" s="582" t="s">
        <v>30</v>
      </c>
      <c r="D244" s="67" t="s">
        <v>13</v>
      </c>
      <c r="E244" s="583">
        <v>15</v>
      </c>
      <c r="F244" s="67" t="s">
        <v>4</v>
      </c>
      <c r="G244" s="298" t="s">
        <v>261</v>
      </c>
      <c r="H244" s="66">
        <v>0.9</v>
      </c>
      <c r="I244" s="66">
        <v>0.65</v>
      </c>
      <c r="J244" s="66">
        <v>0.6</v>
      </c>
      <c r="K244" s="276">
        <v>1</v>
      </c>
      <c r="L244" s="277">
        <v>0.35100000000000003</v>
      </c>
      <c r="M244" s="280" t="s">
        <v>164</v>
      </c>
      <c r="N244" s="195"/>
      <c r="O244" s="196"/>
      <c r="P244" s="602"/>
      <c r="Q244" s="463"/>
    </row>
    <row r="245" spans="1:17" ht="15.75" customHeight="1" x14ac:dyDescent="0.55000000000000004">
      <c r="A245" s="447"/>
      <c r="B245" s="194"/>
      <c r="C245" s="582" t="s">
        <v>30</v>
      </c>
      <c r="D245" s="67" t="s">
        <v>13</v>
      </c>
      <c r="E245" s="583">
        <v>15</v>
      </c>
      <c r="F245" s="67" t="s">
        <v>3</v>
      </c>
      <c r="G245" s="298" t="s">
        <v>283</v>
      </c>
      <c r="H245" s="66">
        <v>0.9</v>
      </c>
      <c r="I245" s="66">
        <v>1.2</v>
      </c>
      <c r="J245" s="66">
        <v>0.65</v>
      </c>
      <c r="K245" s="276">
        <v>1</v>
      </c>
      <c r="L245" s="277">
        <v>0.70200000000000007</v>
      </c>
      <c r="M245" s="280" t="s">
        <v>164</v>
      </c>
      <c r="N245" s="195"/>
      <c r="O245" s="196"/>
      <c r="P245" s="601"/>
      <c r="Q245" s="463"/>
    </row>
    <row r="246" spans="1:17" ht="15.75" customHeight="1" x14ac:dyDescent="0.2">
      <c r="A246" s="447"/>
      <c r="B246" s="194"/>
      <c r="C246" s="582" t="s">
        <v>30</v>
      </c>
      <c r="D246" s="67" t="s">
        <v>13</v>
      </c>
      <c r="E246" s="583">
        <v>15</v>
      </c>
      <c r="F246" s="67" t="s">
        <v>4</v>
      </c>
      <c r="G246" s="298" t="s">
        <v>262</v>
      </c>
      <c r="H246" s="66">
        <v>0.9</v>
      </c>
      <c r="I246" s="66">
        <v>0.55000000000000004</v>
      </c>
      <c r="J246" s="66">
        <v>0.6</v>
      </c>
      <c r="K246" s="276">
        <v>1</v>
      </c>
      <c r="L246" s="277">
        <v>0.29700000000000004</v>
      </c>
      <c r="M246" s="280" t="s">
        <v>164</v>
      </c>
      <c r="N246" s="195"/>
      <c r="O246" s="196"/>
      <c r="P246" s="602"/>
      <c r="Q246" s="463"/>
    </row>
    <row r="247" spans="1:17" ht="15.75" customHeight="1" x14ac:dyDescent="0.2">
      <c r="A247" s="447"/>
      <c r="B247" s="194"/>
      <c r="C247" s="582" t="s">
        <v>30</v>
      </c>
      <c r="D247" s="67" t="s">
        <v>13</v>
      </c>
      <c r="E247" s="583">
        <v>15</v>
      </c>
      <c r="F247" s="67" t="s">
        <v>15</v>
      </c>
      <c r="G247" s="298" t="s">
        <v>286</v>
      </c>
      <c r="H247" s="66">
        <v>1.4</v>
      </c>
      <c r="I247" s="66">
        <v>0.65</v>
      </c>
      <c r="J247" s="66">
        <v>0.6</v>
      </c>
      <c r="K247" s="276">
        <v>1</v>
      </c>
      <c r="L247" s="277">
        <v>0.54599999999999993</v>
      </c>
      <c r="M247" s="280" t="s">
        <v>164</v>
      </c>
      <c r="N247" s="195"/>
      <c r="O247" s="196"/>
      <c r="P247" s="602"/>
      <c r="Q247" s="463"/>
    </row>
    <row r="248" spans="1:17" ht="15.75" customHeight="1" x14ac:dyDescent="0.2">
      <c r="A248" s="447"/>
      <c r="B248" s="194"/>
      <c r="C248" s="582" t="s">
        <v>30</v>
      </c>
      <c r="D248" s="67" t="s">
        <v>13</v>
      </c>
      <c r="E248" s="583">
        <v>15</v>
      </c>
      <c r="F248" s="67" t="s">
        <v>15</v>
      </c>
      <c r="G248" s="298" t="s">
        <v>373</v>
      </c>
      <c r="H248" s="66">
        <v>1.2</v>
      </c>
      <c r="I248" s="66">
        <v>0.65</v>
      </c>
      <c r="J248" s="66">
        <v>0.6</v>
      </c>
      <c r="K248" s="276">
        <v>1</v>
      </c>
      <c r="L248" s="277">
        <v>0.46799999999999997</v>
      </c>
      <c r="M248" s="280" t="s">
        <v>164</v>
      </c>
      <c r="N248" s="195"/>
      <c r="O248" s="196"/>
      <c r="P248" s="602"/>
      <c r="Q248" s="463"/>
    </row>
    <row r="249" spans="1:17" ht="15.75" customHeight="1" x14ac:dyDescent="0.2">
      <c r="A249" s="447"/>
      <c r="B249" s="194"/>
      <c r="C249" s="582" t="s">
        <v>30</v>
      </c>
      <c r="D249" s="67" t="s">
        <v>13</v>
      </c>
      <c r="E249" s="583">
        <v>15</v>
      </c>
      <c r="F249" s="67" t="s">
        <v>15</v>
      </c>
      <c r="G249" s="298" t="s">
        <v>288</v>
      </c>
      <c r="H249" s="66">
        <v>1.1000000000000001</v>
      </c>
      <c r="I249" s="66">
        <v>1.1499999999999999</v>
      </c>
      <c r="J249" s="66">
        <v>0.6</v>
      </c>
      <c r="K249" s="276">
        <v>1</v>
      </c>
      <c r="L249" s="277">
        <v>0.7589999999999999</v>
      </c>
      <c r="M249" s="280" t="s">
        <v>164</v>
      </c>
      <c r="N249" s="195"/>
      <c r="O249" s="196"/>
      <c r="P249" s="602"/>
      <c r="Q249" s="463"/>
    </row>
    <row r="250" spans="1:17" ht="15.75" customHeight="1" x14ac:dyDescent="0.2">
      <c r="A250" s="447"/>
      <c r="B250" s="194"/>
      <c r="C250" s="582" t="s">
        <v>30</v>
      </c>
      <c r="D250" s="67" t="s">
        <v>13</v>
      </c>
      <c r="E250" s="583">
        <v>15</v>
      </c>
      <c r="F250" s="67" t="s">
        <v>4</v>
      </c>
      <c r="G250" s="298" t="s">
        <v>374</v>
      </c>
      <c r="H250" s="66">
        <v>0.8</v>
      </c>
      <c r="I250" s="66">
        <v>0.75</v>
      </c>
      <c r="J250" s="66">
        <v>0.6</v>
      </c>
      <c r="K250" s="276">
        <v>1</v>
      </c>
      <c r="L250" s="277">
        <v>0.36000000000000004</v>
      </c>
      <c r="M250" s="280" t="s">
        <v>164</v>
      </c>
      <c r="N250" s="195"/>
      <c r="O250" s="196"/>
      <c r="P250" s="602"/>
      <c r="Q250" s="463"/>
    </row>
    <row r="251" spans="1:17" ht="15.75" customHeight="1" x14ac:dyDescent="0.55000000000000004">
      <c r="A251" s="447"/>
      <c r="B251" s="194"/>
      <c r="C251" s="582" t="s">
        <v>30</v>
      </c>
      <c r="D251" s="67" t="s">
        <v>13</v>
      </c>
      <c r="E251" s="583">
        <v>14</v>
      </c>
      <c r="F251" s="67" t="s">
        <v>15</v>
      </c>
      <c r="G251" s="298" t="s">
        <v>375</v>
      </c>
      <c r="H251" s="66">
        <v>1</v>
      </c>
      <c r="I251" s="66">
        <v>1.25</v>
      </c>
      <c r="J251" s="66">
        <v>0.6</v>
      </c>
      <c r="K251" s="276">
        <v>1</v>
      </c>
      <c r="L251" s="277">
        <v>0.75</v>
      </c>
      <c r="M251" s="280" t="s">
        <v>164</v>
      </c>
      <c r="N251" s="195"/>
      <c r="O251" s="196"/>
      <c r="P251" s="601"/>
      <c r="Q251" s="463"/>
    </row>
    <row r="252" spans="1:17" ht="15.75" customHeight="1" x14ac:dyDescent="0.55000000000000004">
      <c r="A252" s="447"/>
      <c r="B252" s="194"/>
      <c r="C252" s="582" t="s">
        <v>30</v>
      </c>
      <c r="D252" s="67" t="s">
        <v>13</v>
      </c>
      <c r="E252" s="583">
        <v>15</v>
      </c>
      <c r="F252" s="67" t="s">
        <v>15</v>
      </c>
      <c r="G252" s="298" t="s">
        <v>376</v>
      </c>
      <c r="H252" s="66">
        <v>0.9</v>
      </c>
      <c r="I252" s="66">
        <v>1.1000000000000001</v>
      </c>
      <c r="J252" s="66">
        <v>0.5</v>
      </c>
      <c r="K252" s="276">
        <v>1</v>
      </c>
      <c r="L252" s="277">
        <v>0.49500000000000005</v>
      </c>
      <c r="M252" s="280" t="s">
        <v>164</v>
      </c>
      <c r="N252" s="195"/>
      <c r="O252" s="196"/>
      <c r="P252" s="601"/>
      <c r="Q252" s="463"/>
    </row>
    <row r="253" spans="1:17" ht="15.75" customHeight="1" x14ac:dyDescent="0.55000000000000004">
      <c r="A253" s="447"/>
      <c r="B253" s="194"/>
      <c r="C253" s="582" t="s">
        <v>30</v>
      </c>
      <c r="D253" s="67" t="s">
        <v>13</v>
      </c>
      <c r="E253" s="583">
        <v>15</v>
      </c>
      <c r="F253" s="67" t="s">
        <v>15</v>
      </c>
      <c r="G253" s="298" t="s">
        <v>308</v>
      </c>
      <c r="H253" s="66">
        <v>1.2</v>
      </c>
      <c r="I253" s="66">
        <v>0.55000000000000004</v>
      </c>
      <c r="J253" s="66">
        <v>0.6</v>
      </c>
      <c r="K253" s="276">
        <v>1</v>
      </c>
      <c r="L253" s="277">
        <v>0.39600000000000002</v>
      </c>
      <c r="M253" s="280" t="s">
        <v>164</v>
      </c>
      <c r="N253" s="195"/>
      <c r="O253" s="196"/>
      <c r="P253" s="601"/>
      <c r="Q253" s="463"/>
    </row>
    <row r="254" spans="1:17" ht="15.75" customHeight="1" x14ac:dyDescent="0.55000000000000004">
      <c r="A254" s="447"/>
      <c r="B254" s="194"/>
      <c r="C254" s="582" t="s">
        <v>30</v>
      </c>
      <c r="D254" s="67" t="s">
        <v>13</v>
      </c>
      <c r="E254" s="583">
        <v>15</v>
      </c>
      <c r="F254" s="67" t="s">
        <v>15</v>
      </c>
      <c r="G254" s="298" t="s">
        <v>377</v>
      </c>
      <c r="H254" s="66">
        <v>1.1000000000000001</v>
      </c>
      <c r="I254" s="66">
        <v>0.65</v>
      </c>
      <c r="J254" s="66">
        <v>0.6</v>
      </c>
      <c r="K254" s="276">
        <v>1</v>
      </c>
      <c r="L254" s="277">
        <v>0.42900000000000005</v>
      </c>
      <c r="M254" s="280" t="s">
        <v>164</v>
      </c>
      <c r="N254" s="195"/>
      <c r="O254" s="196"/>
      <c r="P254" s="601"/>
      <c r="Q254" s="463"/>
    </row>
    <row r="255" spans="1:17" ht="15.75" customHeight="1" x14ac:dyDescent="0.55000000000000004">
      <c r="A255" s="447"/>
      <c r="B255" s="194"/>
      <c r="C255" s="582" t="s">
        <v>30</v>
      </c>
      <c r="D255" s="67" t="s">
        <v>13</v>
      </c>
      <c r="E255" s="583">
        <v>15</v>
      </c>
      <c r="F255" s="67" t="s">
        <v>15</v>
      </c>
      <c r="G255" s="298" t="s">
        <v>378</v>
      </c>
      <c r="H255" s="66">
        <v>1.2</v>
      </c>
      <c r="I255" s="66">
        <v>0.55000000000000004</v>
      </c>
      <c r="J255" s="66">
        <v>0.6</v>
      </c>
      <c r="K255" s="276">
        <v>1</v>
      </c>
      <c r="L255" s="277">
        <v>0.39600000000000002</v>
      </c>
      <c r="M255" s="280" t="s">
        <v>164</v>
      </c>
      <c r="N255" s="195"/>
      <c r="O255" s="196"/>
      <c r="P255" s="601"/>
      <c r="Q255" s="463"/>
    </row>
    <row r="256" spans="1:17" ht="15.75" customHeight="1" x14ac:dyDescent="0.55000000000000004">
      <c r="A256" s="447"/>
      <c r="B256" s="194"/>
      <c r="C256" s="582" t="s">
        <v>30</v>
      </c>
      <c r="D256" s="67" t="s">
        <v>13</v>
      </c>
      <c r="E256" s="583">
        <v>15</v>
      </c>
      <c r="F256" s="67" t="s">
        <v>15</v>
      </c>
      <c r="G256" s="298" t="s">
        <v>291</v>
      </c>
      <c r="H256" s="66">
        <v>1.2</v>
      </c>
      <c r="I256" s="66">
        <v>0.45</v>
      </c>
      <c r="J256" s="66">
        <v>0.6</v>
      </c>
      <c r="K256" s="276">
        <v>1</v>
      </c>
      <c r="L256" s="277">
        <v>0.32400000000000001</v>
      </c>
      <c r="M256" s="280" t="s">
        <v>164</v>
      </c>
      <c r="N256" s="195"/>
      <c r="O256" s="196"/>
      <c r="P256" s="601"/>
      <c r="Q256" s="463"/>
    </row>
    <row r="257" spans="1:17" ht="15.75" customHeight="1" x14ac:dyDescent="0.2">
      <c r="A257" s="447"/>
      <c r="B257" s="194"/>
      <c r="C257" s="582" t="s">
        <v>30</v>
      </c>
      <c r="D257" s="67" t="s">
        <v>13</v>
      </c>
      <c r="E257" s="583">
        <v>15</v>
      </c>
      <c r="F257" s="67" t="s">
        <v>4</v>
      </c>
      <c r="G257" s="298" t="s">
        <v>294</v>
      </c>
      <c r="H257" s="66">
        <v>0.8</v>
      </c>
      <c r="I257" s="66">
        <v>0.55000000000000004</v>
      </c>
      <c r="J257" s="66">
        <v>0.6</v>
      </c>
      <c r="K257" s="276">
        <v>1</v>
      </c>
      <c r="L257" s="277">
        <v>0.26400000000000001</v>
      </c>
      <c r="M257" s="280" t="s">
        <v>164</v>
      </c>
      <c r="N257" s="195"/>
      <c r="O257" s="196"/>
      <c r="P257" s="602"/>
      <c r="Q257" s="463"/>
    </row>
    <row r="258" spans="1:17" ht="15.75" customHeight="1" x14ac:dyDescent="0.55000000000000004">
      <c r="A258" s="447"/>
      <c r="B258" s="194"/>
      <c r="C258" s="582" t="s">
        <v>30</v>
      </c>
      <c r="D258" s="67" t="s">
        <v>13</v>
      </c>
      <c r="E258" s="583">
        <v>15</v>
      </c>
      <c r="F258" s="67" t="s">
        <v>15</v>
      </c>
      <c r="G258" s="298" t="s">
        <v>379</v>
      </c>
      <c r="H258" s="66">
        <v>1.4</v>
      </c>
      <c r="I258" s="66">
        <v>1.05</v>
      </c>
      <c r="J258" s="66">
        <v>0.6</v>
      </c>
      <c r="K258" s="276">
        <v>1</v>
      </c>
      <c r="L258" s="277">
        <v>0.88200000000000001</v>
      </c>
      <c r="M258" s="280" t="s">
        <v>164</v>
      </c>
      <c r="N258" s="195"/>
      <c r="O258" s="196"/>
      <c r="P258" s="601"/>
      <c r="Q258" s="463"/>
    </row>
    <row r="259" spans="1:17" ht="15.75" customHeight="1" x14ac:dyDescent="0.2">
      <c r="A259" s="447"/>
      <c r="B259" s="194"/>
      <c r="C259" s="582" t="s">
        <v>30</v>
      </c>
      <c r="D259" s="67" t="s">
        <v>13</v>
      </c>
      <c r="E259" s="583">
        <v>15</v>
      </c>
      <c r="F259" s="67" t="s">
        <v>15</v>
      </c>
      <c r="G259" s="298" t="s">
        <v>315</v>
      </c>
      <c r="H259" s="66">
        <v>1</v>
      </c>
      <c r="I259" s="66">
        <v>0.45</v>
      </c>
      <c r="J259" s="66">
        <v>0.6</v>
      </c>
      <c r="K259" s="276">
        <v>1</v>
      </c>
      <c r="L259" s="277">
        <v>0.27</v>
      </c>
      <c r="M259" s="280" t="s">
        <v>164</v>
      </c>
      <c r="N259" s="195"/>
      <c r="O259" s="196"/>
      <c r="P259" s="602"/>
      <c r="Q259" s="463"/>
    </row>
    <row r="260" spans="1:17" ht="15.75" customHeight="1" x14ac:dyDescent="0.55000000000000004">
      <c r="A260" s="447"/>
      <c r="B260" s="194"/>
      <c r="C260" s="582" t="s">
        <v>30</v>
      </c>
      <c r="D260" s="67" t="s">
        <v>13</v>
      </c>
      <c r="E260" s="583">
        <v>15</v>
      </c>
      <c r="F260" s="67" t="s">
        <v>15</v>
      </c>
      <c r="G260" s="298" t="s">
        <v>380</v>
      </c>
      <c r="H260" s="66">
        <v>0.9</v>
      </c>
      <c r="I260" s="66">
        <v>0.95</v>
      </c>
      <c r="J260" s="66">
        <v>0.6</v>
      </c>
      <c r="K260" s="276">
        <v>1</v>
      </c>
      <c r="L260" s="277">
        <v>0.51300000000000001</v>
      </c>
      <c r="M260" s="280" t="s">
        <v>164</v>
      </c>
      <c r="N260" s="195"/>
      <c r="O260" s="196"/>
      <c r="P260" s="601"/>
      <c r="Q260" s="463"/>
    </row>
    <row r="261" spans="1:17" ht="15.75" customHeight="1" x14ac:dyDescent="0.2">
      <c r="A261" s="447"/>
      <c r="B261" s="194"/>
      <c r="C261" s="582" t="s">
        <v>30</v>
      </c>
      <c r="D261" s="67" t="s">
        <v>13</v>
      </c>
      <c r="E261" s="583">
        <v>15</v>
      </c>
      <c r="F261" s="67" t="s">
        <v>4</v>
      </c>
      <c r="G261" s="298" t="s">
        <v>317</v>
      </c>
      <c r="H261" s="66">
        <v>0.9</v>
      </c>
      <c r="I261" s="66">
        <v>0.75</v>
      </c>
      <c r="J261" s="66">
        <v>0.6</v>
      </c>
      <c r="K261" s="276">
        <v>1</v>
      </c>
      <c r="L261" s="277">
        <v>0.40500000000000003</v>
      </c>
      <c r="M261" s="280" t="s">
        <v>164</v>
      </c>
      <c r="N261" s="195"/>
      <c r="O261" s="196"/>
      <c r="P261" s="602"/>
      <c r="Q261" s="463"/>
    </row>
    <row r="262" spans="1:17" ht="15.75" customHeight="1" x14ac:dyDescent="0.2">
      <c r="A262" s="447"/>
      <c r="B262" s="194"/>
      <c r="C262" s="582" t="s">
        <v>30</v>
      </c>
      <c r="D262" s="67" t="s">
        <v>13</v>
      </c>
      <c r="E262" s="583">
        <v>15</v>
      </c>
      <c r="F262" s="67" t="s">
        <v>15</v>
      </c>
      <c r="G262" s="298" t="s">
        <v>381</v>
      </c>
      <c r="H262" s="66">
        <v>1.2</v>
      </c>
      <c r="I262" s="66">
        <v>0.55000000000000004</v>
      </c>
      <c r="J262" s="66">
        <v>0.6</v>
      </c>
      <c r="K262" s="276">
        <v>1</v>
      </c>
      <c r="L262" s="277">
        <v>0.39600000000000002</v>
      </c>
      <c r="M262" s="280" t="s">
        <v>164</v>
      </c>
      <c r="N262" s="195"/>
      <c r="O262" s="196"/>
      <c r="P262" s="602"/>
      <c r="Q262" s="463"/>
    </row>
    <row r="263" spans="1:17" ht="15.75" customHeight="1" x14ac:dyDescent="0.2">
      <c r="A263" s="447"/>
      <c r="B263" s="194"/>
      <c r="C263" s="582" t="s">
        <v>30</v>
      </c>
      <c r="D263" s="67" t="s">
        <v>13</v>
      </c>
      <c r="E263" s="583">
        <v>14</v>
      </c>
      <c r="F263" s="67" t="s">
        <v>15</v>
      </c>
      <c r="G263" s="298" t="s">
        <v>382</v>
      </c>
      <c r="H263" s="66">
        <v>1</v>
      </c>
      <c r="I263" s="66">
        <v>0.65</v>
      </c>
      <c r="J263" s="66">
        <v>0.6</v>
      </c>
      <c r="K263" s="276">
        <v>1</v>
      </c>
      <c r="L263" s="277">
        <v>0.39</v>
      </c>
      <c r="M263" s="280" t="s">
        <v>164</v>
      </c>
      <c r="N263" s="195"/>
      <c r="O263" s="196"/>
      <c r="P263" s="602"/>
      <c r="Q263" s="463"/>
    </row>
    <row r="264" spans="1:17" ht="15.75" customHeight="1" x14ac:dyDescent="0.55000000000000004">
      <c r="A264" s="447"/>
      <c r="B264" s="194"/>
      <c r="C264" s="582" t="s">
        <v>30</v>
      </c>
      <c r="D264" s="67" t="s">
        <v>13</v>
      </c>
      <c r="E264" s="583">
        <v>14</v>
      </c>
      <c r="F264" s="67" t="s">
        <v>15</v>
      </c>
      <c r="G264" s="298" t="s">
        <v>384</v>
      </c>
      <c r="H264" s="66">
        <v>0.8</v>
      </c>
      <c r="I264" s="66">
        <v>0.85</v>
      </c>
      <c r="J264" s="66">
        <v>0.6</v>
      </c>
      <c r="K264" s="276">
        <v>1</v>
      </c>
      <c r="L264" s="277">
        <v>0.40800000000000003</v>
      </c>
      <c r="M264" s="280" t="s">
        <v>164</v>
      </c>
      <c r="N264" s="195"/>
      <c r="O264" s="196"/>
      <c r="P264" s="601"/>
      <c r="Q264" s="463"/>
    </row>
    <row r="265" spans="1:17" ht="15.75" customHeight="1" x14ac:dyDescent="0.2">
      <c r="A265" s="447"/>
      <c r="B265" s="194"/>
      <c r="C265" s="582" t="s">
        <v>30</v>
      </c>
      <c r="D265" s="67" t="s">
        <v>13</v>
      </c>
      <c r="E265" s="583">
        <v>14</v>
      </c>
      <c r="F265" s="67" t="s">
        <v>15</v>
      </c>
      <c r="G265" s="298" t="s">
        <v>385</v>
      </c>
      <c r="H265" s="66">
        <v>1.1000000000000001</v>
      </c>
      <c r="I265" s="66">
        <v>0.85</v>
      </c>
      <c r="J265" s="66">
        <v>0.6</v>
      </c>
      <c r="K265" s="276">
        <v>1</v>
      </c>
      <c r="L265" s="277">
        <v>0.56100000000000005</v>
      </c>
      <c r="M265" s="280" t="s">
        <v>164</v>
      </c>
      <c r="N265" s="195"/>
      <c r="O265" s="196"/>
      <c r="P265" s="602"/>
      <c r="Q265" s="463"/>
    </row>
    <row r="266" spans="1:17" ht="15.75" customHeight="1" x14ac:dyDescent="0.55000000000000004">
      <c r="A266" s="447"/>
      <c r="B266" s="194"/>
      <c r="C266" s="582" t="s">
        <v>30</v>
      </c>
      <c r="D266" s="67" t="s">
        <v>13</v>
      </c>
      <c r="E266" s="583">
        <v>14</v>
      </c>
      <c r="F266" s="67" t="s">
        <v>15</v>
      </c>
      <c r="G266" s="298" t="s">
        <v>386</v>
      </c>
      <c r="H266" s="66">
        <v>1</v>
      </c>
      <c r="I266" s="66">
        <v>1.25</v>
      </c>
      <c r="J266" s="66">
        <v>0.6</v>
      </c>
      <c r="K266" s="276">
        <v>1</v>
      </c>
      <c r="L266" s="277">
        <v>0.75</v>
      </c>
      <c r="M266" s="280" t="s">
        <v>164</v>
      </c>
      <c r="N266" s="195"/>
      <c r="O266" s="196"/>
      <c r="P266" s="601"/>
      <c r="Q266" s="463"/>
    </row>
    <row r="267" spans="1:17" ht="15.75" customHeight="1" x14ac:dyDescent="0.55000000000000004">
      <c r="A267" s="447"/>
      <c r="B267" s="194"/>
      <c r="C267" s="582" t="s">
        <v>30</v>
      </c>
      <c r="D267" s="67" t="s">
        <v>13</v>
      </c>
      <c r="E267" s="583">
        <v>14</v>
      </c>
      <c r="F267" s="67" t="s">
        <v>15</v>
      </c>
      <c r="G267" s="298" t="s">
        <v>387</v>
      </c>
      <c r="H267" s="66">
        <v>1.2</v>
      </c>
      <c r="I267" s="66">
        <v>1.2</v>
      </c>
      <c r="J267" s="66">
        <v>0.65</v>
      </c>
      <c r="K267" s="276">
        <v>1</v>
      </c>
      <c r="L267" s="277">
        <v>0.93599999999999994</v>
      </c>
      <c r="M267" s="280" t="s">
        <v>164</v>
      </c>
      <c r="N267" s="195"/>
      <c r="O267" s="196"/>
      <c r="P267" s="601"/>
      <c r="Q267" s="463"/>
    </row>
    <row r="268" spans="1:17" ht="15.75" customHeight="1" x14ac:dyDescent="0.55000000000000004">
      <c r="A268" s="447"/>
      <c r="B268" s="194"/>
      <c r="C268" s="582" t="s">
        <v>30</v>
      </c>
      <c r="D268" s="67" t="s">
        <v>13</v>
      </c>
      <c r="E268" s="583">
        <v>15</v>
      </c>
      <c r="F268" s="67" t="s">
        <v>15</v>
      </c>
      <c r="G268" s="298" t="s">
        <v>388</v>
      </c>
      <c r="H268" s="66">
        <v>1</v>
      </c>
      <c r="I268" s="66">
        <v>0.55000000000000004</v>
      </c>
      <c r="J268" s="66">
        <v>0.6</v>
      </c>
      <c r="K268" s="276">
        <v>1</v>
      </c>
      <c r="L268" s="277">
        <v>0.33</v>
      </c>
      <c r="M268" s="280" t="s">
        <v>164</v>
      </c>
      <c r="N268" s="195"/>
      <c r="O268" s="196"/>
      <c r="P268" s="601"/>
      <c r="Q268" s="463"/>
    </row>
    <row r="269" spans="1:17" ht="15.75" customHeight="1" x14ac:dyDescent="0.55000000000000004">
      <c r="A269" s="447"/>
      <c r="B269" s="194"/>
      <c r="C269" s="582" t="s">
        <v>30</v>
      </c>
      <c r="D269" s="67" t="s">
        <v>13</v>
      </c>
      <c r="E269" s="583">
        <v>15</v>
      </c>
      <c r="F269" s="67" t="s">
        <v>15</v>
      </c>
      <c r="G269" s="298" t="s">
        <v>389</v>
      </c>
      <c r="H269" s="66">
        <v>1.1000000000000001</v>
      </c>
      <c r="I269" s="66">
        <v>0.75</v>
      </c>
      <c r="J269" s="66">
        <v>0.6</v>
      </c>
      <c r="K269" s="276">
        <v>1</v>
      </c>
      <c r="L269" s="277">
        <v>0.495</v>
      </c>
      <c r="M269" s="280" t="s">
        <v>164</v>
      </c>
      <c r="N269" s="195"/>
      <c r="O269" s="196"/>
      <c r="P269" s="601"/>
      <c r="Q269" s="463"/>
    </row>
    <row r="270" spans="1:17" ht="15.75" customHeight="1" x14ac:dyDescent="0.55000000000000004">
      <c r="A270" s="447"/>
      <c r="B270" s="194"/>
      <c r="C270" s="582" t="s">
        <v>30</v>
      </c>
      <c r="D270" s="67" t="s">
        <v>13</v>
      </c>
      <c r="E270" s="583">
        <v>15</v>
      </c>
      <c r="F270" s="67" t="s">
        <v>15</v>
      </c>
      <c r="G270" s="298" t="s">
        <v>390</v>
      </c>
      <c r="H270" s="66">
        <v>1.2</v>
      </c>
      <c r="I270" s="66">
        <v>0.55000000000000004</v>
      </c>
      <c r="J270" s="66">
        <v>0.6</v>
      </c>
      <c r="K270" s="276">
        <v>1</v>
      </c>
      <c r="L270" s="277">
        <v>0.39600000000000002</v>
      </c>
      <c r="M270" s="280" t="s">
        <v>164</v>
      </c>
      <c r="N270" s="195"/>
      <c r="O270" s="196"/>
      <c r="P270" s="601"/>
      <c r="Q270" s="463"/>
    </row>
    <row r="271" spans="1:17" ht="15.75" customHeight="1" x14ac:dyDescent="0.55000000000000004">
      <c r="A271" s="447"/>
      <c r="B271" s="194"/>
      <c r="C271" s="582" t="s">
        <v>30</v>
      </c>
      <c r="D271" s="67" t="s">
        <v>13</v>
      </c>
      <c r="E271" s="583">
        <v>15</v>
      </c>
      <c r="F271" s="67" t="s">
        <v>15</v>
      </c>
      <c r="G271" s="298" t="s">
        <v>391</v>
      </c>
      <c r="H271" s="66">
        <v>1.1000000000000001</v>
      </c>
      <c r="I271" s="66">
        <v>0.85</v>
      </c>
      <c r="J271" s="66">
        <v>0.6</v>
      </c>
      <c r="K271" s="276">
        <v>1</v>
      </c>
      <c r="L271" s="277">
        <v>0.56100000000000005</v>
      </c>
      <c r="M271" s="280" t="s">
        <v>164</v>
      </c>
      <c r="N271" s="195"/>
      <c r="O271" s="196"/>
      <c r="P271" s="601"/>
      <c r="Q271" s="463"/>
    </row>
    <row r="272" spans="1:17" ht="15.75" customHeight="1" x14ac:dyDescent="0.55000000000000004">
      <c r="A272" s="447"/>
      <c r="B272" s="194"/>
      <c r="C272" s="582" t="s">
        <v>30</v>
      </c>
      <c r="D272" s="67" t="s">
        <v>13</v>
      </c>
      <c r="E272" s="583">
        <v>15</v>
      </c>
      <c r="F272" s="67" t="s">
        <v>15</v>
      </c>
      <c r="G272" s="298" t="s">
        <v>392</v>
      </c>
      <c r="H272" s="66">
        <v>0.9</v>
      </c>
      <c r="I272" s="66">
        <v>0.65</v>
      </c>
      <c r="J272" s="66">
        <v>0.6</v>
      </c>
      <c r="K272" s="276">
        <v>1</v>
      </c>
      <c r="L272" s="277">
        <v>0.35100000000000003</v>
      </c>
      <c r="M272" s="280" t="s">
        <v>164</v>
      </c>
      <c r="N272" s="195"/>
      <c r="O272" s="196"/>
      <c r="P272" s="601"/>
      <c r="Q272" s="463"/>
    </row>
    <row r="273" spans="1:17" ht="15.75" customHeight="1" x14ac:dyDescent="0.55000000000000004">
      <c r="A273" s="447"/>
      <c r="B273" s="194"/>
      <c r="C273" s="582" t="s">
        <v>30</v>
      </c>
      <c r="D273" s="67" t="s">
        <v>13</v>
      </c>
      <c r="E273" s="583">
        <v>15</v>
      </c>
      <c r="F273" s="67" t="s">
        <v>15</v>
      </c>
      <c r="G273" s="298" t="s">
        <v>331</v>
      </c>
      <c r="H273" s="66">
        <v>0.9</v>
      </c>
      <c r="I273" s="66">
        <v>1.1499999999999999</v>
      </c>
      <c r="J273" s="66">
        <v>0.55000000000000004</v>
      </c>
      <c r="K273" s="276">
        <v>1</v>
      </c>
      <c r="L273" s="277">
        <v>0.56925000000000003</v>
      </c>
      <c r="M273" s="280" t="s">
        <v>164</v>
      </c>
      <c r="N273" s="195"/>
      <c r="O273" s="196"/>
      <c r="P273" s="601"/>
      <c r="Q273" s="463"/>
    </row>
    <row r="274" spans="1:17" ht="15.75" customHeight="1" x14ac:dyDescent="0.2">
      <c r="A274" s="447"/>
      <c r="B274" s="194"/>
      <c r="C274" s="582" t="s">
        <v>30</v>
      </c>
      <c r="D274" s="67" t="s">
        <v>13</v>
      </c>
      <c r="E274" s="583">
        <v>15</v>
      </c>
      <c r="F274" s="67" t="s">
        <v>15</v>
      </c>
      <c r="G274" s="298" t="s">
        <v>393</v>
      </c>
      <c r="H274" s="66">
        <v>0.9</v>
      </c>
      <c r="I274" s="66">
        <v>0.95</v>
      </c>
      <c r="J274" s="66">
        <v>0.6</v>
      </c>
      <c r="K274" s="276">
        <v>1</v>
      </c>
      <c r="L274" s="277">
        <v>0.51300000000000001</v>
      </c>
      <c r="M274" s="280" t="s">
        <v>164</v>
      </c>
      <c r="N274" s="195"/>
      <c r="O274" s="196"/>
      <c r="P274" s="602"/>
      <c r="Q274" s="463"/>
    </row>
    <row r="275" spans="1:17" ht="15.75" customHeight="1" x14ac:dyDescent="0.2">
      <c r="A275" s="447"/>
      <c r="B275" s="194"/>
      <c r="C275" s="582" t="s">
        <v>30</v>
      </c>
      <c r="D275" s="67" t="s">
        <v>13</v>
      </c>
      <c r="E275" s="583">
        <v>15</v>
      </c>
      <c r="F275" s="67" t="s">
        <v>4</v>
      </c>
      <c r="G275" s="298" t="s">
        <v>394</v>
      </c>
      <c r="H275" s="66">
        <v>0.9</v>
      </c>
      <c r="I275" s="66">
        <v>1.2</v>
      </c>
      <c r="J275" s="66">
        <v>0.65</v>
      </c>
      <c r="K275" s="276">
        <v>1</v>
      </c>
      <c r="L275" s="277">
        <v>0.70200000000000007</v>
      </c>
      <c r="M275" s="280" t="s">
        <v>164</v>
      </c>
      <c r="N275" s="195"/>
      <c r="O275" s="196"/>
      <c r="P275" s="602"/>
      <c r="Q275" s="463"/>
    </row>
    <row r="276" spans="1:17" ht="15.75" customHeight="1" x14ac:dyDescent="0.55000000000000004">
      <c r="A276" s="447"/>
      <c r="B276" s="194"/>
      <c r="C276" s="582" t="s">
        <v>30</v>
      </c>
      <c r="D276" s="67" t="s">
        <v>13</v>
      </c>
      <c r="E276" s="583">
        <v>15</v>
      </c>
      <c r="F276" s="67" t="s">
        <v>15</v>
      </c>
      <c r="G276" s="298" t="s">
        <v>395</v>
      </c>
      <c r="H276" s="66">
        <v>1.2</v>
      </c>
      <c r="I276" s="66">
        <v>0.45</v>
      </c>
      <c r="J276" s="66">
        <v>0.55000000000000004</v>
      </c>
      <c r="K276" s="276">
        <v>1</v>
      </c>
      <c r="L276" s="277">
        <v>0.29700000000000004</v>
      </c>
      <c r="M276" s="280" t="s">
        <v>164</v>
      </c>
      <c r="N276" s="195"/>
      <c r="O276" s="196"/>
      <c r="P276" s="601"/>
      <c r="Q276" s="463"/>
    </row>
    <row r="277" spans="1:17" ht="15.75" customHeight="1" x14ac:dyDescent="0.2">
      <c r="A277" s="447"/>
      <c r="B277" s="194"/>
      <c r="C277" s="582" t="s">
        <v>30</v>
      </c>
      <c r="D277" s="67" t="s">
        <v>13</v>
      </c>
      <c r="E277" s="583">
        <v>15</v>
      </c>
      <c r="F277" s="67" t="s">
        <v>15</v>
      </c>
      <c r="G277" s="298" t="s">
        <v>396</v>
      </c>
      <c r="H277" s="66">
        <v>1.1000000000000001</v>
      </c>
      <c r="I277" s="66">
        <v>0.55000000000000004</v>
      </c>
      <c r="J277" s="66">
        <v>0.6</v>
      </c>
      <c r="K277" s="276">
        <v>1</v>
      </c>
      <c r="L277" s="277">
        <v>0.36300000000000004</v>
      </c>
      <c r="M277" s="280" t="s">
        <v>164</v>
      </c>
      <c r="N277" s="195"/>
      <c r="O277" s="196"/>
      <c r="P277" s="602"/>
      <c r="Q277" s="463"/>
    </row>
    <row r="278" spans="1:17" ht="15.75" customHeight="1" x14ac:dyDescent="0.55000000000000004">
      <c r="A278" s="447"/>
      <c r="B278" s="194"/>
      <c r="C278" s="582" t="s">
        <v>30</v>
      </c>
      <c r="D278" s="67" t="s">
        <v>13</v>
      </c>
      <c r="E278" s="583">
        <v>15</v>
      </c>
      <c r="F278" s="67" t="s">
        <v>15</v>
      </c>
      <c r="G278" s="298" t="s">
        <v>336</v>
      </c>
      <c r="H278" s="66">
        <v>0.9</v>
      </c>
      <c r="I278" s="66">
        <v>0.75</v>
      </c>
      <c r="J278" s="66">
        <v>0.6</v>
      </c>
      <c r="K278" s="276">
        <v>1</v>
      </c>
      <c r="L278" s="277">
        <v>0.40500000000000003</v>
      </c>
      <c r="M278" s="280" t="s">
        <v>164</v>
      </c>
      <c r="N278" s="195"/>
      <c r="O278" s="196"/>
      <c r="P278" s="601"/>
      <c r="Q278" s="463"/>
    </row>
    <row r="279" spans="1:17" ht="15.75" customHeight="1" x14ac:dyDescent="0.55000000000000004">
      <c r="A279" s="447"/>
      <c r="B279" s="194"/>
      <c r="C279" s="582" t="s">
        <v>30</v>
      </c>
      <c r="D279" s="67" t="s">
        <v>13</v>
      </c>
      <c r="E279" s="583">
        <v>15</v>
      </c>
      <c r="F279" s="67" t="s">
        <v>15</v>
      </c>
      <c r="G279" s="298" t="s">
        <v>337</v>
      </c>
      <c r="H279" s="66">
        <v>1.1000000000000001</v>
      </c>
      <c r="I279" s="66">
        <v>0.55000000000000004</v>
      </c>
      <c r="J279" s="66">
        <v>0.6</v>
      </c>
      <c r="K279" s="276">
        <v>1</v>
      </c>
      <c r="L279" s="277">
        <v>0.36300000000000004</v>
      </c>
      <c r="M279" s="280" t="s">
        <v>164</v>
      </c>
      <c r="N279" s="195"/>
      <c r="O279" s="196"/>
      <c r="P279" s="601"/>
      <c r="Q279" s="463"/>
    </row>
    <row r="280" spans="1:17" ht="15.75" customHeight="1" x14ac:dyDescent="0.55000000000000004">
      <c r="A280" s="447"/>
      <c r="B280" s="194"/>
      <c r="C280" s="582" t="s">
        <v>30</v>
      </c>
      <c r="D280" s="67" t="s">
        <v>13</v>
      </c>
      <c r="E280" s="583">
        <v>15</v>
      </c>
      <c r="F280" s="67" t="s">
        <v>15</v>
      </c>
      <c r="G280" s="298" t="s">
        <v>397</v>
      </c>
      <c r="H280" s="66">
        <v>1</v>
      </c>
      <c r="I280" s="66">
        <v>0.85</v>
      </c>
      <c r="J280" s="66">
        <v>0.6</v>
      </c>
      <c r="K280" s="276">
        <v>1</v>
      </c>
      <c r="L280" s="277">
        <v>0.51</v>
      </c>
      <c r="M280" s="280" t="s">
        <v>164</v>
      </c>
      <c r="N280" s="195"/>
      <c r="O280" s="196"/>
      <c r="P280" s="601"/>
      <c r="Q280" s="463"/>
    </row>
    <row r="281" spans="1:17" ht="15.75" customHeight="1" x14ac:dyDescent="0.55000000000000004">
      <c r="A281" s="447"/>
      <c r="B281" s="194"/>
      <c r="C281" s="582" t="s">
        <v>30</v>
      </c>
      <c r="D281" s="67" t="s">
        <v>13</v>
      </c>
      <c r="E281" s="583">
        <v>15</v>
      </c>
      <c r="F281" s="67" t="s">
        <v>15</v>
      </c>
      <c r="G281" s="298" t="s">
        <v>398</v>
      </c>
      <c r="H281" s="66">
        <v>1.2</v>
      </c>
      <c r="I281" s="66">
        <v>0.75</v>
      </c>
      <c r="J281" s="66">
        <v>0.6</v>
      </c>
      <c r="K281" s="276">
        <v>1</v>
      </c>
      <c r="L281" s="277">
        <v>0.53999999999999992</v>
      </c>
      <c r="M281" s="280" t="s">
        <v>164</v>
      </c>
      <c r="N281" s="195"/>
      <c r="O281" s="196"/>
      <c r="P281" s="601"/>
      <c r="Q281" s="463"/>
    </row>
    <row r="282" spans="1:17" ht="15.75" customHeight="1" x14ac:dyDescent="0.55000000000000004">
      <c r="A282" s="447"/>
      <c r="B282" s="194"/>
      <c r="C282" s="582" t="s">
        <v>30</v>
      </c>
      <c r="D282" s="67" t="s">
        <v>13</v>
      </c>
      <c r="E282" s="583">
        <v>15</v>
      </c>
      <c r="F282" s="67" t="s">
        <v>15</v>
      </c>
      <c r="G282" s="298" t="s">
        <v>399</v>
      </c>
      <c r="H282" s="66">
        <v>1.7</v>
      </c>
      <c r="I282" s="66">
        <v>1.35</v>
      </c>
      <c r="J282" s="66">
        <v>0.6</v>
      </c>
      <c r="K282" s="276">
        <v>1</v>
      </c>
      <c r="L282" s="277">
        <v>1.377</v>
      </c>
      <c r="M282" s="280" t="s">
        <v>164</v>
      </c>
      <c r="N282" s="195"/>
      <c r="O282" s="196"/>
      <c r="P282" s="601"/>
      <c r="Q282" s="463"/>
    </row>
    <row r="283" spans="1:17" ht="15.75" customHeight="1" x14ac:dyDescent="0.55000000000000004">
      <c r="A283" s="447"/>
      <c r="B283" s="194"/>
      <c r="C283" s="582" t="s">
        <v>30</v>
      </c>
      <c r="D283" s="67" t="s">
        <v>13</v>
      </c>
      <c r="E283" s="583">
        <v>15</v>
      </c>
      <c r="F283" s="67" t="s">
        <v>15</v>
      </c>
      <c r="G283" s="298" t="s">
        <v>400</v>
      </c>
      <c r="H283" s="66">
        <v>1.5</v>
      </c>
      <c r="I283" s="66">
        <v>1.25</v>
      </c>
      <c r="J283" s="66">
        <v>0.6</v>
      </c>
      <c r="K283" s="276">
        <v>1</v>
      </c>
      <c r="L283" s="277">
        <v>1.125</v>
      </c>
      <c r="M283" s="280" t="s">
        <v>164</v>
      </c>
      <c r="N283" s="195"/>
      <c r="O283" s="196"/>
      <c r="P283" s="601"/>
      <c r="Q283" s="463"/>
    </row>
    <row r="284" spans="1:17" ht="15.75" customHeight="1" x14ac:dyDescent="0.55000000000000004">
      <c r="A284" s="447"/>
      <c r="B284" s="194"/>
      <c r="C284" s="582" t="s">
        <v>30</v>
      </c>
      <c r="D284" s="67" t="s">
        <v>13</v>
      </c>
      <c r="E284" s="583">
        <v>15</v>
      </c>
      <c r="F284" s="67" t="s">
        <v>15</v>
      </c>
      <c r="G284" s="298" t="s">
        <v>346</v>
      </c>
      <c r="H284" s="66">
        <v>1.2</v>
      </c>
      <c r="I284" s="66">
        <v>0.85</v>
      </c>
      <c r="J284" s="66">
        <v>0.55000000000000004</v>
      </c>
      <c r="K284" s="276">
        <v>1</v>
      </c>
      <c r="L284" s="277">
        <v>0.56100000000000005</v>
      </c>
      <c r="M284" s="280" t="s">
        <v>164</v>
      </c>
      <c r="N284" s="195"/>
      <c r="O284" s="196"/>
      <c r="P284" s="601"/>
      <c r="Q284" s="463"/>
    </row>
    <row r="285" spans="1:17" ht="15.75" customHeight="1" x14ac:dyDescent="0.55000000000000004">
      <c r="A285" s="447"/>
      <c r="B285" s="194"/>
      <c r="C285" s="582" t="s">
        <v>30</v>
      </c>
      <c r="D285" s="67" t="s">
        <v>13</v>
      </c>
      <c r="E285" s="583">
        <v>15</v>
      </c>
      <c r="F285" s="67" t="s">
        <v>15</v>
      </c>
      <c r="G285" s="298" t="s">
        <v>401</v>
      </c>
      <c r="H285" s="66">
        <v>0.9</v>
      </c>
      <c r="I285" s="66">
        <v>0.45</v>
      </c>
      <c r="J285" s="66">
        <v>0.6</v>
      </c>
      <c r="K285" s="276">
        <v>1</v>
      </c>
      <c r="L285" s="277">
        <v>0.24299999999999999</v>
      </c>
      <c r="M285" s="280" t="s">
        <v>164</v>
      </c>
      <c r="N285" s="195"/>
      <c r="O285" s="196"/>
      <c r="P285" s="601"/>
      <c r="Q285" s="463"/>
    </row>
    <row r="286" spans="1:17" ht="15.75" customHeight="1" x14ac:dyDescent="0.55000000000000004">
      <c r="A286" s="447"/>
      <c r="B286" s="194"/>
      <c r="C286" s="582" t="s">
        <v>30</v>
      </c>
      <c r="D286" s="67" t="s">
        <v>13</v>
      </c>
      <c r="E286" s="583">
        <v>15</v>
      </c>
      <c r="F286" s="67" t="s">
        <v>15</v>
      </c>
      <c r="G286" s="298" t="s">
        <v>402</v>
      </c>
      <c r="H286" s="66">
        <v>0.9</v>
      </c>
      <c r="I286" s="66">
        <v>0.85</v>
      </c>
      <c r="J286" s="66">
        <v>0.6</v>
      </c>
      <c r="K286" s="276">
        <v>1</v>
      </c>
      <c r="L286" s="277">
        <v>0.45899999999999996</v>
      </c>
      <c r="M286" s="280" t="s">
        <v>164</v>
      </c>
      <c r="N286" s="195"/>
      <c r="O286" s="196"/>
      <c r="P286" s="601"/>
      <c r="Q286" s="463"/>
    </row>
    <row r="287" spans="1:17" ht="15.75" customHeight="1" x14ac:dyDescent="0.55000000000000004">
      <c r="A287" s="447"/>
      <c r="B287" s="194"/>
      <c r="C287" s="582" t="s">
        <v>30</v>
      </c>
      <c r="D287" s="67" t="s">
        <v>13</v>
      </c>
      <c r="E287" s="583">
        <v>15</v>
      </c>
      <c r="F287" s="67" t="s">
        <v>15</v>
      </c>
      <c r="G287" s="298" t="s">
        <v>403</v>
      </c>
      <c r="H287" s="66">
        <v>0.9</v>
      </c>
      <c r="I287" s="66">
        <v>0.85</v>
      </c>
      <c r="J287" s="66">
        <v>0.6</v>
      </c>
      <c r="K287" s="276">
        <v>1</v>
      </c>
      <c r="L287" s="277">
        <v>0.45899999999999996</v>
      </c>
      <c r="M287" s="280" t="s">
        <v>164</v>
      </c>
      <c r="N287" s="195"/>
      <c r="O287" s="196"/>
      <c r="P287" s="601"/>
      <c r="Q287" s="463"/>
    </row>
    <row r="288" spans="1:17" ht="15.75" customHeight="1" x14ac:dyDescent="0.55000000000000004">
      <c r="A288" s="447"/>
      <c r="B288" s="194"/>
      <c r="C288" s="582" t="s">
        <v>30</v>
      </c>
      <c r="D288" s="67" t="s">
        <v>13</v>
      </c>
      <c r="E288" s="583">
        <v>15</v>
      </c>
      <c r="F288" s="67" t="s">
        <v>15</v>
      </c>
      <c r="G288" s="298" t="s">
        <v>404</v>
      </c>
      <c r="H288" s="66">
        <v>1.2</v>
      </c>
      <c r="I288" s="66">
        <v>1.25</v>
      </c>
      <c r="J288" s="66">
        <v>0.6</v>
      </c>
      <c r="K288" s="276">
        <v>1</v>
      </c>
      <c r="L288" s="277">
        <v>0.89999999999999991</v>
      </c>
      <c r="M288" s="280" t="s">
        <v>164</v>
      </c>
      <c r="N288" s="195"/>
      <c r="O288" s="196"/>
      <c r="P288" s="601"/>
      <c r="Q288" s="463"/>
    </row>
    <row r="289" spans="1:17" ht="15.75" customHeight="1" x14ac:dyDescent="0.55000000000000004">
      <c r="A289" s="447"/>
      <c r="B289" s="194"/>
      <c r="C289" s="582" t="s">
        <v>30</v>
      </c>
      <c r="D289" s="67" t="s">
        <v>13</v>
      </c>
      <c r="E289" s="583">
        <v>15</v>
      </c>
      <c r="F289" s="67" t="s">
        <v>3</v>
      </c>
      <c r="G289" s="298" t="s">
        <v>353</v>
      </c>
      <c r="H289" s="66">
        <v>1.2</v>
      </c>
      <c r="I289" s="66">
        <v>0.85</v>
      </c>
      <c r="J289" s="66">
        <v>0.6</v>
      </c>
      <c r="K289" s="276">
        <v>1</v>
      </c>
      <c r="L289" s="277">
        <v>0.61199999999999999</v>
      </c>
      <c r="M289" s="280" t="s">
        <v>164</v>
      </c>
      <c r="N289" s="195"/>
      <c r="O289" s="196"/>
      <c r="P289" s="601"/>
      <c r="Q289" s="463"/>
    </row>
    <row r="290" spans="1:17" ht="15.75" customHeight="1" x14ac:dyDescent="0.55000000000000004">
      <c r="A290" s="447"/>
      <c r="B290" s="194"/>
      <c r="C290" s="582" t="s">
        <v>30</v>
      </c>
      <c r="D290" s="67" t="s">
        <v>13</v>
      </c>
      <c r="E290" s="583">
        <v>15</v>
      </c>
      <c r="F290" s="67" t="s">
        <v>15</v>
      </c>
      <c r="G290" s="298" t="s">
        <v>405</v>
      </c>
      <c r="H290" s="66">
        <v>1.2</v>
      </c>
      <c r="I290" s="66">
        <v>1.25</v>
      </c>
      <c r="J290" s="66">
        <v>0.6</v>
      </c>
      <c r="K290" s="276">
        <v>1</v>
      </c>
      <c r="L290" s="277">
        <v>0.89999999999999991</v>
      </c>
      <c r="M290" s="280" t="s">
        <v>164</v>
      </c>
      <c r="N290" s="195"/>
      <c r="O290" s="196"/>
      <c r="P290" s="601"/>
      <c r="Q290" s="463"/>
    </row>
    <row r="291" spans="1:17" ht="15.75" customHeight="1" x14ac:dyDescent="0.55000000000000004">
      <c r="A291" s="447"/>
      <c r="B291" s="194"/>
      <c r="C291" s="582" t="s">
        <v>30</v>
      </c>
      <c r="D291" s="67" t="s">
        <v>13</v>
      </c>
      <c r="E291" s="583">
        <v>15</v>
      </c>
      <c r="F291" s="67" t="s">
        <v>15</v>
      </c>
      <c r="G291" s="298" t="s">
        <v>407</v>
      </c>
      <c r="H291" s="66">
        <v>1.2</v>
      </c>
      <c r="I291" s="66">
        <v>0.85</v>
      </c>
      <c r="J291" s="66">
        <v>0.6</v>
      </c>
      <c r="K291" s="276">
        <v>1</v>
      </c>
      <c r="L291" s="277">
        <v>0.61199999999999999</v>
      </c>
      <c r="M291" s="280" t="s">
        <v>164</v>
      </c>
      <c r="N291" s="195"/>
      <c r="O291" s="196"/>
      <c r="P291" s="601"/>
      <c r="Q291" s="463"/>
    </row>
    <row r="292" spans="1:17" ht="15.75" customHeight="1" x14ac:dyDescent="0.2">
      <c r="A292" s="447"/>
      <c r="B292" s="194"/>
      <c r="C292" s="582" t="s">
        <v>30</v>
      </c>
      <c r="D292" s="67" t="s">
        <v>13</v>
      </c>
      <c r="E292" s="583">
        <v>15</v>
      </c>
      <c r="F292" s="67" t="s">
        <v>15</v>
      </c>
      <c r="G292" s="298" t="s">
        <v>408</v>
      </c>
      <c r="H292" s="66">
        <v>1.2</v>
      </c>
      <c r="I292" s="66">
        <v>0.75</v>
      </c>
      <c r="J292" s="66">
        <v>0.6</v>
      </c>
      <c r="K292" s="276">
        <v>1</v>
      </c>
      <c r="L292" s="277">
        <v>0.53999999999999992</v>
      </c>
      <c r="M292" s="280" t="s">
        <v>164</v>
      </c>
      <c r="N292" s="195"/>
      <c r="O292" s="196"/>
      <c r="P292" s="602"/>
      <c r="Q292" s="463"/>
    </row>
    <row r="293" spans="1:17" ht="15.75" customHeight="1" x14ac:dyDescent="0.55000000000000004">
      <c r="A293" s="447"/>
      <c r="B293" s="194"/>
      <c r="C293" s="582" t="s">
        <v>30</v>
      </c>
      <c r="D293" s="67" t="s">
        <v>13</v>
      </c>
      <c r="E293" s="583">
        <v>15</v>
      </c>
      <c r="F293" s="67" t="s">
        <v>15</v>
      </c>
      <c r="G293" s="298" t="s">
        <v>409</v>
      </c>
      <c r="H293" s="66">
        <v>1</v>
      </c>
      <c r="I293" s="66">
        <v>0.85</v>
      </c>
      <c r="J293" s="66">
        <v>0.6</v>
      </c>
      <c r="K293" s="276">
        <v>1</v>
      </c>
      <c r="L293" s="277">
        <v>0.51</v>
      </c>
      <c r="M293" s="280" t="s">
        <v>164</v>
      </c>
      <c r="N293" s="195"/>
      <c r="O293" s="196"/>
      <c r="P293" s="601"/>
      <c r="Q293" s="463"/>
    </row>
    <row r="294" spans="1:17" ht="15.75" customHeight="1" x14ac:dyDescent="0.2">
      <c r="A294" s="447"/>
      <c r="B294" s="194"/>
      <c r="C294" s="582" t="s">
        <v>30</v>
      </c>
      <c r="D294" s="67" t="s">
        <v>13</v>
      </c>
      <c r="E294" s="583">
        <v>15</v>
      </c>
      <c r="F294" s="67" t="s">
        <v>4</v>
      </c>
      <c r="G294" s="298" t="s">
        <v>410</v>
      </c>
      <c r="H294" s="66">
        <v>1.1000000000000001</v>
      </c>
      <c r="I294" s="66">
        <v>0.65</v>
      </c>
      <c r="J294" s="66">
        <v>0.6</v>
      </c>
      <c r="K294" s="276">
        <v>1</v>
      </c>
      <c r="L294" s="277">
        <v>0.42900000000000005</v>
      </c>
      <c r="M294" s="280" t="s">
        <v>164</v>
      </c>
      <c r="N294" s="195"/>
      <c r="O294" s="196"/>
      <c r="P294" s="602"/>
      <c r="Q294" s="463"/>
    </row>
    <row r="295" spans="1:17" ht="15.75" customHeight="1" x14ac:dyDescent="0.2">
      <c r="A295" s="447"/>
      <c r="B295" s="194"/>
      <c r="C295" s="582" t="s">
        <v>30</v>
      </c>
      <c r="D295" s="67" t="s">
        <v>13</v>
      </c>
      <c r="E295" s="583">
        <v>15</v>
      </c>
      <c r="F295" s="67" t="s">
        <v>15</v>
      </c>
      <c r="G295" s="298" t="s">
        <v>362</v>
      </c>
      <c r="H295" s="66">
        <v>1.2</v>
      </c>
      <c r="I295" s="66">
        <v>0.75</v>
      </c>
      <c r="J295" s="66">
        <v>0.6</v>
      </c>
      <c r="K295" s="276">
        <v>1</v>
      </c>
      <c r="L295" s="277">
        <v>0.53999999999999992</v>
      </c>
      <c r="M295" s="280" t="s">
        <v>164</v>
      </c>
      <c r="N295" s="195"/>
      <c r="O295" s="196"/>
      <c r="P295" s="602"/>
      <c r="Q295" s="463"/>
    </row>
    <row r="296" spans="1:17" ht="15.75" customHeight="1" x14ac:dyDescent="0.2">
      <c r="A296" s="447"/>
      <c r="B296" s="194"/>
      <c r="C296" s="582" t="s">
        <v>30</v>
      </c>
      <c r="D296" s="67" t="s">
        <v>13</v>
      </c>
      <c r="E296" s="583">
        <v>15</v>
      </c>
      <c r="F296" s="67" t="s">
        <v>15</v>
      </c>
      <c r="G296" s="298" t="s">
        <v>411</v>
      </c>
      <c r="H296" s="66">
        <v>1.1000000000000001</v>
      </c>
      <c r="I296" s="66">
        <v>0.65</v>
      </c>
      <c r="J296" s="66">
        <v>0.6</v>
      </c>
      <c r="K296" s="276">
        <v>1</v>
      </c>
      <c r="L296" s="277">
        <v>0.42900000000000005</v>
      </c>
      <c r="M296" s="280" t="s">
        <v>164</v>
      </c>
      <c r="N296" s="195"/>
      <c r="O296" s="196"/>
      <c r="P296" s="602"/>
      <c r="Q296" s="463"/>
    </row>
    <row r="297" spans="1:17" ht="15.75" customHeight="1" x14ac:dyDescent="0.2">
      <c r="A297" s="447"/>
      <c r="B297" s="194"/>
      <c r="C297" s="582" t="s">
        <v>30</v>
      </c>
      <c r="D297" s="67" t="s">
        <v>13</v>
      </c>
      <c r="E297" s="583">
        <v>15</v>
      </c>
      <c r="F297" s="67" t="s">
        <v>15</v>
      </c>
      <c r="G297" s="298" t="s">
        <v>412</v>
      </c>
      <c r="H297" s="66">
        <v>1</v>
      </c>
      <c r="I297" s="66">
        <v>0.95</v>
      </c>
      <c r="J297" s="66">
        <v>0.6</v>
      </c>
      <c r="K297" s="276">
        <v>1</v>
      </c>
      <c r="L297" s="277">
        <v>0.56999999999999995</v>
      </c>
      <c r="M297" s="280" t="s">
        <v>164</v>
      </c>
      <c r="N297" s="195"/>
      <c r="O297" s="196"/>
      <c r="P297" s="602"/>
      <c r="Q297" s="463"/>
    </row>
    <row r="298" spans="1:17" ht="15.75" customHeight="1" x14ac:dyDescent="0.55000000000000004">
      <c r="A298" s="447"/>
      <c r="B298" s="194"/>
      <c r="C298" s="582" t="s">
        <v>30</v>
      </c>
      <c r="D298" s="67" t="s">
        <v>13</v>
      </c>
      <c r="E298" s="583">
        <v>15</v>
      </c>
      <c r="F298" s="67" t="s">
        <v>15</v>
      </c>
      <c r="G298" s="298" t="s">
        <v>413</v>
      </c>
      <c r="H298" s="66">
        <v>1.1000000000000001</v>
      </c>
      <c r="I298" s="66">
        <v>0.55000000000000004</v>
      </c>
      <c r="J298" s="66">
        <v>0.6</v>
      </c>
      <c r="K298" s="276">
        <v>1</v>
      </c>
      <c r="L298" s="277">
        <v>0.36300000000000004</v>
      </c>
      <c r="M298" s="280" t="s">
        <v>164</v>
      </c>
      <c r="N298" s="195"/>
      <c r="O298" s="196"/>
      <c r="P298" s="601"/>
      <c r="Q298" s="463"/>
    </row>
    <row r="299" spans="1:17" ht="15.75" customHeight="1" x14ac:dyDescent="0.55000000000000004">
      <c r="A299" s="447"/>
      <c r="B299" s="194"/>
      <c r="C299" s="582" t="s">
        <v>30</v>
      </c>
      <c r="D299" s="67" t="s">
        <v>13</v>
      </c>
      <c r="E299" s="583">
        <v>15</v>
      </c>
      <c r="F299" s="67" t="s">
        <v>15</v>
      </c>
      <c r="G299" s="298" t="s">
        <v>414</v>
      </c>
      <c r="H299" s="66">
        <v>0.9</v>
      </c>
      <c r="I299" s="66">
        <v>0.85</v>
      </c>
      <c r="J299" s="66">
        <v>0.6</v>
      </c>
      <c r="K299" s="276">
        <v>1</v>
      </c>
      <c r="L299" s="277">
        <v>0.45899999999999996</v>
      </c>
      <c r="M299" s="280" t="s">
        <v>164</v>
      </c>
      <c r="N299" s="195"/>
      <c r="O299" s="196"/>
      <c r="P299" s="601"/>
      <c r="Q299" s="463"/>
    </row>
    <row r="300" spans="1:17" ht="15.75" customHeight="1" x14ac:dyDescent="0.55000000000000004">
      <c r="A300" s="447"/>
      <c r="B300" s="194"/>
      <c r="C300" s="582" t="s">
        <v>30</v>
      </c>
      <c r="D300" s="67" t="s">
        <v>13</v>
      </c>
      <c r="E300" s="583">
        <v>15</v>
      </c>
      <c r="F300" s="67" t="s">
        <v>15</v>
      </c>
      <c r="G300" s="298" t="s">
        <v>415</v>
      </c>
      <c r="H300" s="66">
        <v>1</v>
      </c>
      <c r="I300" s="66">
        <v>1.1499999999999999</v>
      </c>
      <c r="J300" s="66">
        <v>0.6</v>
      </c>
      <c r="K300" s="276">
        <v>1</v>
      </c>
      <c r="L300" s="277">
        <v>0.69</v>
      </c>
      <c r="M300" s="280" t="s">
        <v>164</v>
      </c>
      <c r="N300" s="195"/>
      <c r="O300" s="196"/>
      <c r="P300" s="601"/>
      <c r="Q300" s="463"/>
    </row>
    <row r="301" spans="1:17" ht="15.75" customHeight="1" x14ac:dyDescent="0.55000000000000004">
      <c r="A301" s="447"/>
      <c r="B301" s="194"/>
      <c r="C301" s="582" t="s">
        <v>30</v>
      </c>
      <c r="D301" s="67" t="s">
        <v>13</v>
      </c>
      <c r="E301" s="583">
        <v>15</v>
      </c>
      <c r="F301" s="67" t="s">
        <v>15</v>
      </c>
      <c r="G301" s="298" t="s">
        <v>384</v>
      </c>
      <c r="H301" s="66">
        <v>1.6</v>
      </c>
      <c r="I301" s="66">
        <v>1.25</v>
      </c>
      <c r="J301" s="66">
        <v>0.6</v>
      </c>
      <c r="K301" s="276">
        <v>1</v>
      </c>
      <c r="L301" s="277">
        <v>1.2</v>
      </c>
      <c r="M301" s="280" t="s">
        <v>164</v>
      </c>
      <c r="N301" s="195"/>
      <c r="O301" s="196"/>
      <c r="P301" s="601"/>
      <c r="Q301" s="463"/>
    </row>
    <row r="302" spans="1:17" ht="15.75" customHeight="1" x14ac:dyDescent="0.55000000000000004">
      <c r="A302" s="447"/>
      <c r="B302" s="194"/>
      <c r="C302" s="582" t="s">
        <v>30</v>
      </c>
      <c r="D302" s="67" t="s">
        <v>13</v>
      </c>
      <c r="E302" s="583">
        <v>15</v>
      </c>
      <c r="F302" s="67" t="s">
        <v>15</v>
      </c>
      <c r="G302" s="298" t="s">
        <v>416</v>
      </c>
      <c r="H302" s="66">
        <v>1.3</v>
      </c>
      <c r="I302" s="66">
        <v>1.1000000000000001</v>
      </c>
      <c r="J302" s="66">
        <v>0.65</v>
      </c>
      <c r="K302" s="276">
        <v>1</v>
      </c>
      <c r="L302" s="277">
        <v>0.9295000000000001</v>
      </c>
      <c r="M302" s="280" t="s">
        <v>164</v>
      </c>
      <c r="N302" s="195"/>
      <c r="O302" s="196"/>
      <c r="P302" s="601"/>
      <c r="Q302" s="463"/>
    </row>
    <row r="303" spans="1:17" ht="15.75" customHeight="1" x14ac:dyDescent="0.55000000000000004">
      <c r="A303" s="447"/>
      <c r="B303" s="194"/>
      <c r="C303" s="582" t="s">
        <v>30</v>
      </c>
      <c r="D303" s="67" t="s">
        <v>13</v>
      </c>
      <c r="E303" s="583">
        <v>15</v>
      </c>
      <c r="F303" s="67" t="s">
        <v>15</v>
      </c>
      <c r="G303" s="298" t="s">
        <v>417</v>
      </c>
      <c r="H303" s="66">
        <v>1.1000000000000001</v>
      </c>
      <c r="I303" s="66">
        <v>0.95</v>
      </c>
      <c r="J303" s="66">
        <v>0.6</v>
      </c>
      <c r="K303" s="276">
        <v>1</v>
      </c>
      <c r="L303" s="277">
        <v>0.62699999999999989</v>
      </c>
      <c r="M303" s="280" t="s">
        <v>164</v>
      </c>
      <c r="N303" s="195"/>
      <c r="O303" s="196"/>
      <c r="P303" s="601"/>
      <c r="Q303" s="463"/>
    </row>
    <row r="304" spans="1:17" ht="15.75" customHeight="1" x14ac:dyDescent="0.55000000000000004">
      <c r="A304" s="447"/>
      <c r="B304" s="194"/>
      <c r="C304" s="582" t="s">
        <v>30</v>
      </c>
      <c r="D304" s="67" t="s">
        <v>13</v>
      </c>
      <c r="E304" s="583">
        <v>15</v>
      </c>
      <c r="F304" s="67" t="s">
        <v>15</v>
      </c>
      <c r="G304" s="298" t="s">
        <v>418</v>
      </c>
      <c r="H304" s="66">
        <v>1.1000000000000001</v>
      </c>
      <c r="I304" s="66">
        <v>0.65</v>
      </c>
      <c r="J304" s="66">
        <v>0.6</v>
      </c>
      <c r="K304" s="276">
        <v>1</v>
      </c>
      <c r="L304" s="277">
        <v>0.42900000000000005</v>
      </c>
      <c r="M304" s="280" t="s">
        <v>164</v>
      </c>
      <c r="N304" s="195"/>
      <c r="O304" s="196"/>
      <c r="P304" s="601"/>
      <c r="Q304" s="463"/>
    </row>
    <row r="305" spans="1:17" ht="15.75" customHeight="1" x14ac:dyDescent="0.2">
      <c r="A305" s="447"/>
      <c r="B305" s="194"/>
      <c r="C305" s="582" t="s">
        <v>30</v>
      </c>
      <c r="D305" s="67" t="s">
        <v>13</v>
      </c>
      <c r="E305" s="583">
        <v>15</v>
      </c>
      <c r="F305" s="67" t="s">
        <v>15</v>
      </c>
      <c r="G305" s="298" t="s">
        <v>419</v>
      </c>
      <c r="H305" s="66">
        <v>1.2</v>
      </c>
      <c r="I305" s="66">
        <v>0.95</v>
      </c>
      <c r="J305" s="66">
        <v>0.6</v>
      </c>
      <c r="K305" s="276">
        <v>1</v>
      </c>
      <c r="L305" s="277">
        <v>0.68399999999999994</v>
      </c>
      <c r="M305" s="280" t="s">
        <v>164</v>
      </c>
      <c r="N305" s="195"/>
      <c r="O305" s="196"/>
      <c r="P305" s="602"/>
      <c r="Q305" s="463"/>
    </row>
    <row r="306" spans="1:17" ht="15.75" customHeight="1" x14ac:dyDescent="0.55000000000000004">
      <c r="A306" s="447"/>
      <c r="B306" s="194"/>
      <c r="C306" s="582" t="s">
        <v>30</v>
      </c>
      <c r="D306" s="67" t="s">
        <v>13</v>
      </c>
      <c r="E306" s="583">
        <v>15</v>
      </c>
      <c r="F306" s="67" t="s">
        <v>15</v>
      </c>
      <c r="G306" s="298" t="s">
        <v>420</v>
      </c>
      <c r="H306" s="66">
        <v>1.1000000000000001</v>
      </c>
      <c r="I306" s="66">
        <v>0.55000000000000004</v>
      </c>
      <c r="J306" s="66">
        <v>0.6</v>
      </c>
      <c r="K306" s="276">
        <v>1</v>
      </c>
      <c r="L306" s="277">
        <v>0.36300000000000004</v>
      </c>
      <c r="M306" s="280" t="s">
        <v>164</v>
      </c>
      <c r="N306" s="195"/>
      <c r="O306" s="196"/>
      <c r="P306" s="601"/>
      <c r="Q306" s="463"/>
    </row>
    <row r="307" spans="1:17" ht="15.75" customHeight="1" x14ac:dyDescent="0.55000000000000004">
      <c r="A307" s="447"/>
      <c r="B307" s="194"/>
      <c r="C307" s="582" t="s">
        <v>30</v>
      </c>
      <c r="D307" s="67" t="s">
        <v>13</v>
      </c>
      <c r="E307" s="583">
        <v>15</v>
      </c>
      <c r="F307" s="67" t="s">
        <v>15</v>
      </c>
      <c r="G307" s="298" t="s">
        <v>421</v>
      </c>
      <c r="H307" s="66">
        <v>1.2</v>
      </c>
      <c r="I307" s="66">
        <v>1.1499999999999999</v>
      </c>
      <c r="J307" s="66">
        <v>0.6</v>
      </c>
      <c r="K307" s="276">
        <v>1</v>
      </c>
      <c r="L307" s="277">
        <v>0.82799999999999996</v>
      </c>
      <c r="M307" s="280" t="s">
        <v>164</v>
      </c>
      <c r="N307" s="195"/>
      <c r="O307" s="196"/>
      <c r="P307" s="601"/>
      <c r="Q307" s="463"/>
    </row>
    <row r="308" spans="1:17" ht="15.75" customHeight="1" x14ac:dyDescent="0.2">
      <c r="A308" s="447"/>
      <c r="B308" s="194"/>
      <c r="C308" s="582" t="s">
        <v>30</v>
      </c>
      <c r="D308" s="67" t="s">
        <v>13</v>
      </c>
      <c r="E308" s="583">
        <v>15</v>
      </c>
      <c r="F308" s="67" t="s">
        <v>15</v>
      </c>
      <c r="G308" s="298" t="s">
        <v>422</v>
      </c>
      <c r="H308" s="66">
        <v>1.1000000000000001</v>
      </c>
      <c r="I308" s="66">
        <v>1.05</v>
      </c>
      <c r="J308" s="66">
        <v>0.6</v>
      </c>
      <c r="K308" s="276">
        <v>1</v>
      </c>
      <c r="L308" s="277">
        <v>0.69300000000000017</v>
      </c>
      <c r="M308" s="280" t="s">
        <v>164</v>
      </c>
      <c r="N308" s="195"/>
      <c r="O308" s="196"/>
      <c r="P308" s="602"/>
      <c r="Q308" s="463"/>
    </row>
    <row r="309" spans="1:17" ht="15.75" customHeight="1" x14ac:dyDescent="0.55000000000000004">
      <c r="A309" s="447"/>
      <c r="B309" s="194"/>
      <c r="C309" s="582" t="s">
        <v>30</v>
      </c>
      <c r="D309" s="67" t="s">
        <v>13</v>
      </c>
      <c r="E309" s="583">
        <v>15</v>
      </c>
      <c r="F309" s="67" t="s">
        <v>15</v>
      </c>
      <c r="G309" s="298" t="s">
        <v>423</v>
      </c>
      <c r="H309" s="66">
        <v>1</v>
      </c>
      <c r="I309" s="66">
        <v>1.1499999999999999</v>
      </c>
      <c r="J309" s="66">
        <v>0.6</v>
      </c>
      <c r="K309" s="276">
        <v>1</v>
      </c>
      <c r="L309" s="277">
        <v>0.69</v>
      </c>
      <c r="M309" s="280" t="s">
        <v>164</v>
      </c>
      <c r="N309" s="195"/>
      <c r="O309" s="196"/>
      <c r="P309" s="601"/>
      <c r="Q309" s="463"/>
    </row>
    <row r="310" spans="1:17" ht="15.75" customHeight="1" x14ac:dyDescent="0.2">
      <c r="A310" s="447"/>
      <c r="B310" s="194"/>
      <c r="C310" s="582" t="s">
        <v>30</v>
      </c>
      <c r="D310" s="67" t="s">
        <v>13</v>
      </c>
      <c r="E310" s="583">
        <v>15</v>
      </c>
      <c r="F310" s="67" t="s">
        <v>15</v>
      </c>
      <c r="G310" s="298" t="s">
        <v>425</v>
      </c>
      <c r="H310" s="66">
        <v>1.1000000000000001</v>
      </c>
      <c r="I310" s="66">
        <v>0.8</v>
      </c>
      <c r="J310" s="66">
        <v>0.65</v>
      </c>
      <c r="K310" s="276">
        <v>1</v>
      </c>
      <c r="L310" s="277">
        <v>0.57200000000000006</v>
      </c>
      <c r="M310" s="280" t="s">
        <v>164</v>
      </c>
      <c r="N310" s="195"/>
      <c r="O310" s="196"/>
      <c r="P310" s="602"/>
      <c r="Q310" s="463"/>
    </row>
    <row r="311" spans="1:17" ht="15.75" customHeight="1" x14ac:dyDescent="0.2">
      <c r="A311" s="447"/>
      <c r="B311" s="194"/>
      <c r="C311" s="582" t="s">
        <v>30</v>
      </c>
      <c r="D311" s="67" t="s">
        <v>13</v>
      </c>
      <c r="E311" s="583">
        <v>15</v>
      </c>
      <c r="F311" s="67" t="s">
        <v>15</v>
      </c>
      <c r="G311" s="298" t="s">
        <v>426</v>
      </c>
      <c r="H311" s="66">
        <v>0.9</v>
      </c>
      <c r="I311" s="66">
        <v>0.8</v>
      </c>
      <c r="J311" s="66">
        <v>0.65</v>
      </c>
      <c r="K311" s="276">
        <v>1</v>
      </c>
      <c r="L311" s="277">
        <v>0.46800000000000008</v>
      </c>
      <c r="M311" s="280" t="s">
        <v>164</v>
      </c>
      <c r="N311" s="195"/>
      <c r="O311" s="196"/>
      <c r="P311" s="602"/>
      <c r="Q311" s="463"/>
    </row>
    <row r="312" spans="1:17" ht="15.75" customHeight="1" x14ac:dyDescent="0.55000000000000004">
      <c r="A312" s="447"/>
      <c r="B312" s="194"/>
      <c r="C312" s="582" t="s">
        <v>30</v>
      </c>
      <c r="D312" s="67" t="s">
        <v>13</v>
      </c>
      <c r="E312" s="583">
        <v>15</v>
      </c>
      <c r="F312" s="67" t="s">
        <v>4</v>
      </c>
      <c r="G312" s="298" t="s">
        <v>427</v>
      </c>
      <c r="H312" s="66">
        <v>1.1000000000000001</v>
      </c>
      <c r="I312" s="66">
        <v>0.95</v>
      </c>
      <c r="J312" s="66">
        <v>0.6</v>
      </c>
      <c r="K312" s="276">
        <v>1</v>
      </c>
      <c r="L312" s="277">
        <v>0.62699999999999989</v>
      </c>
      <c r="M312" s="280" t="s">
        <v>164</v>
      </c>
      <c r="N312" s="195"/>
      <c r="O312" s="196"/>
      <c r="P312" s="601"/>
      <c r="Q312" s="463"/>
    </row>
    <row r="313" spans="1:17" ht="15.75" customHeight="1" x14ac:dyDescent="0.2">
      <c r="A313" s="447"/>
      <c r="B313" s="194"/>
      <c r="C313" s="582" t="s">
        <v>30</v>
      </c>
      <c r="D313" s="67" t="s">
        <v>13</v>
      </c>
      <c r="E313" s="583">
        <v>15</v>
      </c>
      <c r="F313" s="67" t="s">
        <v>15</v>
      </c>
      <c r="G313" s="298" t="s">
        <v>428</v>
      </c>
      <c r="H313" s="66">
        <v>1.2</v>
      </c>
      <c r="I313" s="66">
        <v>0.65</v>
      </c>
      <c r="J313" s="66">
        <v>0.6</v>
      </c>
      <c r="K313" s="276">
        <v>1</v>
      </c>
      <c r="L313" s="277">
        <v>0.46799999999999997</v>
      </c>
      <c r="M313" s="280" t="s">
        <v>164</v>
      </c>
      <c r="N313" s="195"/>
      <c r="O313" s="196"/>
      <c r="P313" s="602"/>
      <c r="Q313" s="463"/>
    </row>
    <row r="314" spans="1:17" ht="15.75" customHeight="1" x14ac:dyDescent="0.55000000000000004">
      <c r="A314" s="447"/>
      <c r="B314" s="194"/>
      <c r="C314" s="582" t="s">
        <v>30</v>
      </c>
      <c r="D314" s="67" t="s">
        <v>13</v>
      </c>
      <c r="E314" s="583">
        <v>15</v>
      </c>
      <c r="F314" s="67" t="s">
        <v>15</v>
      </c>
      <c r="G314" s="298" t="s">
        <v>429</v>
      </c>
      <c r="H314" s="66">
        <v>1.1000000000000001</v>
      </c>
      <c r="I314" s="66">
        <v>1.1499999999999999</v>
      </c>
      <c r="J314" s="66">
        <v>0.6</v>
      </c>
      <c r="K314" s="276">
        <v>1</v>
      </c>
      <c r="L314" s="277">
        <v>0.7589999999999999</v>
      </c>
      <c r="M314" s="280" t="s">
        <v>164</v>
      </c>
      <c r="N314" s="195"/>
      <c r="O314" s="196"/>
      <c r="P314" s="601"/>
      <c r="Q314" s="463"/>
    </row>
    <row r="315" spans="1:17" ht="15.75" customHeight="1" x14ac:dyDescent="0.55000000000000004">
      <c r="A315" s="447"/>
      <c r="B315" s="194"/>
      <c r="C315" s="582" t="s">
        <v>30</v>
      </c>
      <c r="D315" s="67" t="s">
        <v>13</v>
      </c>
      <c r="E315" s="583">
        <v>15</v>
      </c>
      <c r="F315" s="67" t="s">
        <v>15</v>
      </c>
      <c r="G315" s="298" t="s">
        <v>430</v>
      </c>
      <c r="H315" s="66">
        <v>1.4</v>
      </c>
      <c r="I315" s="66">
        <v>1.1499999999999999</v>
      </c>
      <c r="J315" s="66">
        <v>0.6</v>
      </c>
      <c r="K315" s="276">
        <v>1</v>
      </c>
      <c r="L315" s="277">
        <v>0.96599999999999986</v>
      </c>
      <c r="M315" s="280" t="s">
        <v>164</v>
      </c>
      <c r="N315" s="195"/>
      <c r="O315" s="196"/>
      <c r="P315" s="601"/>
      <c r="Q315" s="463"/>
    </row>
    <row r="316" spans="1:17" ht="15.75" customHeight="1" x14ac:dyDescent="0.55000000000000004">
      <c r="A316" s="447"/>
      <c r="B316" s="194"/>
      <c r="C316" s="582" t="s">
        <v>30</v>
      </c>
      <c r="D316" s="67" t="s">
        <v>13</v>
      </c>
      <c r="E316" s="583">
        <v>15</v>
      </c>
      <c r="F316" s="67" t="s">
        <v>15</v>
      </c>
      <c r="G316" s="298" t="s">
        <v>431</v>
      </c>
      <c r="H316" s="66">
        <v>1.1000000000000001</v>
      </c>
      <c r="I316" s="66">
        <v>0.95</v>
      </c>
      <c r="J316" s="66">
        <v>0.6</v>
      </c>
      <c r="K316" s="276">
        <v>1</v>
      </c>
      <c r="L316" s="277">
        <v>0.62699999999999989</v>
      </c>
      <c r="M316" s="280" t="s">
        <v>164</v>
      </c>
      <c r="N316" s="195"/>
      <c r="O316" s="196"/>
      <c r="P316" s="601"/>
      <c r="Q316" s="463"/>
    </row>
    <row r="317" spans="1:17" ht="15.75" customHeight="1" x14ac:dyDescent="0.55000000000000004">
      <c r="A317" s="447"/>
      <c r="B317" s="194"/>
      <c r="C317" s="582" t="s">
        <v>30</v>
      </c>
      <c r="D317" s="67" t="s">
        <v>13</v>
      </c>
      <c r="E317" s="583">
        <v>15</v>
      </c>
      <c r="F317" s="67" t="s">
        <v>15</v>
      </c>
      <c r="G317" s="298" t="s">
        <v>432</v>
      </c>
      <c r="H317" s="66">
        <v>1.3</v>
      </c>
      <c r="I317" s="66">
        <v>1.2</v>
      </c>
      <c r="J317" s="66">
        <v>0.55000000000000004</v>
      </c>
      <c r="K317" s="276">
        <v>1</v>
      </c>
      <c r="L317" s="277">
        <v>0.8580000000000001</v>
      </c>
      <c r="M317" s="280" t="s">
        <v>164</v>
      </c>
      <c r="N317" s="195"/>
      <c r="O317" s="196"/>
      <c r="P317" s="601"/>
      <c r="Q317" s="463"/>
    </row>
    <row r="318" spans="1:17" ht="15.75" customHeight="1" x14ac:dyDescent="0.55000000000000004">
      <c r="A318" s="447"/>
      <c r="B318" s="194"/>
      <c r="C318" s="582" t="s">
        <v>30</v>
      </c>
      <c r="D318" s="67" t="s">
        <v>13</v>
      </c>
      <c r="E318" s="583">
        <v>15</v>
      </c>
      <c r="F318" s="67" t="s">
        <v>15</v>
      </c>
      <c r="G318" s="298" t="s">
        <v>433</v>
      </c>
      <c r="H318" s="66">
        <v>2.2000000000000002</v>
      </c>
      <c r="I318" s="66">
        <v>1.25</v>
      </c>
      <c r="J318" s="66">
        <v>0.5</v>
      </c>
      <c r="K318" s="276">
        <v>1</v>
      </c>
      <c r="L318" s="277">
        <v>1.375</v>
      </c>
      <c r="M318" s="280" t="s">
        <v>164</v>
      </c>
      <c r="N318" s="195"/>
      <c r="O318" s="196"/>
      <c r="P318" s="601"/>
      <c r="Q318" s="463"/>
    </row>
    <row r="319" spans="1:17" ht="15.75" customHeight="1" x14ac:dyDescent="0.55000000000000004">
      <c r="A319" s="447"/>
      <c r="B319" s="194"/>
      <c r="C319" s="582" t="s">
        <v>30</v>
      </c>
      <c r="D319" s="67" t="s">
        <v>13</v>
      </c>
      <c r="E319" s="583">
        <v>15</v>
      </c>
      <c r="F319" s="67" t="s">
        <v>15</v>
      </c>
      <c r="G319" s="298" t="s">
        <v>434</v>
      </c>
      <c r="H319" s="66">
        <v>1.8</v>
      </c>
      <c r="I319" s="66">
        <v>1.25</v>
      </c>
      <c r="J319" s="66">
        <v>0.7</v>
      </c>
      <c r="K319" s="276">
        <v>1</v>
      </c>
      <c r="L319" s="277">
        <v>1.575</v>
      </c>
      <c r="M319" s="280" t="s">
        <v>164</v>
      </c>
      <c r="N319" s="195"/>
      <c r="O319" s="196"/>
      <c r="P319" s="601"/>
      <c r="Q319" s="463"/>
    </row>
    <row r="320" spans="1:17" ht="15.75" customHeight="1" x14ac:dyDescent="0.55000000000000004">
      <c r="A320" s="447"/>
      <c r="B320" s="194"/>
      <c r="C320" s="582" t="s">
        <v>30</v>
      </c>
      <c r="D320" s="67" t="s">
        <v>13</v>
      </c>
      <c r="E320" s="583">
        <v>15</v>
      </c>
      <c r="F320" s="67" t="s">
        <v>15</v>
      </c>
      <c r="G320" s="298" t="s">
        <v>435</v>
      </c>
      <c r="H320" s="66">
        <v>1.1000000000000001</v>
      </c>
      <c r="I320" s="66">
        <v>0.65</v>
      </c>
      <c r="J320" s="66">
        <v>0.6</v>
      </c>
      <c r="K320" s="276">
        <v>1</v>
      </c>
      <c r="L320" s="277">
        <v>0.42900000000000005</v>
      </c>
      <c r="M320" s="280" t="s">
        <v>164</v>
      </c>
      <c r="N320" s="195"/>
      <c r="O320" s="196"/>
      <c r="P320" s="601"/>
      <c r="Q320" s="463"/>
    </row>
    <row r="321" spans="1:17" ht="15.75" customHeight="1" x14ac:dyDescent="0.55000000000000004">
      <c r="A321" s="447"/>
      <c r="B321" s="194"/>
      <c r="C321" s="582" t="s">
        <v>30</v>
      </c>
      <c r="D321" s="67" t="s">
        <v>13</v>
      </c>
      <c r="E321" s="583">
        <v>15</v>
      </c>
      <c r="F321" s="67" t="s">
        <v>15</v>
      </c>
      <c r="G321" s="298" t="s">
        <v>436</v>
      </c>
      <c r="H321" s="66">
        <v>1.2</v>
      </c>
      <c r="I321" s="66">
        <v>0.85</v>
      </c>
      <c r="J321" s="66">
        <v>0.6</v>
      </c>
      <c r="K321" s="276">
        <v>1</v>
      </c>
      <c r="L321" s="277">
        <v>0.61199999999999999</v>
      </c>
      <c r="M321" s="280" t="s">
        <v>164</v>
      </c>
      <c r="N321" s="195"/>
      <c r="O321" s="196"/>
      <c r="P321" s="601"/>
      <c r="Q321" s="463"/>
    </row>
    <row r="322" spans="1:17" ht="15.75" customHeight="1" x14ac:dyDescent="0.55000000000000004">
      <c r="A322" s="447"/>
      <c r="B322" s="194"/>
      <c r="C322" s="582" t="s">
        <v>30</v>
      </c>
      <c r="D322" s="67" t="s">
        <v>13</v>
      </c>
      <c r="E322" s="583">
        <v>15</v>
      </c>
      <c r="F322" s="67" t="s">
        <v>15</v>
      </c>
      <c r="G322" s="298" t="s">
        <v>437</v>
      </c>
      <c r="H322" s="66">
        <v>1.2</v>
      </c>
      <c r="I322" s="66">
        <v>0.85</v>
      </c>
      <c r="J322" s="66">
        <v>0.6</v>
      </c>
      <c r="K322" s="276">
        <v>1</v>
      </c>
      <c r="L322" s="277">
        <v>0.61199999999999999</v>
      </c>
      <c r="M322" s="280" t="s">
        <v>164</v>
      </c>
      <c r="N322" s="195"/>
      <c r="O322" s="196"/>
      <c r="P322" s="601"/>
      <c r="Q322" s="463"/>
    </row>
    <row r="323" spans="1:17" ht="15.75" customHeight="1" x14ac:dyDescent="0.2">
      <c r="A323" s="447"/>
      <c r="B323" s="194"/>
      <c r="C323" s="582" t="s">
        <v>30</v>
      </c>
      <c r="D323" s="67" t="s">
        <v>13</v>
      </c>
      <c r="E323" s="583">
        <v>15</v>
      </c>
      <c r="F323" s="67" t="s">
        <v>15</v>
      </c>
      <c r="G323" s="298" t="s">
        <v>438</v>
      </c>
      <c r="H323" s="66">
        <v>0.9</v>
      </c>
      <c r="I323" s="66">
        <v>0.55000000000000004</v>
      </c>
      <c r="J323" s="66">
        <v>0.6</v>
      </c>
      <c r="K323" s="276">
        <v>1</v>
      </c>
      <c r="L323" s="277">
        <v>0.29700000000000004</v>
      </c>
      <c r="M323" s="280" t="s">
        <v>164</v>
      </c>
      <c r="N323" s="195"/>
      <c r="O323" s="196"/>
      <c r="P323" s="602"/>
      <c r="Q323" s="463"/>
    </row>
    <row r="324" spans="1:17" ht="15.75" customHeight="1" x14ac:dyDescent="0.2">
      <c r="A324" s="447"/>
      <c r="B324" s="194"/>
      <c r="C324" s="582" t="s">
        <v>30</v>
      </c>
      <c r="D324" s="67" t="s">
        <v>13</v>
      </c>
      <c r="E324" s="583">
        <v>15</v>
      </c>
      <c r="F324" s="67" t="s">
        <v>15</v>
      </c>
      <c r="G324" s="298" t="s">
        <v>439</v>
      </c>
      <c r="H324" s="66">
        <v>1.3</v>
      </c>
      <c r="I324" s="66">
        <v>0.85</v>
      </c>
      <c r="J324" s="66">
        <v>0.6</v>
      </c>
      <c r="K324" s="276">
        <v>1</v>
      </c>
      <c r="L324" s="277">
        <v>0.66299999999999992</v>
      </c>
      <c r="M324" s="280" t="s">
        <v>164</v>
      </c>
      <c r="N324" s="195"/>
      <c r="O324" s="196"/>
      <c r="P324" s="602"/>
      <c r="Q324" s="463"/>
    </row>
    <row r="325" spans="1:17" ht="15.75" customHeight="1" x14ac:dyDescent="0.2">
      <c r="A325" s="447"/>
      <c r="B325" s="194"/>
      <c r="C325" s="582" t="s">
        <v>30</v>
      </c>
      <c r="D325" s="67" t="s">
        <v>13</v>
      </c>
      <c r="E325" s="583">
        <v>15</v>
      </c>
      <c r="F325" s="67" t="s">
        <v>15</v>
      </c>
      <c r="G325" s="298" t="s">
        <v>440</v>
      </c>
      <c r="H325" s="66">
        <v>0.9</v>
      </c>
      <c r="I325" s="66">
        <v>0.85</v>
      </c>
      <c r="J325" s="66">
        <v>0.6</v>
      </c>
      <c r="K325" s="276">
        <v>1</v>
      </c>
      <c r="L325" s="277">
        <v>0.45899999999999996</v>
      </c>
      <c r="M325" s="280" t="s">
        <v>164</v>
      </c>
      <c r="N325" s="195"/>
      <c r="O325" s="196"/>
      <c r="P325" s="602"/>
      <c r="Q325" s="463"/>
    </row>
    <row r="326" spans="1:17" ht="15.75" customHeight="1" x14ac:dyDescent="0.2">
      <c r="A326" s="447"/>
      <c r="B326" s="194"/>
      <c r="C326" s="582" t="s">
        <v>30</v>
      </c>
      <c r="D326" s="67" t="s">
        <v>13</v>
      </c>
      <c r="E326" s="583">
        <v>15</v>
      </c>
      <c r="F326" s="67" t="s">
        <v>15</v>
      </c>
      <c r="G326" s="298" t="s">
        <v>441</v>
      </c>
      <c r="H326" s="66">
        <v>0.9</v>
      </c>
      <c r="I326" s="66">
        <v>1.25</v>
      </c>
      <c r="J326" s="66">
        <v>0.6</v>
      </c>
      <c r="K326" s="276">
        <v>1</v>
      </c>
      <c r="L326" s="277">
        <v>0.67499999999999993</v>
      </c>
      <c r="M326" s="280" t="s">
        <v>164</v>
      </c>
      <c r="N326" s="195"/>
      <c r="O326" s="196"/>
      <c r="P326" s="602"/>
      <c r="Q326" s="463"/>
    </row>
    <row r="327" spans="1:17" ht="15.75" customHeight="1" x14ac:dyDescent="0.55000000000000004">
      <c r="A327" s="447"/>
      <c r="B327" s="194"/>
      <c r="C327" s="582" t="s">
        <v>30</v>
      </c>
      <c r="D327" s="67" t="s">
        <v>13</v>
      </c>
      <c r="E327" s="583">
        <v>15</v>
      </c>
      <c r="F327" s="67" t="s">
        <v>15</v>
      </c>
      <c r="G327" s="298" t="s">
        <v>442</v>
      </c>
      <c r="H327" s="66">
        <v>1.3</v>
      </c>
      <c r="I327" s="66">
        <v>0.55000000000000004</v>
      </c>
      <c r="J327" s="66">
        <v>0.6</v>
      </c>
      <c r="K327" s="276">
        <v>1</v>
      </c>
      <c r="L327" s="277">
        <v>0.42900000000000005</v>
      </c>
      <c r="M327" s="280" t="s">
        <v>164</v>
      </c>
      <c r="N327" s="195"/>
      <c r="O327" s="196"/>
      <c r="P327" s="601"/>
      <c r="Q327" s="463"/>
    </row>
    <row r="328" spans="1:17" ht="15.75" customHeight="1" x14ac:dyDescent="0.2">
      <c r="A328" s="447"/>
      <c r="B328" s="194"/>
      <c r="C328" s="582" t="s">
        <v>30</v>
      </c>
      <c r="D328" s="67" t="s">
        <v>13</v>
      </c>
      <c r="E328" s="583">
        <v>15</v>
      </c>
      <c r="F328" s="67" t="s">
        <v>15</v>
      </c>
      <c r="G328" s="298" t="s">
        <v>443</v>
      </c>
      <c r="H328" s="66">
        <v>0.9</v>
      </c>
      <c r="I328" s="66">
        <v>0.55000000000000004</v>
      </c>
      <c r="J328" s="66">
        <v>0.6</v>
      </c>
      <c r="K328" s="276">
        <v>1</v>
      </c>
      <c r="L328" s="277">
        <v>0.29700000000000004</v>
      </c>
      <c r="M328" s="280" t="s">
        <v>164</v>
      </c>
      <c r="N328" s="195"/>
      <c r="O328" s="196"/>
      <c r="P328" s="602"/>
      <c r="Q328" s="463"/>
    </row>
    <row r="329" spans="1:17" ht="15.75" customHeight="1" x14ac:dyDescent="0.2">
      <c r="A329" s="447"/>
      <c r="B329" s="194"/>
      <c r="C329" s="582" t="s">
        <v>30</v>
      </c>
      <c r="D329" s="67" t="s">
        <v>13</v>
      </c>
      <c r="E329" s="583">
        <v>15</v>
      </c>
      <c r="F329" s="67" t="s">
        <v>15</v>
      </c>
      <c r="G329" s="298" t="s">
        <v>444</v>
      </c>
      <c r="H329" s="66">
        <v>1.2</v>
      </c>
      <c r="I329" s="66">
        <v>0.75</v>
      </c>
      <c r="J329" s="66">
        <v>0.6</v>
      </c>
      <c r="K329" s="276">
        <v>1</v>
      </c>
      <c r="L329" s="277">
        <v>0.53999999999999992</v>
      </c>
      <c r="M329" s="280" t="s">
        <v>164</v>
      </c>
      <c r="N329" s="195"/>
      <c r="O329" s="196"/>
      <c r="P329" s="602"/>
      <c r="Q329" s="463"/>
    </row>
    <row r="330" spans="1:17" ht="15.75" customHeight="1" x14ac:dyDescent="0.55000000000000004">
      <c r="A330" s="447"/>
      <c r="B330" s="194"/>
      <c r="C330" s="582" t="s">
        <v>30</v>
      </c>
      <c r="D330" s="67" t="s">
        <v>13</v>
      </c>
      <c r="E330" s="583">
        <v>15</v>
      </c>
      <c r="F330" s="67" t="s">
        <v>15</v>
      </c>
      <c r="G330" s="298" t="s">
        <v>445</v>
      </c>
      <c r="H330" s="66">
        <v>1.2</v>
      </c>
      <c r="I330" s="66">
        <v>0.75</v>
      </c>
      <c r="J330" s="66">
        <v>0.6</v>
      </c>
      <c r="K330" s="276">
        <v>1</v>
      </c>
      <c r="L330" s="277">
        <v>0.53999999999999992</v>
      </c>
      <c r="M330" s="280" t="s">
        <v>164</v>
      </c>
      <c r="N330" s="195"/>
      <c r="O330" s="196"/>
      <c r="P330" s="601"/>
      <c r="Q330" s="463"/>
    </row>
    <row r="331" spans="1:17" ht="15.75" customHeight="1" x14ac:dyDescent="0.55000000000000004">
      <c r="A331" s="447"/>
      <c r="B331" s="194"/>
      <c r="C331" s="582" t="s">
        <v>30</v>
      </c>
      <c r="D331" s="67" t="s">
        <v>13</v>
      </c>
      <c r="E331" s="583">
        <v>15</v>
      </c>
      <c r="F331" s="67" t="s">
        <v>15</v>
      </c>
      <c r="G331" s="298" t="s">
        <v>446</v>
      </c>
      <c r="H331" s="66">
        <v>1.1000000000000001</v>
      </c>
      <c r="I331" s="66">
        <v>1.25</v>
      </c>
      <c r="J331" s="66">
        <v>0.6</v>
      </c>
      <c r="K331" s="276">
        <v>1</v>
      </c>
      <c r="L331" s="277">
        <v>0.82499999999999996</v>
      </c>
      <c r="M331" s="280" t="s">
        <v>164</v>
      </c>
      <c r="N331" s="195"/>
      <c r="O331" s="196"/>
      <c r="P331" s="601"/>
      <c r="Q331" s="463"/>
    </row>
    <row r="332" spans="1:17" ht="15.75" customHeight="1" x14ac:dyDescent="0.2">
      <c r="A332" s="447"/>
      <c r="B332" s="194"/>
      <c r="C332" s="582" t="s">
        <v>30</v>
      </c>
      <c r="D332" s="67" t="s">
        <v>13</v>
      </c>
      <c r="E332" s="583">
        <v>15</v>
      </c>
      <c r="F332" s="67" t="s">
        <v>15</v>
      </c>
      <c r="G332" s="298" t="s">
        <v>447</v>
      </c>
      <c r="H332" s="66">
        <v>1.2</v>
      </c>
      <c r="I332" s="66">
        <v>0.95</v>
      </c>
      <c r="J332" s="66">
        <v>0.6</v>
      </c>
      <c r="K332" s="276">
        <v>1</v>
      </c>
      <c r="L332" s="277">
        <v>0.68399999999999994</v>
      </c>
      <c r="M332" s="280" t="s">
        <v>164</v>
      </c>
      <c r="N332" s="195"/>
      <c r="O332" s="196"/>
      <c r="P332" s="602"/>
      <c r="Q332" s="463"/>
    </row>
    <row r="333" spans="1:17" ht="15.75" customHeight="1" x14ac:dyDescent="0.55000000000000004">
      <c r="A333" s="447"/>
      <c r="B333" s="194"/>
      <c r="C333" s="582" t="s">
        <v>30</v>
      </c>
      <c r="D333" s="67" t="s">
        <v>13</v>
      </c>
      <c r="E333" s="583">
        <v>15</v>
      </c>
      <c r="F333" s="67" t="s">
        <v>15</v>
      </c>
      <c r="G333" s="298" t="s">
        <v>448</v>
      </c>
      <c r="H333" s="66">
        <v>1.2</v>
      </c>
      <c r="I333" s="66">
        <v>0.95</v>
      </c>
      <c r="J333" s="66">
        <v>0.6</v>
      </c>
      <c r="K333" s="276">
        <v>1</v>
      </c>
      <c r="L333" s="277">
        <v>0.68399999999999994</v>
      </c>
      <c r="M333" s="280" t="s">
        <v>164</v>
      </c>
      <c r="N333" s="195"/>
      <c r="O333" s="196"/>
      <c r="P333" s="601"/>
      <c r="Q333" s="463"/>
    </row>
    <row r="334" spans="1:17" ht="15.75" customHeight="1" x14ac:dyDescent="0.2">
      <c r="A334" s="447"/>
      <c r="B334" s="194"/>
      <c r="C334" s="582" t="s">
        <v>30</v>
      </c>
      <c r="D334" s="67" t="s">
        <v>13</v>
      </c>
      <c r="E334" s="583">
        <v>15</v>
      </c>
      <c r="F334" s="67" t="s">
        <v>15</v>
      </c>
      <c r="G334" s="298" t="s">
        <v>449</v>
      </c>
      <c r="H334" s="66">
        <v>1.2</v>
      </c>
      <c r="I334" s="66">
        <v>1.05</v>
      </c>
      <c r="J334" s="66">
        <v>0.6</v>
      </c>
      <c r="K334" s="276">
        <v>1</v>
      </c>
      <c r="L334" s="277">
        <v>0.75600000000000001</v>
      </c>
      <c r="M334" s="280" t="s">
        <v>164</v>
      </c>
      <c r="N334" s="195"/>
      <c r="O334" s="196"/>
      <c r="P334" s="602"/>
      <c r="Q334" s="463"/>
    </row>
    <row r="335" spans="1:17" ht="15.75" customHeight="1" x14ac:dyDescent="0.55000000000000004">
      <c r="A335" s="447"/>
      <c r="B335" s="194"/>
      <c r="C335" s="582" t="s">
        <v>30</v>
      </c>
      <c r="D335" s="67" t="s">
        <v>13</v>
      </c>
      <c r="E335" s="583">
        <v>15</v>
      </c>
      <c r="F335" s="67" t="s">
        <v>15</v>
      </c>
      <c r="G335" s="298" t="s">
        <v>451</v>
      </c>
      <c r="H335" s="66">
        <v>1.3</v>
      </c>
      <c r="I335" s="66">
        <v>0.85</v>
      </c>
      <c r="J335" s="66">
        <v>0.6</v>
      </c>
      <c r="K335" s="276">
        <v>1</v>
      </c>
      <c r="L335" s="277">
        <v>0.66299999999999992</v>
      </c>
      <c r="M335" s="280" t="s">
        <v>164</v>
      </c>
      <c r="N335" s="195"/>
      <c r="O335" s="196"/>
      <c r="P335" s="601"/>
      <c r="Q335" s="463"/>
    </row>
    <row r="336" spans="1:17" ht="15.75" customHeight="1" x14ac:dyDescent="0.55000000000000004">
      <c r="A336" s="447"/>
      <c r="B336" s="194"/>
      <c r="C336" s="582" t="s">
        <v>30</v>
      </c>
      <c r="D336" s="67" t="s">
        <v>13</v>
      </c>
      <c r="E336" s="583">
        <v>15</v>
      </c>
      <c r="F336" s="67" t="s">
        <v>15</v>
      </c>
      <c r="G336" s="298" t="s">
        <v>452</v>
      </c>
      <c r="H336" s="66">
        <v>0.9</v>
      </c>
      <c r="I336" s="66">
        <v>0.55000000000000004</v>
      </c>
      <c r="J336" s="66">
        <v>0.6</v>
      </c>
      <c r="K336" s="276">
        <v>1</v>
      </c>
      <c r="L336" s="277">
        <v>0.29700000000000004</v>
      </c>
      <c r="M336" s="280" t="s">
        <v>164</v>
      </c>
      <c r="N336" s="195"/>
      <c r="O336" s="196"/>
      <c r="P336" s="601"/>
      <c r="Q336" s="463"/>
    </row>
    <row r="337" spans="1:17" ht="15.75" customHeight="1" x14ac:dyDescent="0.55000000000000004">
      <c r="A337" s="447"/>
      <c r="B337" s="194"/>
      <c r="C337" s="582" t="s">
        <v>30</v>
      </c>
      <c r="D337" s="67" t="s">
        <v>13</v>
      </c>
      <c r="E337" s="583">
        <v>15</v>
      </c>
      <c r="F337" s="67" t="s">
        <v>15</v>
      </c>
      <c r="G337" s="298" t="s">
        <v>453</v>
      </c>
      <c r="H337" s="66">
        <v>1.2</v>
      </c>
      <c r="I337" s="66">
        <v>0.55000000000000004</v>
      </c>
      <c r="J337" s="66">
        <v>0.6</v>
      </c>
      <c r="K337" s="276">
        <v>1</v>
      </c>
      <c r="L337" s="277">
        <v>0.39600000000000002</v>
      </c>
      <c r="M337" s="280" t="s">
        <v>164</v>
      </c>
      <c r="N337" s="195"/>
      <c r="O337" s="196"/>
      <c r="P337" s="601"/>
      <c r="Q337" s="463"/>
    </row>
    <row r="338" spans="1:17" ht="15.75" customHeight="1" x14ac:dyDescent="0.55000000000000004">
      <c r="A338" s="447"/>
      <c r="B338" s="194"/>
      <c r="C338" s="582" t="s">
        <v>30</v>
      </c>
      <c r="D338" s="67" t="s">
        <v>13</v>
      </c>
      <c r="E338" s="583">
        <v>15</v>
      </c>
      <c r="F338" s="67" t="s">
        <v>15</v>
      </c>
      <c r="G338" s="298" t="s">
        <v>454</v>
      </c>
      <c r="H338" s="66">
        <v>1.1000000000000001</v>
      </c>
      <c r="I338" s="66">
        <v>0.8</v>
      </c>
      <c r="J338" s="66">
        <v>0.65</v>
      </c>
      <c r="K338" s="276">
        <v>1</v>
      </c>
      <c r="L338" s="277">
        <v>0.57200000000000006</v>
      </c>
      <c r="M338" s="280" t="s">
        <v>164</v>
      </c>
      <c r="N338" s="195"/>
      <c r="O338" s="196"/>
      <c r="P338" s="601"/>
      <c r="Q338" s="463"/>
    </row>
    <row r="339" spans="1:17" ht="15.75" customHeight="1" x14ac:dyDescent="0.55000000000000004">
      <c r="A339" s="447"/>
      <c r="B339" s="194"/>
      <c r="C339" s="582" t="s">
        <v>30</v>
      </c>
      <c r="D339" s="67" t="s">
        <v>13</v>
      </c>
      <c r="E339" s="583">
        <v>15</v>
      </c>
      <c r="F339" s="67" t="s">
        <v>15</v>
      </c>
      <c r="G339" s="298" t="s">
        <v>455</v>
      </c>
      <c r="H339" s="66">
        <v>1.1000000000000001</v>
      </c>
      <c r="I339" s="66">
        <v>1.1499999999999999</v>
      </c>
      <c r="J339" s="66">
        <v>0.6</v>
      </c>
      <c r="K339" s="276">
        <v>1</v>
      </c>
      <c r="L339" s="277">
        <v>0.7589999999999999</v>
      </c>
      <c r="M339" s="280" t="s">
        <v>164</v>
      </c>
      <c r="N339" s="195"/>
      <c r="O339" s="196"/>
      <c r="P339" s="601"/>
      <c r="Q339" s="463"/>
    </row>
    <row r="340" spans="1:17" ht="15.75" customHeight="1" x14ac:dyDescent="0.55000000000000004">
      <c r="A340" s="447"/>
      <c r="B340" s="194"/>
      <c r="C340" s="582" t="s">
        <v>30</v>
      </c>
      <c r="D340" s="67" t="s">
        <v>13</v>
      </c>
      <c r="E340" s="583">
        <v>15</v>
      </c>
      <c r="F340" s="67" t="s">
        <v>15</v>
      </c>
      <c r="G340" s="298" t="s">
        <v>456</v>
      </c>
      <c r="H340" s="66">
        <v>1.2</v>
      </c>
      <c r="I340" s="66">
        <v>1.05</v>
      </c>
      <c r="J340" s="66">
        <v>0.5</v>
      </c>
      <c r="K340" s="276">
        <v>1</v>
      </c>
      <c r="L340" s="277">
        <v>0.63</v>
      </c>
      <c r="M340" s="280" t="s">
        <v>164</v>
      </c>
      <c r="N340" s="195"/>
      <c r="O340" s="196"/>
      <c r="P340" s="601"/>
      <c r="Q340" s="463"/>
    </row>
    <row r="341" spans="1:17" ht="15.75" customHeight="1" x14ac:dyDescent="0.55000000000000004">
      <c r="A341" s="447"/>
      <c r="B341" s="194"/>
      <c r="C341" s="582" t="s">
        <v>30</v>
      </c>
      <c r="D341" s="67" t="s">
        <v>13</v>
      </c>
      <c r="E341" s="583">
        <v>16</v>
      </c>
      <c r="F341" s="67" t="s">
        <v>15</v>
      </c>
      <c r="G341" s="298" t="s">
        <v>187</v>
      </c>
      <c r="H341" s="66">
        <v>1.2</v>
      </c>
      <c r="I341" s="66">
        <v>0.85</v>
      </c>
      <c r="J341" s="66">
        <v>0.6</v>
      </c>
      <c r="K341" s="276">
        <v>1</v>
      </c>
      <c r="L341" s="277">
        <v>0.61199999999999999</v>
      </c>
      <c r="M341" s="280" t="s">
        <v>164</v>
      </c>
      <c r="N341" s="195"/>
      <c r="O341" s="196"/>
      <c r="P341" s="601"/>
      <c r="Q341" s="463"/>
    </row>
    <row r="342" spans="1:17" ht="15.75" customHeight="1" x14ac:dyDescent="0.2">
      <c r="A342" s="447"/>
      <c r="B342" s="194"/>
      <c r="C342" s="582" t="s">
        <v>30</v>
      </c>
      <c r="D342" s="67" t="s">
        <v>13</v>
      </c>
      <c r="E342" s="583">
        <v>16</v>
      </c>
      <c r="F342" s="67" t="s">
        <v>15</v>
      </c>
      <c r="G342" s="298" t="s">
        <v>188</v>
      </c>
      <c r="H342" s="66">
        <v>1.4</v>
      </c>
      <c r="I342" s="66">
        <v>1.05</v>
      </c>
      <c r="J342" s="66">
        <v>0.6</v>
      </c>
      <c r="K342" s="276">
        <v>1</v>
      </c>
      <c r="L342" s="277">
        <v>0.88200000000000001</v>
      </c>
      <c r="M342" s="280" t="s">
        <v>164</v>
      </c>
      <c r="N342" s="195"/>
      <c r="O342" s="196"/>
      <c r="P342" s="602"/>
      <c r="Q342" s="463"/>
    </row>
    <row r="343" spans="1:17" ht="15.75" customHeight="1" x14ac:dyDescent="0.55000000000000004">
      <c r="A343" s="447"/>
      <c r="B343" s="194"/>
      <c r="C343" s="582" t="s">
        <v>30</v>
      </c>
      <c r="D343" s="67" t="s">
        <v>13</v>
      </c>
      <c r="E343" s="583">
        <v>16</v>
      </c>
      <c r="F343" s="67" t="s">
        <v>15</v>
      </c>
      <c r="G343" s="298" t="s">
        <v>199</v>
      </c>
      <c r="H343" s="66">
        <v>1.2</v>
      </c>
      <c r="I343" s="66">
        <v>0.45</v>
      </c>
      <c r="J343" s="66">
        <v>0.6</v>
      </c>
      <c r="K343" s="276">
        <v>1</v>
      </c>
      <c r="L343" s="277">
        <v>0.32400000000000001</v>
      </c>
      <c r="M343" s="280" t="s">
        <v>164</v>
      </c>
      <c r="N343" s="195"/>
      <c r="O343" s="196"/>
      <c r="P343" s="601"/>
      <c r="Q343" s="463"/>
    </row>
    <row r="344" spans="1:17" ht="15.75" customHeight="1" x14ac:dyDescent="0.55000000000000004">
      <c r="A344" s="447"/>
      <c r="B344" s="194"/>
      <c r="C344" s="582" t="s">
        <v>30</v>
      </c>
      <c r="D344" s="67" t="s">
        <v>13</v>
      </c>
      <c r="E344" s="583">
        <v>16</v>
      </c>
      <c r="F344" s="67" t="s">
        <v>15</v>
      </c>
      <c r="G344" s="298" t="s">
        <v>190</v>
      </c>
      <c r="H344" s="66">
        <v>0.9</v>
      </c>
      <c r="I344" s="66">
        <v>1.2</v>
      </c>
      <c r="J344" s="66">
        <v>0.45</v>
      </c>
      <c r="K344" s="276">
        <v>1</v>
      </c>
      <c r="L344" s="277">
        <v>0.48600000000000004</v>
      </c>
      <c r="M344" s="280" t="s">
        <v>164</v>
      </c>
      <c r="N344" s="195"/>
      <c r="O344" s="196"/>
      <c r="P344" s="601"/>
      <c r="Q344" s="463"/>
    </row>
    <row r="345" spans="1:17" ht="15.75" customHeight="1" x14ac:dyDescent="0.55000000000000004">
      <c r="A345" s="447"/>
      <c r="B345" s="194"/>
      <c r="C345" s="582" t="s">
        <v>30</v>
      </c>
      <c r="D345" s="67" t="s">
        <v>13</v>
      </c>
      <c r="E345" s="583">
        <v>16</v>
      </c>
      <c r="F345" s="67" t="s">
        <v>4</v>
      </c>
      <c r="G345" s="298" t="s">
        <v>212</v>
      </c>
      <c r="H345" s="66">
        <v>1.4</v>
      </c>
      <c r="I345" s="66">
        <v>0.55000000000000004</v>
      </c>
      <c r="J345" s="66">
        <v>0.6</v>
      </c>
      <c r="K345" s="276">
        <v>1</v>
      </c>
      <c r="L345" s="277">
        <v>0.46199999999999997</v>
      </c>
      <c r="M345" s="280" t="s">
        <v>164</v>
      </c>
      <c r="N345" s="195"/>
      <c r="O345" s="196"/>
      <c r="P345" s="601"/>
      <c r="Q345" s="463"/>
    </row>
    <row r="346" spans="1:17" ht="15.75" customHeight="1" x14ac:dyDescent="0.55000000000000004">
      <c r="A346" s="447"/>
      <c r="B346" s="194"/>
      <c r="C346" s="582" t="s">
        <v>30</v>
      </c>
      <c r="D346" s="67" t="s">
        <v>13</v>
      </c>
      <c r="E346" s="583">
        <v>16</v>
      </c>
      <c r="F346" s="67" t="s">
        <v>15</v>
      </c>
      <c r="G346" s="298" t="s">
        <v>268</v>
      </c>
      <c r="H346" s="66">
        <v>1.2</v>
      </c>
      <c r="I346" s="66">
        <v>0.75</v>
      </c>
      <c r="J346" s="66">
        <v>0.6</v>
      </c>
      <c r="K346" s="276">
        <v>1</v>
      </c>
      <c r="L346" s="277">
        <v>0.53999999999999992</v>
      </c>
      <c r="M346" s="280" t="s">
        <v>164</v>
      </c>
      <c r="N346" s="195"/>
      <c r="O346" s="196"/>
      <c r="P346" s="601"/>
      <c r="Q346" s="463"/>
    </row>
    <row r="347" spans="1:17" ht="15.75" customHeight="1" x14ac:dyDescent="0.55000000000000004">
      <c r="A347" s="447"/>
      <c r="B347" s="194"/>
      <c r="C347" s="582" t="s">
        <v>30</v>
      </c>
      <c r="D347" s="67" t="s">
        <v>13</v>
      </c>
      <c r="E347" s="583">
        <v>16</v>
      </c>
      <c r="F347" s="67" t="s">
        <v>15</v>
      </c>
      <c r="G347" s="298" t="s">
        <v>200</v>
      </c>
      <c r="H347" s="66">
        <v>1.2</v>
      </c>
      <c r="I347" s="66">
        <v>0.95</v>
      </c>
      <c r="J347" s="66">
        <v>0.6</v>
      </c>
      <c r="K347" s="276">
        <v>1</v>
      </c>
      <c r="L347" s="277">
        <v>0.68399999999999994</v>
      </c>
      <c r="M347" s="280" t="s">
        <v>164</v>
      </c>
      <c r="N347" s="195"/>
      <c r="O347" s="196"/>
      <c r="P347" s="601"/>
      <c r="Q347" s="463"/>
    </row>
    <row r="348" spans="1:17" ht="15.75" customHeight="1" x14ac:dyDescent="0.55000000000000004">
      <c r="A348" s="447"/>
      <c r="B348" s="194"/>
      <c r="C348" s="582" t="s">
        <v>30</v>
      </c>
      <c r="D348" s="67" t="s">
        <v>13</v>
      </c>
      <c r="E348" s="583">
        <v>16</v>
      </c>
      <c r="F348" s="67" t="s">
        <v>15</v>
      </c>
      <c r="G348" s="298" t="s">
        <v>214</v>
      </c>
      <c r="H348" s="66">
        <v>1</v>
      </c>
      <c r="I348" s="66">
        <v>0.75</v>
      </c>
      <c r="J348" s="66">
        <v>0.6</v>
      </c>
      <c r="K348" s="276">
        <v>1</v>
      </c>
      <c r="L348" s="277">
        <v>0.44999999999999996</v>
      </c>
      <c r="M348" s="280" t="s">
        <v>164</v>
      </c>
      <c r="N348" s="195"/>
      <c r="O348" s="196"/>
      <c r="P348" s="601"/>
      <c r="Q348" s="463"/>
    </row>
    <row r="349" spans="1:17" ht="15.75" customHeight="1" x14ac:dyDescent="0.55000000000000004">
      <c r="A349" s="447"/>
      <c r="B349" s="194"/>
      <c r="C349" s="582" t="s">
        <v>30</v>
      </c>
      <c r="D349" s="67" t="s">
        <v>13</v>
      </c>
      <c r="E349" s="583">
        <v>16</v>
      </c>
      <c r="F349" s="67" t="s">
        <v>4</v>
      </c>
      <c r="G349" s="298" t="s">
        <v>201</v>
      </c>
      <c r="H349" s="66">
        <v>1</v>
      </c>
      <c r="I349" s="66">
        <v>0.55000000000000004</v>
      </c>
      <c r="J349" s="66">
        <v>0.6</v>
      </c>
      <c r="K349" s="276">
        <v>1</v>
      </c>
      <c r="L349" s="277">
        <v>0.33</v>
      </c>
      <c r="M349" s="280" t="s">
        <v>164</v>
      </c>
      <c r="N349" s="195"/>
      <c r="O349" s="196"/>
      <c r="P349" s="601"/>
      <c r="Q349" s="463"/>
    </row>
    <row r="350" spans="1:17" ht="15.75" customHeight="1" x14ac:dyDescent="0.55000000000000004">
      <c r="A350" s="447"/>
      <c r="B350" s="194"/>
      <c r="C350" s="582" t="s">
        <v>30</v>
      </c>
      <c r="D350" s="67" t="s">
        <v>13</v>
      </c>
      <c r="E350" s="583">
        <v>16</v>
      </c>
      <c r="F350" s="67" t="s">
        <v>15</v>
      </c>
      <c r="G350" s="298" t="s">
        <v>221</v>
      </c>
      <c r="H350" s="66">
        <v>1.1000000000000001</v>
      </c>
      <c r="I350" s="66">
        <v>1.1499999999999999</v>
      </c>
      <c r="J350" s="66">
        <v>0.6</v>
      </c>
      <c r="K350" s="276">
        <v>1</v>
      </c>
      <c r="L350" s="277">
        <v>0.7589999999999999</v>
      </c>
      <c r="M350" s="280" t="s">
        <v>164</v>
      </c>
      <c r="N350" s="195"/>
      <c r="O350" s="196"/>
      <c r="P350" s="601"/>
      <c r="Q350" s="463"/>
    </row>
    <row r="351" spans="1:17" ht="15.75" customHeight="1" x14ac:dyDescent="0.2">
      <c r="A351" s="447"/>
      <c r="B351" s="194"/>
      <c r="C351" s="582" t="s">
        <v>30</v>
      </c>
      <c r="D351" s="67" t="s">
        <v>13</v>
      </c>
      <c r="E351" s="583">
        <v>16</v>
      </c>
      <c r="F351" s="67" t="s">
        <v>15</v>
      </c>
      <c r="G351" s="298" t="s">
        <v>223</v>
      </c>
      <c r="H351" s="66">
        <v>1.4</v>
      </c>
      <c r="I351" s="66">
        <v>0.95</v>
      </c>
      <c r="J351" s="66">
        <v>0.6</v>
      </c>
      <c r="K351" s="276">
        <v>1</v>
      </c>
      <c r="L351" s="277">
        <v>0.79799999999999993</v>
      </c>
      <c r="M351" s="280" t="s">
        <v>164</v>
      </c>
      <c r="N351" s="195"/>
      <c r="O351" s="196"/>
      <c r="P351" s="602"/>
      <c r="Q351" s="463"/>
    </row>
    <row r="352" spans="1:17" ht="15.75" customHeight="1" x14ac:dyDescent="0.2">
      <c r="A352" s="447"/>
      <c r="B352" s="194"/>
      <c r="C352" s="582" t="s">
        <v>30</v>
      </c>
      <c r="D352" s="67" t="s">
        <v>13</v>
      </c>
      <c r="E352" s="583">
        <v>16</v>
      </c>
      <c r="F352" s="67" t="s">
        <v>15</v>
      </c>
      <c r="G352" s="298" t="s">
        <v>205</v>
      </c>
      <c r="H352" s="66">
        <v>0.8</v>
      </c>
      <c r="I352" s="66">
        <v>0.85</v>
      </c>
      <c r="J352" s="66">
        <v>0.6</v>
      </c>
      <c r="K352" s="276">
        <v>1</v>
      </c>
      <c r="L352" s="277">
        <v>0.40800000000000003</v>
      </c>
      <c r="M352" s="280" t="s">
        <v>164</v>
      </c>
      <c r="N352" s="195"/>
      <c r="O352" s="196"/>
      <c r="P352" s="602"/>
      <c r="Q352" s="463"/>
    </row>
    <row r="353" spans="1:17" ht="15.75" customHeight="1" x14ac:dyDescent="0.55000000000000004">
      <c r="A353" s="447"/>
      <c r="B353" s="194"/>
      <c r="C353" s="582" t="s">
        <v>30</v>
      </c>
      <c r="D353" s="67" t="s">
        <v>13</v>
      </c>
      <c r="E353" s="583">
        <v>16</v>
      </c>
      <c r="F353" s="67" t="s">
        <v>15</v>
      </c>
      <c r="G353" s="298" t="s">
        <v>232</v>
      </c>
      <c r="H353" s="66">
        <v>1.1000000000000001</v>
      </c>
      <c r="I353" s="66">
        <v>0.65</v>
      </c>
      <c r="J353" s="66">
        <v>0.6</v>
      </c>
      <c r="K353" s="276">
        <v>1</v>
      </c>
      <c r="L353" s="277">
        <v>0.42900000000000005</v>
      </c>
      <c r="M353" s="280" t="s">
        <v>164</v>
      </c>
      <c r="N353" s="195"/>
      <c r="O353" s="196"/>
      <c r="P353" s="601"/>
      <c r="Q353" s="463"/>
    </row>
    <row r="354" spans="1:17" ht="15.75" customHeight="1" x14ac:dyDescent="0.55000000000000004">
      <c r="A354" s="447"/>
      <c r="B354" s="194"/>
      <c r="C354" s="582" t="s">
        <v>30</v>
      </c>
      <c r="D354" s="67" t="s">
        <v>13</v>
      </c>
      <c r="E354" s="583">
        <v>16</v>
      </c>
      <c r="F354" s="67" t="s">
        <v>15</v>
      </c>
      <c r="G354" s="298" t="s">
        <v>298</v>
      </c>
      <c r="H354" s="66">
        <v>1.4</v>
      </c>
      <c r="I354" s="66">
        <v>1.1499999999999999</v>
      </c>
      <c r="J354" s="66">
        <v>0.6</v>
      </c>
      <c r="K354" s="276">
        <v>1</v>
      </c>
      <c r="L354" s="277">
        <v>0.96599999999999986</v>
      </c>
      <c r="M354" s="280" t="s">
        <v>164</v>
      </c>
      <c r="N354" s="195"/>
      <c r="O354" s="196"/>
      <c r="P354" s="601"/>
      <c r="Q354" s="463"/>
    </row>
    <row r="355" spans="1:17" ht="15.75" customHeight="1" x14ac:dyDescent="0.55000000000000004">
      <c r="A355" s="447"/>
      <c r="B355" s="194"/>
      <c r="C355" s="582" t="s">
        <v>30</v>
      </c>
      <c r="D355" s="67" t="s">
        <v>13</v>
      </c>
      <c r="E355" s="583">
        <v>16</v>
      </c>
      <c r="F355" s="67" t="s">
        <v>15</v>
      </c>
      <c r="G355" s="298" t="s">
        <v>208</v>
      </c>
      <c r="H355" s="66">
        <v>1</v>
      </c>
      <c r="I355" s="66">
        <v>1.05</v>
      </c>
      <c r="J355" s="66">
        <v>0.6</v>
      </c>
      <c r="K355" s="276">
        <v>1</v>
      </c>
      <c r="L355" s="277">
        <v>0.63</v>
      </c>
      <c r="M355" s="280" t="s">
        <v>164</v>
      </c>
      <c r="N355" s="195"/>
      <c r="O355" s="196"/>
      <c r="P355" s="601"/>
      <c r="Q355" s="463"/>
    </row>
    <row r="356" spans="1:17" ht="15.75" customHeight="1" x14ac:dyDescent="0.55000000000000004">
      <c r="A356" s="447"/>
      <c r="B356" s="194"/>
      <c r="C356" s="582" t="s">
        <v>30</v>
      </c>
      <c r="D356" s="67" t="s">
        <v>13</v>
      </c>
      <c r="E356" s="583">
        <v>16</v>
      </c>
      <c r="F356" s="67" t="s">
        <v>15</v>
      </c>
      <c r="G356" s="298" t="s">
        <v>234</v>
      </c>
      <c r="H356" s="66">
        <v>1.2</v>
      </c>
      <c r="I356" s="66">
        <v>0.45</v>
      </c>
      <c r="J356" s="66">
        <v>0.6</v>
      </c>
      <c r="K356" s="276">
        <v>1</v>
      </c>
      <c r="L356" s="277">
        <v>0.32400000000000001</v>
      </c>
      <c r="M356" s="280" t="s">
        <v>164</v>
      </c>
      <c r="N356" s="195"/>
      <c r="O356" s="196"/>
      <c r="P356" s="601"/>
      <c r="Q356" s="463"/>
    </row>
    <row r="357" spans="1:17" ht="15.75" customHeight="1" x14ac:dyDescent="0.55000000000000004">
      <c r="A357" s="447"/>
      <c r="B357" s="194"/>
      <c r="C357" s="582" t="s">
        <v>30</v>
      </c>
      <c r="D357" s="67" t="s">
        <v>13</v>
      </c>
      <c r="E357" s="583">
        <v>16</v>
      </c>
      <c r="F357" s="67" t="s">
        <v>15</v>
      </c>
      <c r="G357" s="298" t="s">
        <v>238</v>
      </c>
      <c r="H357" s="66">
        <v>1.2</v>
      </c>
      <c r="I357" s="66">
        <v>0.95</v>
      </c>
      <c r="J357" s="66">
        <v>0.6</v>
      </c>
      <c r="K357" s="276">
        <v>1</v>
      </c>
      <c r="L357" s="277">
        <v>0.68399999999999994</v>
      </c>
      <c r="M357" s="280" t="s">
        <v>164</v>
      </c>
      <c r="N357" s="195"/>
      <c r="O357" s="196"/>
      <c r="P357" s="601"/>
      <c r="Q357" s="463"/>
    </row>
    <row r="358" spans="1:17" ht="15.75" customHeight="1" x14ac:dyDescent="0.55000000000000004">
      <c r="A358" s="447"/>
      <c r="B358" s="194"/>
      <c r="C358" s="582" t="s">
        <v>30</v>
      </c>
      <c r="D358" s="67" t="s">
        <v>13</v>
      </c>
      <c r="E358" s="583">
        <v>16</v>
      </c>
      <c r="F358" s="67" t="s">
        <v>15</v>
      </c>
      <c r="G358" s="298" t="s">
        <v>457</v>
      </c>
      <c r="H358" s="66">
        <v>1.5</v>
      </c>
      <c r="I358" s="66">
        <v>1.1499999999999999</v>
      </c>
      <c r="J358" s="66">
        <v>0.6</v>
      </c>
      <c r="K358" s="276">
        <v>1</v>
      </c>
      <c r="L358" s="277">
        <v>1.0349999999999999</v>
      </c>
      <c r="M358" s="280" t="s">
        <v>164</v>
      </c>
      <c r="N358" s="195"/>
      <c r="O358" s="196"/>
      <c r="P358" s="601"/>
      <c r="Q358" s="463"/>
    </row>
    <row r="359" spans="1:17" ht="15.75" customHeight="1" x14ac:dyDescent="0.55000000000000004">
      <c r="A359" s="447"/>
      <c r="B359" s="194"/>
      <c r="C359" s="582" t="s">
        <v>30</v>
      </c>
      <c r="D359" s="67" t="s">
        <v>13</v>
      </c>
      <c r="E359" s="583">
        <v>16</v>
      </c>
      <c r="F359" s="67" t="s">
        <v>15</v>
      </c>
      <c r="G359" s="298" t="s">
        <v>269</v>
      </c>
      <c r="H359" s="66">
        <v>0.9</v>
      </c>
      <c r="I359" s="66">
        <v>0.85</v>
      </c>
      <c r="J359" s="66">
        <v>0.6</v>
      </c>
      <c r="K359" s="276">
        <v>1</v>
      </c>
      <c r="L359" s="277">
        <v>0.45899999999999996</v>
      </c>
      <c r="M359" s="280" t="s">
        <v>164</v>
      </c>
      <c r="N359" s="195"/>
      <c r="O359" s="196"/>
      <c r="P359" s="601"/>
      <c r="Q359" s="463"/>
    </row>
    <row r="360" spans="1:17" ht="15.75" customHeight="1" x14ac:dyDescent="0.55000000000000004">
      <c r="A360" s="447"/>
      <c r="B360" s="194"/>
      <c r="C360" s="582" t="s">
        <v>30</v>
      </c>
      <c r="D360" s="67" t="s">
        <v>13</v>
      </c>
      <c r="E360" s="583">
        <v>16</v>
      </c>
      <c r="F360" s="67" t="s">
        <v>15</v>
      </c>
      <c r="G360" s="298" t="s">
        <v>243</v>
      </c>
      <c r="H360" s="66">
        <v>1.3</v>
      </c>
      <c r="I360" s="66">
        <v>0.85</v>
      </c>
      <c r="J360" s="66">
        <v>0.6</v>
      </c>
      <c r="K360" s="276">
        <v>1</v>
      </c>
      <c r="L360" s="277">
        <v>0.66299999999999992</v>
      </c>
      <c r="M360" s="280" t="s">
        <v>164</v>
      </c>
      <c r="N360" s="195"/>
      <c r="O360" s="196"/>
      <c r="P360" s="601">
        <v>3</v>
      </c>
      <c r="Q360" s="463"/>
    </row>
    <row r="361" spans="1:17" ht="15.75" customHeight="1" x14ac:dyDescent="0.55000000000000004">
      <c r="A361" s="447"/>
      <c r="B361" s="194"/>
      <c r="C361" s="582" t="s">
        <v>30</v>
      </c>
      <c r="D361" s="67" t="s">
        <v>13</v>
      </c>
      <c r="E361" s="583">
        <v>16</v>
      </c>
      <c r="F361" s="67" t="s">
        <v>15</v>
      </c>
      <c r="G361" s="298" t="s">
        <v>230</v>
      </c>
      <c r="H361" s="66">
        <v>1.2</v>
      </c>
      <c r="I361" s="66">
        <v>0.75</v>
      </c>
      <c r="J361" s="66">
        <v>0.6</v>
      </c>
      <c r="K361" s="276">
        <v>1</v>
      </c>
      <c r="L361" s="277">
        <v>0.53999999999999992</v>
      </c>
      <c r="M361" s="280" t="s">
        <v>164</v>
      </c>
      <c r="N361" s="195"/>
      <c r="O361" s="196"/>
      <c r="P361" s="601"/>
      <c r="Q361" s="463"/>
    </row>
    <row r="362" spans="1:17" ht="15.75" customHeight="1" x14ac:dyDescent="0.55000000000000004">
      <c r="A362" s="447"/>
      <c r="B362" s="194"/>
      <c r="C362" s="582" t="s">
        <v>30</v>
      </c>
      <c r="D362" s="67" t="s">
        <v>13</v>
      </c>
      <c r="E362" s="583">
        <v>16</v>
      </c>
      <c r="F362" s="67" t="s">
        <v>15</v>
      </c>
      <c r="G362" s="298" t="s">
        <v>248</v>
      </c>
      <c r="H362" s="66">
        <v>1.2</v>
      </c>
      <c r="I362" s="66">
        <v>1.45</v>
      </c>
      <c r="J362" s="66">
        <v>0.6</v>
      </c>
      <c r="K362" s="276">
        <v>1</v>
      </c>
      <c r="L362" s="277">
        <v>1.044</v>
      </c>
      <c r="M362" s="280" t="s">
        <v>164</v>
      </c>
      <c r="N362" s="195"/>
      <c r="O362" s="196"/>
      <c r="P362" s="601"/>
      <c r="Q362" s="463"/>
    </row>
    <row r="363" spans="1:17" ht="15.75" customHeight="1" x14ac:dyDescent="0.2">
      <c r="A363" s="447"/>
      <c r="B363" s="194"/>
      <c r="C363" s="582" t="s">
        <v>30</v>
      </c>
      <c r="D363" s="67" t="s">
        <v>13</v>
      </c>
      <c r="E363" s="583">
        <v>16</v>
      </c>
      <c r="F363" s="67" t="s">
        <v>15</v>
      </c>
      <c r="G363" s="298" t="s">
        <v>275</v>
      </c>
      <c r="H363" s="66">
        <v>1.2</v>
      </c>
      <c r="I363" s="66">
        <v>1.05</v>
      </c>
      <c r="J363" s="66">
        <v>0.6</v>
      </c>
      <c r="K363" s="276">
        <v>1</v>
      </c>
      <c r="L363" s="277">
        <v>0.75600000000000001</v>
      </c>
      <c r="M363" s="280" t="s">
        <v>164</v>
      </c>
      <c r="N363" s="195"/>
      <c r="O363" s="196"/>
      <c r="P363" s="602"/>
      <c r="Q363" s="463"/>
    </row>
    <row r="364" spans="1:17" ht="15.75" customHeight="1" x14ac:dyDescent="0.55000000000000004">
      <c r="A364" s="447"/>
      <c r="B364" s="194"/>
      <c r="C364" s="582" t="s">
        <v>30</v>
      </c>
      <c r="D364" s="67" t="s">
        <v>13</v>
      </c>
      <c r="E364" s="583">
        <v>16</v>
      </c>
      <c r="F364" s="67" t="s">
        <v>15</v>
      </c>
      <c r="G364" s="298" t="s">
        <v>368</v>
      </c>
      <c r="H364" s="66">
        <v>1.2</v>
      </c>
      <c r="I364" s="66">
        <v>0.65</v>
      </c>
      <c r="J364" s="66">
        <v>0.6</v>
      </c>
      <c r="K364" s="276">
        <v>1</v>
      </c>
      <c r="L364" s="277">
        <v>0.46799999999999997</v>
      </c>
      <c r="M364" s="280" t="s">
        <v>164</v>
      </c>
      <c r="N364" s="195"/>
      <c r="O364" s="196"/>
      <c r="P364" s="601"/>
      <c r="Q364" s="463"/>
    </row>
    <row r="365" spans="1:17" ht="15.75" customHeight="1" x14ac:dyDescent="0.55000000000000004">
      <c r="A365" s="447"/>
      <c r="B365" s="194"/>
      <c r="C365" s="582" t="s">
        <v>30</v>
      </c>
      <c r="D365" s="67" t="s">
        <v>13</v>
      </c>
      <c r="E365" s="583">
        <v>15</v>
      </c>
      <c r="F365" s="67" t="s">
        <v>15</v>
      </c>
      <c r="G365" s="298" t="s">
        <v>458</v>
      </c>
      <c r="H365" s="66">
        <v>1.2</v>
      </c>
      <c r="I365" s="66">
        <v>0.85</v>
      </c>
      <c r="J365" s="66">
        <v>0.6</v>
      </c>
      <c r="K365" s="276">
        <v>1</v>
      </c>
      <c r="L365" s="277">
        <v>0.61199999999999999</v>
      </c>
      <c r="M365" s="280" t="s">
        <v>164</v>
      </c>
      <c r="N365" s="195"/>
      <c r="O365" s="196"/>
      <c r="P365" s="601"/>
      <c r="Q365" s="463"/>
    </row>
    <row r="366" spans="1:17" ht="15.75" customHeight="1" x14ac:dyDescent="0.55000000000000004">
      <c r="A366" s="447"/>
      <c r="B366" s="194"/>
      <c r="C366" s="582" t="s">
        <v>30</v>
      </c>
      <c r="D366" s="67" t="s">
        <v>13</v>
      </c>
      <c r="E366" s="583">
        <v>15</v>
      </c>
      <c r="F366" s="67" t="s">
        <v>15</v>
      </c>
      <c r="G366" s="298" t="s">
        <v>459</v>
      </c>
      <c r="H366" s="66">
        <v>1.2</v>
      </c>
      <c r="I366" s="66">
        <v>0.75</v>
      </c>
      <c r="J366" s="66">
        <v>0.6</v>
      </c>
      <c r="K366" s="276">
        <v>1</v>
      </c>
      <c r="L366" s="277">
        <v>0.53999999999999992</v>
      </c>
      <c r="M366" s="280" t="s">
        <v>164</v>
      </c>
      <c r="N366" s="195"/>
      <c r="O366" s="196"/>
      <c r="P366" s="601"/>
      <c r="Q366" s="463"/>
    </row>
    <row r="367" spans="1:17" ht="15.75" customHeight="1" x14ac:dyDescent="0.55000000000000004">
      <c r="A367" s="447"/>
      <c r="B367" s="194"/>
      <c r="C367" s="582" t="s">
        <v>30</v>
      </c>
      <c r="D367" s="67" t="s">
        <v>13</v>
      </c>
      <c r="E367" s="583">
        <v>15</v>
      </c>
      <c r="F367" s="67" t="s">
        <v>15</v>
      </c>
      <c r="G367" s="298" t="s">
        <v>460</v>
      </c>
      <c r="H367" s="66">
        <v>1.3</v>
      </c>
      <c r="I367" s="66">
        <v>0.95</v>
      </c>
      <c r="J367" s="66">
        <v>0.6</v>
      </c>
      <c r="K367" s="276">
        <v>1</v>
      </c>
      <c r="L367" s="277">
        <v>0.74099999999999988</v>
      </c>
      <c r="M367" s="280" t="s">
        <v>164</v>
      </c>
      <c r="N367" s="195"/>
      <c r="O367" s="196"/>
      <c r="P367" s="601"/>
      <c r="Q367" s="463"/>
    </row>
    <row r="368" spans="1:17" ht="15.75" customHeight="1" x14ac:dyDescent="0.55000000000000004">
      <c r="A368" s="447"/>
      <c r="B368" s="194"/>
      <c r="C368" s="582" t="s">
        <v>30</v>
      </c>
      <c r="D368" s="67" t="s">
        <v>13</v>
      </c>
      <c r="E368" s="583">
        <v>15</v>
      </c>
      <c r="F368" s="67" t="s">
        <v>15</v>
      </c>
      <c r="G368" s="298" t="s">
        <v>461</v>
      </c>
      <c r="H368" s="66">
        <v>1.2</v>
      </c>
      <c r="I368" s="66">
        <v>1.05</v>
      </c>
      <c r="J368" s="66">
        <v>0.6</v>
      </c>
      <c r="K368" s="276">
        <v>1</v>
      </c>
      <c r="L368" s="277">
        <v>0.75600000000000001</v>
      </c>
      <c r="M368" s="280" t="s">
        <v>164</v>
      </c>
      <c r="N368" s="195"/>
      <c r="O368" s="196"/>
      <c r="P368" s="601"/>
      <c r="Q368" s="463"/>
    </row>
    <row r="369" spans="1:17" ht="15.75" customHeight="1" x14ac:dyDescent="0.55000000000000004">
      <c r="A369" s="447"/>
      <c r="B369" s="194"/>
      <c r="C369" s="582" t="s">
        <v>30</v>
      </c>
      <c r="D369" s="67" t="s">
        <v>13</v>
      </c>
      <c r="E369" s="583">
        <v>15</v>
      </c>
      <c r="F369" s="67" t="s">
        <v>15</v>
      </c>
      <c r="G369" s="298" t="s">
        <v>462</v>
      </c>
      <c r="H369" s="66">
        <v>1.1000000000000001</v>
      </c>
      <c r="I369" s="66">
        <v>1.05</v>
      </c>
      <c r="J369" s="66">
        <v>0.6</v>
      </c>
      <c r="K369" s="276">
        <v>1</v>
      </c>
      <c r="L369" s="277">
        <v>0.69300000000000017</v>
      </c>
      <c r="M369" s="280" t="s">
        <v>164</v>
      </c>
      <c r="N369" s="195"/>
      <c r="O369" s="196"/>
      <c r="P369" s="601"/>
      <c r="Q369" s="463"/>
    </row>
    <row r="370" spans="1:17" ht="15.75" customHeight="1" x14ac:dyDescent="0.55000000000000004">
      <c r="A370" s="447"/>
      <c r="B370" s="194"/>
      <c r="C370" s="582" t="s">
        <v>30</v>
      </c>
      <c r="D370" s="67" t="s">
        <v>13</v>
      </c>
      <c r="E370" s="583">
        <v>15</v>
      </c>
      <c r="F370" s="67" t="s">
        <v>15</v>
      </c>
      <c r="G370" s="298" t="s">
        <v>463</v>
      </c>
      <c r="H370" s="66">
        <v>1.2</v>
      </c>
      <c r="I370" s="66">
        <v>0.85</v>
      </c>
      <c r="J370" s="66">
        <v>0.6</v>
      </c>
      <c r="K370" s="276">
        <v>1</v>
      </c>
      <c r="L370" s="277">
        <v>0.61199999999999999</v>
      </c>
      <c r="M370" s="280" t="s">
        <v>164</v>
      </c>
      <c r="N370" s="195"/>
      <c r="O370" s="196"/>
      <c r="P370" s="601"/>
      <c r="Q370" s="463"/>
    </row>
    <row r="371" spans="1:17" ht="15.75" customHeight="1" x14ac:dyDescent="0.55000000000000004">
      <c r="A371" s="447"/>
      <c r="B371" s="194"/>
      <c r="C371" s="582" t="s">
        <v>30</v>
      </c>
      <c r="D371" s="67" t="s">
        <v>13</v>
      </c>
      <c r="E371" s="583">
        <v>15</v>
      </c>
      <c r="F371" s="67" t="s">
        <v>15</v>
      </c>
      <c r="G371" s="298" t="s">
        <v>464</v>
      </c>
      <c r="H371" s="66">
        <v>1.2</v>
      </c>
      <c r="I371" s="66">
        <v>0.55000000000000004</v>
      </c>
      <c r="J371" s="66">
        <v>0.6</v>
      </c>
      <c r="K371" s="276">
        <v>1</v>
      </c>
      <c r="L371" s="277">
        <v>0.39600000000000002</v>
      </c>
      <c r="M371" s="280" t="s">
        <v>164</v>
      </c>
      <c r="N371" s="195"/>
      <c r="O371" s="196"/>
      <c r="P371" s="601"/>
      <c r="Q371" s="463"/>
    </row>
    <row r="372" spans="1:17" ht="15.75" customHeight="1" x14ac:dyDescent="0.55000000000000004">
      <c r="A372" s="447"/>
      <c r="B372" s="194"/>
      <c r="C372" s="582" t="s">
        <v>30</v>
      </c>
      <c r="D372" s="67" t="s">
        <v>13</v>
      </c>
      <c r="E372" s="583">
        <v>15</v>
      </c>
      <c r="F372" s="67" t="s">
        <v>15</v>
      </c>
      <c r="G372" s="298" t="s">
        <v>465</v>
      </c>
      <c r="H372" s="66">
        <v>1.2</v>
      </c>
      <c r="I372" s="66">
        <v>0.95</v>
      </c>
      <c r="J372" s="66">
        <v>0.6</v>
      </c>
      <c r="K372" s="276">
        <v>1</v>
      </c>
      <c r="L372" s="277">
        <v>0.68399999999999994</v>
      </c>
      <c r="M372" s="280" t="s">
        <v>164</v>
      </c>
      <c r="N372" s="195"/>
      <c r="O372" s="196"/>
      <c r="P372" s="601"/>
      <c r="Q372" s="463"/>
    </row>
    <row r="373" spans="1:17" ht="15.75" customHeight="1" x14ac:dyDescent="0.55000000000000004">
      <c r="A373" s="447"/>
      <c r="B373" s="194"/>
      <c r="C373" s="582" t="s">
        <v>30</v>
      </c>
      <c r="D373" s="67" t="s">
        <v>13</v>
      </c>
      <c r="E373" s="583">
        <v>15</v>
      </c>
      <c r="F373" s="67" t="s">
        <v>15</v>
      </c>
      <c r="G373" s="298" t="s">
        <v>466</v>
      </c>
      <c r="H373" s="66">
        <v>1.3</v>
      </c>
      <c r="I373" s="66">
        <v>1.25</v>
      </c>
      <c r="J373" s="66">
        <v>0.6</v>
      </c>
      <c r="K373" s="276">
        <v>1</v>
      </c>
      <c r="L373" s="277">
        <v>0.97499999999999998</v>
      </c>
      <c r="M373" s="280" t="s">
        <v>164</v>
      </c>
      <c r="N373" s="195"/>
      <c r="O373" s="196"/>
      <c r="P373" s="601"/>
      <c r="Q373" s="463"/>
    </row>
    <row r="374" spans="1:17" ht="15.75" customHeight="1" x14ac:dyDescent="0.2">
      <c r="A374" s="447"/>
      <c r="B374" s="194"/>
      <c r="C374" s="582" t="s">
        <v>30</v>
      </c>
      <c r="D374" s="67" t="s">
        <v>13</v>
      </c>
      <c r="E374" s="583">
        <v>15</v>
      </c>
      <c r="F374" s="67" t="s">
        <v>15</v>
      </c>
      <c r="G374" s="298" t="s">
        <v>467</v>
      </c>
      <c r="H374" s="66">
        <v>1.2</v>
      </c>
      <c r="I374" s="66">
        <v>0.85</v>
      </c>
      <c r="J374" s="66">
        <v>0.6</v>
      </c>
      <c r="K374" s="276">
        <v>1</v>
      </c>
      <c r="L374" s="277">
        <v>0.61199999999999999</v>
      </c>
      <c r="M374" s="280" t="s">
        <v>164</v>
      </c>
      <c r="N374" s="195"/>
      <c r="O374" s="196"/>
      <c r="P374" s="602"/>
      <c r="Q374" s="463"/>
    </row>
    <row r="375" spans="1:17" ht="15.75" customHeight="1" x14ac:dyDescent="0.55000000000000004">
      <c r="A375" s="447"/>
      <c r="B375" s="194"/>
      <c r="C375" s="582" t="s">
        <v>30</v>
      </c>
      <c r="D375" s="67" t="s">
        <v>13</v>
      </c>
      <c r="E375" s="583">
        <v>15</v>
      </c>
      <c r="F375" s="67" t="s">
        <v>15</v>
      </c>
      <c r="G375" s="298" t="s">
        <v>468</v>
      </c>
      <c r="H375" s="66">
        <v>1.4</v>
      </c>
      <c r="I375" s="66">
        <v>1.25</v>
      </c>
      <c r="J375" s="66">
        <v>0.6</v>
      </c>
      <c r="K375" s="276">
        <v>1</v>
      </c>
      <c r="L375" s="277">
        <v>1.05</v>
      </c>
      <c r="M375" s="280" t="s">
        <v>164</v>
      </c>
      <c r="N375" s="195"/>
      <c r="O375" s="196"/>
      <c r="P375" s="601"/>
      <c r="Q375" s="463"/>
    </row>
    <row r="376" spans="1:17" ht="15.75" customHeight="1" x14ac:dyDescent="0.55000000000000004">
      <c r="A376" s="447"/>
      <c r="B376" s="194"/>
      <c r="C376" s="582" t="s">
        <v>30</v>
      </c>
      <c r="D376" s="67" t="s">
        <v>13</v>
      </c>
      <c r="E376" s="583">
        <v>15</v>
      </c>
      <c r="F376" s="67" t="s">
        <v>15</v>
      </c>
      <c r="G376" s="298" t="s">
        <v>469</v>
      </c>
      <c r="H376" s="66">
        <v>1.2</v>
      </c>
      <c r="I376" s="66">
        <v>0.85</v>
      </c>
      <c r="J376" s="66">
        <v>0.6</v>
      </c>
      <c r="K376" s="276">
        <v>1</v>
      </c>
      <c r="L376" s="277">
        <v>0.61199999999999999</v>
      </c>
      <c r="M376" s="280" t="s">
        <v>164</v>
      </c>
      <c r="N376" s="195"/>
      <c r="O376" s="196"/>
      <c r="P376" s="601"/>
      <c r="Q376" s="463"/>
    </row>
    <row r="377" spans="1:17" ht="15.75" customHeight="1" x14ac:dyDescent="0.2">
      <c r="A377" s="447"/>
      <c r="B377" s="194"/>
      <c r="C377" s="582" t="s">
        <v>30</v>
      </c>
      <c r="D377" s="67" t="s">
        <v>13</v>
      </c>
      <c r="E377" s="583">
        <v>16</v>
      </c>
      <c r="F377" s="67" t="s">
        <v>4</v>
      </c>
      <c r="G377" s="298" t="s">
        <v>372</v>
      </c>
      <c r="H377" s="66">
        <v>1.3</v>
      </c>
      <c r="I377" s="66">
        <v>0.95</v>
      </c>
      <c r="J377" s="66">
        <v>0.6</v>
      </c>
      <c r="K377" s="276">
        <v>1</v>
      </c>
      <c r="L377" s="277">
        <v>0.74099999999999988</v>
      </c>
      <c r="M377" s="280" t="s">
        <v>164</v>
      </c>
      <c r="N377" s="195"/>
      <c r="O377" s="196"/>
      <c r="P377" s="602"/>
      <c r="Q377" s="463"/>
    </row>
    <row r="378" spans="1:17" ht="15.75" customHeight="1" x14ac:dyDescent="0.55000000000000004">
      <c r="A378" s="447"/>
      <c r="B378" s="194"/>
      <c r="C378" s="582" t="s">
        <v>30</v>
      </c>
      <c r="D378" s="67" t="s">
        <v>13</v>
      </c>
      <c r="E378" s="583">
        <v>16</v>
      </c>
      <c r="F378" s="67" t="s">
        <v>15</v>
      </c>
      <c r="G378" s="298" t="s">
        <v>285</v>
      </c>
      <c r="H378" s="66">
        <v>0.8</v>
      </c>
      <c r="I378" s="66">
        <v>0.55000000000000004</v>
      </c>
      <c r="J378" s="66">
        <v>0.6</v>
      </c>
      <c r="K378" s="276">
        <v>1</v>
      </c>
      <c r="L378" s="277">
        <v>0.26400000000000001</v>
      </c>
      <c r="M378" s="280" t="s">
        <v>164</v>
      </c>
      <c r="N378" s="195"/>
      <c r="O378" s="196"/>
      <c r="P378" s="601"/>
      <c r="Q378" s="463"/>
    </row>
    <row r="379" spans="1:17" ht="15.75" customHeight="1" x14ac:dyDescent="0.55000000000000004">
      <c r="A379" s="447"/>
      <c r="B379" s="194"/>
      <c r="C379" s="582" t="s">
        <v>30</v>
      </c>
      <c r="D379" s="67" t="s">
        <v>13</v>
      </c>
      <c r="E379" s="583">
        <v>16</v>
      </c>
      <c r="F379" s="67" t="s">
        <v>15</v>
      </c>
      <c r="G379" s="298" t="s">
        <v>289</v>
      </c>
      <c r="H379" s="66">
        <v>1.2</v>
      </c>
      <c r="I379" s="66">
        <v>0.75</v>
      </c>
      <c r="J379" s="66">
        <v>0.6</v>
      </c>
      <c r="K379" s="276">
        <v>1</v>
      </c>
      <c r="L379" s="277">
        <v>0.53999999999999992</v>
      </c>
      <c r="M379" s="280" t="s">
        <v>164</v>
      </c>
      <c r="N379" s="195"/>
      <c r="O379" s="196"/>
      <c r="P379" s="601"/>
      <c r="Q379" s="463"/>
    </row>
    <row r="380" spans="1:17" ht="15.75" customHeight="1" x14ac:dyDescent="0.55000000000000004">
      <c r="A380" s="447"/>
      <c r="B380" s="194"/>
      <c r="C380" s="582" t="s">
        <v>30</v>
      </c>
      <c r="D380" s="67" t="s">
        <v>13</v>
      </c>
      <c r="E380" s="583">
        <v>16</v>
      </c>
      <c r="F380" s="67" t="s">
        <v>3</v>
      </c>
      <c r="G380" s="298" t="s">
        <v>470</v>
      </c>
      <c r="H380" s="66">
        <v>1.5</v>
      </c>
      <c r="I380" s="66">
        <v>1.35</v>
      </c>
      <c r="J380" s="66">
        <v>0.6</v>
      </c>
      <c r="K380" s="276">
        <v>1</v>
      </c>
      <c r="L380" s="277">
        <v>1.2150000000000001</v>
      </c>
      <c r="M380" s="280" t="s">
        <v>164</v>
      </c>
      <c r="N380" s="195"/>
      <c r="O380" s="196"/>
      <c r="P380" s="601"/>
      <c r="Q380" s="463"/>
    </row>
    <row r="381" spans="1:17" ht="15.75" customHeight="1" x14ac:dyDescent="0.55000000000000004">
      <c r="A381" s="447"/>
      <c r="B381" s="194"/>
      <c r="C381" s="582" t="s">
        <v>30</v>
      </c>
      <c r="D381" s="67" t="s">
        <v>13</v>
      </c>
      <c r="E381" s="583">
        <v>16</v>
      </c>
      <c r="F381" s="67" t="s">
        <v>15</v>
      </c>
      <c r="G381" s="298" t="s">
        <v>471</v>
      </c>
      <c r="H381" s="66">
        <v>1.2</v>
      </c>
      <c r="I381" s="66">
        <v>1.25</v>
      </c>
      <c r="J381" s="66">
        <v>0.6</v>
      </c>
      <c r="K381" s="276">
        <v>1</v>
      </c>
      <c r="L381" s="277">
        <v>0.89999999999999991</v>
      </c>
      <c r="M381" s="280" t="s">
        <v>164</v>
      </c>
      <c r="N381" s="195"/>
      <c r="O381" s="196"/>
      <c r="P381" s="601"/>
      <c r="Q381" s="463"/>
    </row>
    <row r="382" spans="1:17" ht="15.75" customHeight="1" x14ac:dyDescent="0.55000000000000004">
      <c r="A382" s="447"/>
      <c r="B382" s="194"/>
      <c r="C382" s="582" t="s">
        <v>30</v>
      </c>
      <c r="D382" s="67" t="s">
        <v>13</v>
      </c>
      <c r="E382" s="583">
        <v>16</v>
      </c>
      <c r="F382" s="67" t="s">
        <v>15</v>
      </c>
      <c r="G382" s="298" t="s">
        <v>472</v>
      </c>
      <c r="H382" s="66">
        <v>1</v>
      </c>
      <c r="I382" s="66">
        <v>0.55000000000000004</v>
      </c>
      <c r="J382" s="66">
        <v>0.6</v>
      </c>
      <c r="K382" s="276">
        <v>1</v>
      </c>
      <c r="L382" s="277">
        <v>0.33</v>
      </c>
      <c r="M382" s="280" t="s">
        <v>164</v>
      </c>
      <c r="N382" s="195"/>
      <c r="O382" s="196"/>
      <c r="P382" s="601"/>
      <c r="Q382" s="463"/>
    </row>
    <row r="383" spans="1:17" ht="15.75" customHeight="1" x14ac:dyDescent="0.55000000000000004">
      <c r="A383" s="447"/>
      <c r="B383" s="194"/>
      <c r="C383" s="582" t="s">
        <v>30</v>
      </c>
      <c r="D383" s="67" t="s">
        <v>13</v>
      </c>
      <c r="E383" s="583">
        <v>16</v>
      </c>
      <c r="F383" s="67" t="s">
        <v>15</v>
      </c>
      <c r="G383" s="298" t="s">
        <v>473</v>
      </c>
      <c r="H383" s="66">
        <v>1.6</v>
      </c>
      <c r="I383" s="66">
        <v>1.1499999999999999</v>
      </c>
      <c r="J383" s="66">
        <v>0.6</v>
      </c>
      <c r="K383" s="276">
        <v>1</v>
      </c>
      <c r="L383" s="277">
        <v>1.1039999999999999</v>
      </c>
      <c r="M383" s="280" t="s">
        <v>164</v>
      </c>
      <c r="N383" s="195"/>
      <c r="O383" s="196"/>
      <c r="P383" s="601"/>
      <c r="Q383" s="463"/>
    </row>
    <row r="384" spans="1:17" ht="15.75" customHeight="1" x14ac:dyDescent="0.55000000000000004">
      <c r="A384" s="447"/>
      <c r="B384" s="194"/>
      <c r="C384" s="582" t="s">
        <v>30</v>
      </c>
      <c r="D384" s="67" t="s">
        <v>13</v>
      </c>
      <c r="E384" s="583">
        <v>16</v>
      </c>
      <c r="F384" s="67" t="s">
        <v>4</v>
      </c>
      <c r="G384" s="298" t="s">
        <v>474</v>
      </c>
      <c r="H384" s="66">
        <v>1.2</v>
      </c>
      <c r="I384" s="66">
        <v>1.1499999999999999</v>
      </c>
      <c r="J384" s="66">
        <v>0.6</v>
      </c>
      <c r="K384" s="276">
        <v>1</v>
      </c>
      <c r="L384" s="277">
        <v>0.82799999999999996</v>
      </c>
      <c r="M384" s="280" t="s">
        <v>164</v>
      </c>
      <c r="N384" s="195"/>
      <c r="O384" s="196"/>
      <c r="P384" s="601"/>
      <c r="Q384" s="463"/>
    </row>
    <row r="385" spans="1:17" ht="15.75" customHeight="1" x14ac:dyDescent="0.55000000000000004">
      <c r="A385" s="447"/>
      <c r="B385" s="194"/>
      <c r="C385" s="582" t="s">
        <v>30</v>
      </c>
      <c r="D385" s="67" t="s">
        <v>13</v>
      </c>
      <c r="E385" s="583">
        <v>16</v>
      </c>
      <c r="F385" s="67" t="s">
        <v>4</v>
      </c>
      <c r="G385" s="298" t="s">
        <v>475</v>
      </c>
      <c r="H385" s="66">
        <v>0.9</v>
      </c>
      <c r="I385" s="66">
        <v>1.1499999999999999</v>
      </c>
      <c r="J385" s="66">
        <v>0.6</v>
      </c>
      <c r="K385" s="276">
        <v>1</v>
      </c>
      <c r="L385" s="277">
        <v>0.62099999999999989</v>
      </c>
      <c r="M385" s="280" t="s">
        <v>164</v>
      </c>
      <c r="N385" s="195"/>
      <c r="O385" s="196"/>
      <c r="P385" s="601"/>
      <c r="Q385" s="463"/>
    </row>
    <row r="386" spans="1:17" ht="15.75" customHeight="1" x14ac:dyDescent="0.55000000000000004">
      <c r="A386" s="447"/>
      <c r="B386" s="194"/>
      <c r="C386" s="582" t="s">
        <v>30</v>
      </c>
      <c r="D386" s="67" t="s">
        <v>13</v>
      </c>
      <c r="E386" s="583">
        <v>16</v>
      </c>
      <c r="F386" s="67" t="s">
        <v>15</v>
      </c>
      <c r="G386" s="298" t="s">
        <v>325</v>
      </c>
      <c r="H386" s="66">
        <v>1.2</v>
      </c>
      <c r="I386" s="66">
        <v>1.05</v>
      </c>
      <c r="J386" s="66">
        <v>0.6</v>
      </c>
      <c r="K386" s="276">
        <v>1</v>
      </c>
      <c r="L386" s="277">
        <v>0.75600000000000001</v>
      </c>
      <c r="M386" s="280" t="s">
        <v>164</v>
      </c>
      <c r="N386" s="195"/>
      <c r="O386" s="196"/>
      <c r="P386" s="601"/>
      <c r="Q386" s="463"/>
    </row>
    <row r="387" spans="1:17" ht="15.75" customHeight="1" x14ac:dyDescent="0.55000000000000004">
      <c r="A387" s="447"/>
      <c r="B387" s="194"/>
      <c r="C387" s="582" t="s">
        <v>30</v>
      </c>
      <c r="D387" s="67" t="s">
        <v>13</v>
      </c>
      <c r="E387" s="583">
        <v>16</v>
      </c>
      <c r="F387" s="67" t="s">
        <v>15</v>
      </c>
      <c r="G387" s="298" t="s">
        <v>476</v>
      </c>
      <c r="H387" s="66">
        <v>1.2</v>
      </c>
      <c r="I387" s="66">
        <v>0.85</v>
      </c>
      <c r="J387" s="66">
        <v>0.6</v>
      </c>
      <c r="K387" s="276">
        <v>1</v>
      </c>
      <c r="L387" s="277">
        <v>0.61199999999999999</v>
      </c>
      <c r="M387" s="280" t="s">
        <v>164</v>
      </c>
      <c r="N387" s="195"/>
      <c r="O387" s="196"/>
      <c r="P387" s="601"/>
      <c r="Q387" s="463"/>
    </row>
    <row r="388" spans="1:17" ht="15.75" customHeight="1" x14ac:dyDescent="0.55000000000000004">
      <c r="A388" s="447"/>
      <c r="B388" s="194"/>
      <c r="C388" s="582" t="s">
        <v>30</v>
      </c>
      <c r="D388" s="67" t="s">
        <v>13</v>
      </c>
      <c r="E388" s="583">
        <v>16</v>
      </c>
      <c r="F388" s="67" t="s">
        <v>15</v>
      </c>
      <c r="G388" s="298" t="s">
        <v>477</v>
      </c>
      <c r="H388" s="66">
        <v>1.5</v>
      </c>
      <c r="I388" s="66">
        <v>1.1499999999999999</v>
      </c>
      <c r="J388" s="66">
        <v>0.6</v>
      </c>
      <c r="K388" s="276">
        <v>1</v>
      </c>
      <c r="L388" s="277">
        <v>1.0349999999999999</v>
      </c>
      <c r="M388" s="280" t="s">
        <v>164</v>
      </c>
      <c r="N388" s="195"/>
      <c r="O388" s="196"/>
      <c r="P388" s="601"/>
      <c r="Q388" s="463"/>
    </row>
    <row r="389" spans="1:17" ht="15.75" customHeight="1" x14ac:dyDescent="0.55000000000000004">
      <c r="A389" s="447"/>
      <c r="B389" s="194"/>
      <c r="C389" s="582" t="s">
        <v>30</v>
      </c>
      <c r="D389" s="67" t="s">
        <v>13</v>
      </c>
      <c r="E389" s="583">
        <v>16</v>
      </c>
      <c r="F389" s="67" t="s">
        <v>15</v>
      </c>
      <c r="G389" s="298" t="s">
        <v>478</v>
      </c>
      <c r="H389" s="66">
        <v>1.6</v>
      </c>
      <c r="I389" s="66">
        <v>0.55000000000000004</v>
      </c>
      <c r="J389" s="66">
        <v>0.6</v>
      </c>
      <c r="K389" s="276">
        <v>1</v>
      </c>
      <c r="L389" s="277">
        <v>0.52800000000000002</v>
      </c>
      <c r="M389" s="280" t="s">
        <v>164</v>
      </c>
      <c r="N389" s="195"/>
      <c r="O389" s="196"/>
      <c r="P389" s="601"/>
      <c r="Q389" s="463"/>
    </row>
    <row r="390" spans="1:17" ht="15.75" customHeight="1" x14ac:dyDescent="0.55000000000000004">
      <c r="A390" s="447"/>
      <c r="B390" s="194"/>
      <c r="C390" s="582" t="s">
        <v>30</v>
      </c>
      <c r="D390" s="67" t="s">
        <v>13</v>
      </c>
      <c r="E390" s="583">
        <v>16</v>
      </c>
      <c r="F390" s="67" t="s">
        <v>15</v>
      </c>
      <c r="G390" s="298" t="s">
        <v>479</v>
      </c>
      <c r="H390" s="66">
        <v>1.1000000000000001</v>
      </c>
      <c r="I390" s="66">
        <v>0.55000000000000004</v>
      </c>
      <c r="J390" s="66">
        <v>0.6</v>
      </c>
      <c r="K390" s="276">
        <v>1</v>
      </c>
      <c r="L390" s="277">
        <v>0.36300000000000004</v>
      </c>
      <c r="M390" s="280" t="s">
        <v>164</v>
      </c>
      <c r="N390" s="195"/>
      <c r="O390" s="196"/>
      <c r="P390" s="601"/>
      <c r="Q390" s="463"/>
    </row>
    <row r="391" spans="1:17" ht="15.75" customHeight="1" x14ac:dyDescent="0.2">
      <c r="A391" s="447"/>
      <c r="B391" s="194"/>
      <c r="C391" s="582" t="s">
        <v>30</v>
      </c>
      <c r="D391" s="67" t="s">
        <v>13</v>
      </c>
      <c r="E391" s="583">
        <v>16</v>
      </c>
      <c r="F391" s="67" t="s">
        <v>15</v>
      </c>
      <c r="G391" s="298" t="s">
        <v>480</v>
      </c>
      <c r="H391" s="66">
        <v>1.25</v>
      </c>
      <c r="I391" s="66">
        <v>1.45</v>
      </c>
      <c r="J391" s="66">
        <v>0.6</v>
      </c>
      <c r="K391" s="276">
        <v>1</v>
      </c>
      <c r="L391" s="277">
        <v>1.0874999999999999</v>
      </c>
      <c r="M391" s="280" t="s">
        <v>164</v>
      </c>
      <c r="N391" s="195"/>
      <c r="O391" s="196"/>
      <c r="P391" s="602"/>
      <c r="Q391" s="463"/>
    </row>
    <row r="392" spans="1:17" ht="15.75" customHeight="1" x14ac:dyDescent="0.55000000000000004">
      <c r="A392" s="447"/>
      <c r="B392" s="194"/>
      <c r="C392" s="582" t="s">
        <v>30</v>
      </c>
      <c r="D392" s="67" t="s">
        <v>13</v>
      </c>
      <c r="E392" s="583">
        <v>16</v>
      </c>
      <c r="F392" s="67" t="s">
        <v>15</v>
      </c>
      <c r="G392" s="298" t="s">
        <v>344</v>
      </c>
      <c r="H392" s="66">
        <v>1.2</v>
      </c>
      <c r="I392" s="66">
        <v>0.75</v>
      </c>
      <c r="J392" s="66">
        <v>0.6</v>
      </c>
      <c r="K392" s="276">
        <v>1</v>
      </c>
      <c r="L392" s="277">
        <v>0.53999999999999992</v>
      </c>
      <c r="M392" s="280" t="s">
        <v>164</v>
      </c>
      <c r="N392" s="195"/>
      <c r="O392" s="196"/>
      <c r="P392" s="601"/>
      <c r="Q392" s="463"/>
    </row>
    <row r="393" spans="1:17" ht="15.75" customHeight="1" x14ac:dyDescent="0.2">
      <c r="A393" s="447"/>
      <c r="B393" s="194"/>
      <c r="C393" s="582" t="s">
        <v>30</v>
      </c>
      <c r="D393" s="67" t="s">
        <v>13</v>
      </c>
      <c r="E393" s="583">
        <v>16</v>
      </c>
      <c r="F393" s="67" t="s">
        <v>15</v>
      </c>
      <c r="G393" s="298" t="s">
        <v>345</v>
      </c>
      <c r="H393" s="66">
        <v>1.1000000000000001</v>
      </c>
      <c r="I393" s="66">
        <v>0.65</v>
      </c>
      <c r="J393" s="66">
        <v>0.6</v>
      </c>
      <c r="K393" s="276">
        <v>1</v>
      </c>
      <c r="L393" s="277">
        <v>0.42900000000000005</v>
      </c>
      <c r="M393" s="280" t="s">
        <v>164</v>
      </c>
      <c r="N393" s="195"/>
      <c r="O393" s="196"/>
      <c r="P393" s="602"/>
      <c r="Q393" s="463"/>
    </row>
    <row r="394" spans="1:17" ht="15.75" customHeight="1" x14ac:dyDescent="0.2">
      <c r="A394" s="447"/>
      <c r="B394" s="194"/>
      <c r="C394" s="582" t="s">
        <v>30</v>
      </c>
      <c r="D394" s="67" t="s">
        <v>13</v>
      </c>
      <c r="E394" s="583">
        <v>16</v>
      </c>
      <c r="F394" s="67" t="s">
        <v>15</v>
      </c>
      <c r="G394" s="298" t="s">
        <v>347</v>
      </c>
      <c r="H394" s="66">
        <v>0.9</v>
      </c>
      <c r="I394" s="66">
        <v>0.85</v>
      </c>
      <c r="J394" s="66">
        <v>0.6</v>
      </c>
      <c r="K394" s="276">
        <v>1</v>
      </c>
      <c r="L394" s="277">
        <v>0.45899999999999996</v>
      </c>
      <c r="M394" s="280" t="s">
        <v>164</v>
      </c>
      <c r="N394" s="195"/>
      <c r="O394" s="196"/>
      <c r="P394" s="602"/>
      <c r="Q394" s="463"/>
    </row>
    <row r="395" spans="1:17" ht="15.75" customHeight="1" x14ac:dyDescent="0.2">
      <c r="A395" s="447"/>
      <c r="B395" s="194"/>
      <c r="C395" s="582" t="s">
        <v>30</v>
      </c>
      <c r="D395" s="67" t="s">
        <v>13</v>
      </c>
      <c r="E395" s="583">
        <v>16</v>
      </c>
      <c r="F395" s="67" t="s">
        <v>15</v>
      </c>
      <c r="G395" s="298" t="s">
        <v>350</v>
      </c>
      <c r="H395" s="66">
        <v>1.1000000000000001</v>
      </c>
      <c r="I395" s="66">
        <v>0.55000000000000004</v>
      </c>
      <c r="J395" s="66">
        <v>0.6</v>
      </c>
      <c r="K395" s="276">
        <v>1</v>
      </c>
      <c r="L395" s="277">
        <v>0.36300000000000004</v>
      </c>
      <c r="M395" s="280" t="s">
        <v>164</v>
      </c>
      <c r="N395" s="195"/>
      <c r="O395" s="196"/>
      <c r="P395" s="602"/>
      <c r="Q395" s="463"/>
    </row>
    <row r="396" spans="1:17" ht="15.75" customHeight="1" x14ac:dyDescent="0.2">
      <c r="A396" s="447"/>
      <c r="B396" s="194"/>
      <c r="C396" s="582" t="s">
        <v>30</v>
      </c>
      <c r="D396" s="67" t="s">
        <v>13</v>
      </c>
      <c r="E396" s="583">
        <v>17</v>
      </c>
      <c r="F396" s="67" t="s">
        <v>15</v>
      </c>
      <c r="G396" s="298" t="s">
        <v>182</v>
      </c>
      <c r="H396" s="66">
        <v>1</v>
      </c>
      <c r="I396" s="66">
        <v>0.85</v>
      </c>
      <c r="J396" s="66">
        <v>0.6</v>
      </c>
      <c r="K396" s="276">
        <v>1</v>
      </c>
      <c r="L396" s="277">
        <v>0.51</v>
      </c>
      <c r="M396" s="280" t="s">
        <v>164</v>
      </c>
      <c r="N396" s="195"/>
      <c r="O396" s="196"/>
      <c r="P396" s="602"/>
      <c r="Q396" s="463"/>
    </row>
    <row r="397" spans="1:17" ht="15.75" customHeight="1" x14ac:dyDescent="0.2">
      <c r="A397" s="447"/>
      <c r="B397" s="194"/>
      <c r="C397" s="582" t="s">
        <v>30</v>
      </c>
      <c r="D397" s="67" t="s">
        <v>13</v>
      </c>
      <c r="E397" s="583">
        <v>17</v>
      </c>
      <c r="F397" s="67" t="s">
        <v>15</v>
      </c>
      <c r="G397" s="298" t="s">
        <v>188</v>
      </c>
      <c r="H397" s="66">
        <v>1.1000000000000001</v>
      </c>
      <c r="I397" s="66">
        <v>1.1499999999999999</v>
      </c>
      <c r="J397" s="66">
        <v>0.6</v>
      </c>
      <c r="K397" s="276">
        <v>1</v>
      </c>
      <c r="L397" s="277">
        <v>0.7589999999999999</v>
      </c>
      <c r="M397" s="280" t="s">
        <v>164</v>
      </c>
      <c r="N397" s="195"/>
      <c r="O397" s="196"/>
      <c r="P397" s="602"/>
      <c r="Q397" s="463"/>
    </row>
    <row r="398" spans="1:17" ht="15.75" customHeight="1" x14ac:dyDescent="0.2">
      <c r="A398" s="447"/>
      <c r="B398" s="194"/>
      <c r="C398" s="582" t="s">
        <v>30</v>
      </c>
      <c r="D398" s="67" t="s">
        <v>13</v>
      </c>
      <c r="E398" s="583">
        <v>17</v>
      </c>
      <c r="F398" s="67" t="s">
        <v>15</v>
      </c>
      <c r="G398" s="298" t="s">
        <v>481</v>
      </c>
      <c r="H398" s="66">
        <v>1.5</v>
      </c>
      <c r="I398" s="66">
        <v>0.9</v>
      </c>
      <c r="J398" s="66">
        <v>1.25</v>
      </c>
      <c r="K398" s="276">
        <v>1</v>
      </c>
      <c r="L398" s="277">
        <v>1.6875</v>
      </c>
      <c r="M398" s="280" t="s">
        <v>164</v>
      </c>
      <c r="N398" s="195"/>
      <c r="O398" s="196"/>
      <c r="P398" s="602"/>
      <c r="Q398" s="463"/>
    </row>
    <row r="399" spans="1:17" ht="15.75" customHeight="1" x14ac:dyDescent="0.2">
      <c r="A399" s="447"/>
      <c r="B399" s="194"/>
      <c r="C399" s="582" t="s">
        <v>30</v>
      </c>
      <c r="D399" s="67" t="s">
        <v>13</v>
      </c>
      <c r="E399" s="583">
        <v>17</v>
      </c>
      <c r="F399" s="67" t="s">
        <v>15</v>
      </c>
      <c r="G399" s="298" t="s">
        <v>198</v>
      </c>
      <c r="H399" s="66">
        <v>1.2</v>
      </c>
      <c r="I399" s="66">
        <v>0.9</v>
      </c>
      <c r="J399" s="66">
        <v>1.25</v>
      </c>
      <c r="K399" s="276">
        <v>1</v>
      </c>
      <c r="L399" s="277">
        <v>1.35</v>
      </c>
      <c r="M399" s="280" t="s">
        <v>164</v>
      </c>
      <c r="N399" s="195"/>
      <c r="O399" s="196"/>
      <c r="P399" s="602"/>
      <c r="Q399" s="463"/>
    </row>
    <row r="400" spans="1:17" ht="15.75" customHeight="1" x14ac:dyDescent="0.2">
      <c r="A400" s="447"/>
      <c r="B400" s="194"/>
      <c r="C400" s="582" t="s">
        <v>30</v>
      </c>
      <c r="D400" s="67" t="s">
        <v>13</v>
      </c>
      <c r="E400" s="583">
        <v>17</v>
      </c>
      <c r="F400" s="67" t="s">
        <v>15</v>
      </c>
      <c r="G400" s="298" t="s">
        <v>211</v>
      </c>
      <c r="H400" s="66">
        <v>0.9</v>
      </c>
      <c r="I400" s="66">
        <v>0.55000000000000004</v>
      </c>
      <c r="J400" s="66">
        <v>0.6</v>
      </c>
      <c r="K400" s="276">
        <v>1</v>
      </c>
      <c r="L400" s="277">
        <v>0.29700000000000004</v>
      </c>
      <c r="M400" s="280" t="s">
        <v>164</v>
      </c>
      <c r="N400" s="195"/>
      <c r="O400" s="196"/>
      <c r="P400" s="602"/>
      <c r="Q400" s="463"/>
    </row>
    <row r="401" spans="1:17" ht="15.75" customHeight="1" x14ac:dyDescent="0.2">
      <c r="A401" s="447"/>
      <c r="B401" s="194"/>
      <c r="C401" s="582" t="s">
        <v>30</v>
      </c>
      <c r="D401" s="67" t="s">
        <v>13</v>
      </c>
      <c r="E401" s="583">
        <v>17</v>
      </c>
      <c r="F401" s="67" t="s">
        <v>15</v>
      </c>
      <c r="G401" s="298" t="s">
        <v>215</v>
      </c>
      <c r="H401" s="66">
        <v>1.2</v>
      </c>
      <c r="I401" s="66">
        <v>0.95</v>
      </c>
      <c r="J401" s="66">
        <v>0.6</v>
      </c>
      <c r="K401" s="276">
        <v>1</v>
      </c>
      <c r="L401" s="277">
        <v>0.68399999999999994</v>
      </c>
      <c r="M401" s="280" t="s">
        <v>164</v>
      </c>
      <c r="N401" s="195"/>
      <c r="O401" s="196"/>
      <c r="P401" s="602"/>
      <c r="Q401" s="463"/>
    </row>
    <row r="402" spans="1:17" ht="15.75" customHeight="1" x14ac:dyDescent="0.55000000000000004">
      <c r="A402" s="447"/>
      <c r="B402" s="194"/>
      <c r="C402" s="582" t="s">
        <v>30</v>
      </c>
      <c r="D402" s="67" t="s">
        <v>13</v>
      </c>
      <c r="E402" s="583">
        <v>17</v>
      </c>
      <c r="F402" s="67" t="s">
        <v>15</v>
      </c>
      <c r="G402" s="298" t="s">
        <v>482</v>
      </c>
      <c r="H402" s="66">
        <v>1.2</v>
      </c>
      <c r="I402" s="66">
        <v>0.85</v>
      </c>
      <c r="J402" s="66">
        <v>0.6</v>
      </c>
      <c r="K402" s="276">
        <v>1</v>
      </c>
      <c r="L402" s="277">
        <v>0.61199999999999999</v>
      </c>
      <c r="M402" s="280" t="s">
        <v>164</v>
      </c>
      <c r="N402" s="195"/>
      <c r="O402" s="196"/>
      <c r="P402" s="601"/>
      <c r="Q402" s="463"/>
    </row>
    <row r="403" spans="1:17" ht="15.75" customHeight="1" x14ac:dyDescent="0.55000000000000004">
      <c r="A403" s="447"/>
      <c r="B403" s="194"/>
      <c r="C403" s="582" t="s">
        <v>30</v>
      </c>
      <c r="D403" s="67" t="s">
        <v>13</v>
      </c>
      <c r="E403" s="583">
        <v>17</v>
      </c>
      <c r="F403" s="67" t="s">
        <v>3</v>
      </c>
      <c r="G403" s="298" t="s">
        <v>220</v>
      </c>
      <c r="H403" s="66">
        <v>1</v>
      </c>
      <c r="I403" s="66">
        <v>0.35</v>
      </c>
      <c r="J403" s="66">
        <v>0.6</v>
      </c>
      <c r="K403" s="276">
        <v>1</v>
      </c>
      <c r="L403" s="277">
        <v>0.21</v>
      </c>
      <c r="M403" s="280" t="s">
        <v>164</v>
      </c>
      <c r="N403" s="195"/>
      <c r="O403" s="196"/>
      <c r="P403" s="601"/>
      <c r="Q403" s="463"/>
    </row>
    <row r="404" spans="1:17" ht="15.75" customHeight="1" x14ac:dyDescent="0.55000000000000004">
      <c r="A404" s="447"/>
      <c r="B404" s="194"/>
      <c r="C404" s="582" t="s">
        <v>30</v>
      </c>
      <c r="D404" s="67" t="s">
        <v>13</v>
      </c>
      <c r="E404" s="583">
        <v>17</v>
      </c>
      <c r="F404" s="67" t="s">
        <v>15</v>
      </c>
      <c r="G404" s="298" t="s">
        <v>223</v>
      </c>
      <c r="H404" s="66">
        <v>1.1000000000000001</v>
      </c>
      <c r="I404" s="66">
        <v>0.55000000000000004</v>
      </c>
      <c r="J404" s="66">
        <v>0.6</v>
      </c>
      <c r="K404" s="276">
        <v>1</v>
      </c>
      <c r="L404" s="277">
        <v>0.36300000000000004</v>
      </c>
      <c r="M404" s="280" t="s">
        <v>164</v>
      </c>
      <c r="N404" s="195"/>
      <c r="O404" s="196"/>
      <c r="P404" s="601"/>
      <c r="Q404" s="463"/>
    </row>
    <row r="405" spans="1:17" ht="15.75" customHeight="1" x14ac:dyDescent="0.2">
      <c r="A405" s="447"/>
      <c r="B405" s="194"/>
      <c r="C405" s="582" t="s">
        <v>30</v>
      </c>
      <c r="D405" s="67" t="s">
        <v>13</v>
      </c>
      <c r="E405" s="583">
        <v>17</v>
      </c>
      <c r="F405" s="67" t="s">
        <v>15</v>
      </c>
      <c r="G405" s="298" t="s">
        <v>232</v>
      </c>
      <c r="H405" s="66">
        <v>1.1000000000000001</v>
      </c>
      <c r="I405" s="66">
        <v>0.95</v>
      </c>
      <c r="J405" s="66">
        <v>0.6</v>
      </c>
      <c r="K405" s="276">
        <v>1</v>
      </c>
      <c r="L405" s="277">
        <v>0.62699999999999989</v>
      </c>
      <c r="M405" s="280" t="s">
        <v>164</v>
      </c>
      <c r="N405" s="195"/>
      <c r="O405" s="196"/>
      <c r="P405" s="602"/>
      <c r="Q405" s="463"/>
    </row>
    <row r="406" spans="1:17" ht="15.75" customHeight="1" x14ac:dyDescent="0.2">
      <c r="A406" s="447"/>
      <c r="B406" s="194"/>
      <c r="C406" s="582" t="s">
        <v>30</v>
      </c>
      <c r="D406" s="67" t="s">
        <v>13</v>
      </c>
      <c r="E406" s="583">
        <v>17</v>
      </c>
      <c r="F406" s="67" t="s">
        <v>15</v>
      </c>
      <c r="G406" s="298" t="s">
        <v>234</v>
      </c>
      <c r="H406" s="66">
        <v>1.1000000000000001</v>
      </c>
      <c r="I406" s="66">
        <v>0.75</v>
      </c>
      <c r="J406" s="66">
        <v>0.6</v>
      </c>
      <c r="K406" s="276">
        <v>1</v>
      </c>
      <c r="L406" s="277">
        <v>0.495</v>
      </c>
      <c r="M406" s="280" t="s">
        <v>164</v>
      </c>
      <c r="N406" s="195"/>
      <c r="O406" s="196"/>
      <c r="P406" s="602"/>
      <c r="Q406" s="463"/>
    </row>
    <row r="407" spans="1:17" ht="15.75" customHeight="1" x14ac:dyDescent="0.2">
      <c r="A407" s="447"/>
      <c r="B407" s="194"/>
      <c r="C407" s="582" t="s">
        <v>30</v>
      </c>
      <c r="D407" s="67" t="s">
        <v>13</v>
      </c>
      <c r="E407" s="583">
        <v>17</v>
      </c>
      <c r="F407" s="67" t="s">
        <v>15</v>
      </c>
      <c r="G407" s="298" t="s">
        <v>239</v>
      </c>
      <c r="H407" s="66">
        <v>1</v>
      </c>
      <c r="I407" s="66">
        <v>0.65</v>
      </c>
      <c r="J407" s="66">
        <v>0.6</v>
      </c>
      <c r="K407" s="276">
        <v>1</v>
      </c>
      <c r="L407" s="277">
        <v>0.39</v>
      </c>
      <c r="M407" s="280" t="s">
        <v>164</v>
      </c>
      <c r="N407" s="195"/>
      <c r="O407" s="196"/>
      <c r="P407" s="602"/>
      <c r="Q407" s="463"/>
    </row>
    <row r="408" spans="1:17" ht="15.75" customHeight="1" x14ac:dyDescent="0.2">
      <c r="A408" s="447"/>
      <c r="B408" s="194"/>
      <c r="C408" s="582" t="s">
        <v>30</v>
      </c>
      <c r="D408" s="67" t="s">
        <v>13</v>
      </c>
      <c r="E408" s="583">
        <v>17</v>
      </c>
      <c r="F408" s="67" t="s">
        <v>15</v>
      </c>
      <c r="G408" s="298" t="s">
        <v>226</v>
      </c>
      <c r="H408" s="66">
        <v>1.6</v>
      </c>
      <c r="I408" s="66">
        <v>1.2</v>
      </c>
      <c r="J408" s="66">
        <v>0.65</v>
      </c>
      <c r="K408" s="276">
        <v>1</v>
      </c>
      <c r="L408" s="277">
        <v>1.248</v>
      </c>
      <c r="M408" s="280" t="s">
        <v>164</v>
      </c>
      <c r="N408" s="195"/>
      <c r="O408" s="196"/>
      <c r="P408" s="602"/>
      <c r="Q408" s="463"/>
    </row>
    <row r="409" spans="1:17" ht="15.75" customHeight="1" x14ac:dyDescent="0.2">
      <c r="A409" s="447"/>
      <c r="B409" s="194"/>
      <c r="C409" s="582" t="s">
        <v>30</v>
      </c>
      <c r="D409" s="67" t="s">
        <v>13</v>
      </c>
      <c r="E409" s="583">
        <v>17</v>
      </c>
      <c r="F409" s="67" t="s">
        <v>15</v>
      </c>
      <c r="G409" s="298" t="s">
        <v>230</v>
      </c>
      <c r="H409" s="66">
        <v>1.2</v>
      </c>
      <c r="I409" s="66">
        <v>1.05</v>
      </c>
      <c r="J409" s="66">
        <v>0.6</v>
      </c>
      <c r="K409" s="276">
        <v>1</v>
      </c>
      <c r="L409" s="277">
        <v>0.75600000000000001</v>
      </c>
      <c r="M409" s="280" t="s">
        <v>164</v>
      </c>
      <c r="N409" s="195"/>
      <c r="O409" s="196"/>
      <c r="P409" s="602"/>
      <c r="Q409" s="463"/>
    </row>
    <row r="410" spans="1:17" ht="15.75" customHeight="1" x14ac:dyDescent="0.2">
      <c r="A410" s="447"/>
      <c r="B410" s="194"/>
      <c r="C410" s="582" t="s">
        <v>30</v>
      </c>
      <c r="D410" s="67" t="s">
        <v>13</v>
      </c>
      <c r="E410" s="583">
        <v>17</v>
      </c>
      <c r="F410" s="67" t="s">
        <v>15</v>
      </c>
      <c r="G410" s="298" t="s">
        <v>251</v>
      </c>
      <c r="H410" s="66">
        <v>1.2</v>
      </c>
      <c r="I410" s="66">
        <v>0.95</v>
      </c>
      <c r="J410" s="66">
        <v>0.6</v>
      </c>
      <c r="K410" s="276">
        <v>1</v>
      </c>
      <c r="L410" s="277">
        <v>0.68399999999999994</v>
      </c>
      <c r="M410" s="280" t="s">
        <v>164</v>
      </c>
      <c r="N410" s="195"/>
      <c r="O410" s="196"/>
      <c r="P410" s="602"/>
      <c r="Q410" s="463"/>
    </row>
    <row r="411" spans="1:17" ht="15.75" customHeight="1" x14ac:dyDescent="0.2">
      <c r="A411" s="447"/>
      <c r="B411" s="194"/>
      <c r="C411" s="582" t="s">
        <v>30</v>
      </c>
      <c r="D411" s="67" t="s">
        <v>13</v>
      </c>
      <c r="E411" s="583">
        <v>17</v>
      </c>
      <c r="F411" s="67" t="s">
        <v>15</v>
      </c>
      <c r="G411" s="298" t="s">
        <v>247</v>
      </c>
      <c r="H411" s="66">
        <v>1.6</v>
      </c>
      <c r="I411" s="66">
        <v>1.25</v>
      </c>
      <c r="J411" s="66">
        <v>0.6</v>
      </c>
      <c r="K411" s="276">
        <v>1</v>
      </c>
      <c r="L411" s="277">
        <v>1.2</v>
      </c>
      <c r="M411" s="280" t="s">
        <v>164</v>
      </c>
      <c r="N411" s="195"/>
      <c r="O411" s="196"/>
      <c r="P411" s="602"/>
      <c r="Q411" s="463"/>
    </row>
    <row r="412" spans="1:17" ht="15.75" customHeight="1" x14ac:dyDescent="0.2">
      <c r="A412" s="447"/>
      <c r="B412" s="194"/>
      <c r="C412" s="582" t="s">
        <v>30</v>
      </c>
      <c r="D412" s="67" t="s">
        <v>13</v>
      </c>
      <c r="E412" s="583">
        <v>16</v>
      </c>
      <c r="F412" s="67" t="s">
        <v>15</v>
      </c>
      <c r="G412" s="298" t="s">
        <v>403</v>
      </c>
      <c r="H412" s="66">
        <v>1</v>
      </c>
      <c r="I412" s="66">
        <v>0.85</v>
      </c>
      <c r="J412" s="66">
        <v>0.6</v>
      </c>
      <c r="K412" s="276">
        <v>1</v>
      </c>
      <c r="L412" s="277">
        <v>0.51</v>
      </c>
      <c r="M412" s="280" t="s">
        <v>164</v>
      </c>
      <c r="N412" s="195"/>
      <c r="O412" s="196"/>
      <c r="P412" s="602"/>
      <c r="Q412" s="463"/>
    </row>
    <row r="413" spans="1:17" ht="15.75" customHeight="1" x14ac:dyDescent="0.2">
      <c r="A413" s="447"/>
      <c r="B413" s="194"/>
      <c r="C413" s="582" t="s">
        <v>30</v>
      </c>
      <c r="D413" s="67" t="s">
        <v>13</v>
      </c>
      <c r="E413" s="583">
        <v>16</v>
      </c>
      <c r="F413" s="67" t="s">
        <v>15</v>
      </c>
      <c r="G413" s="298" t="s">
        <v>352</v>
      </c>
      <c r="H413" s="66">
        <v>0.9</v>
      </c>
      <c r="I413" s="66">
        <v>1.1499999999999999</v>
      </c>
      <c r="J413" s="66">
        <v>0.6</v>
      </c>
      <c r="K413" s="276">
        <v>1</v>
      </c>
      <c r="L413" s="277">
        <v>0.62099999999999989</v>
      </c>
      <c r="M413" s="280" t="s">
        <v>164</v>
      </c>
      <c r="N413" s="195"/>
      <c r="O413" s="196"/>
      <c r="P413" s="602"/>
      <c r="Q413" s="463"/>
    </row>
    <row r="414" spans="1:17" ht="15.75" customHeight="1" x14ac:dyDescent="0.2">
      <c r="A414" s="447"/>
      <c r="B414" s="194"/>
      <c r="C414" s="582" t="s">
        <v>30</v>
      </c>
      <c r="D414" s="67" t="s">
        <v>13</v>
      </c>
      <c r="E414" s="583">
        <v>16</v>
      </c>
      <c r="F414" s="67" t="s">
        <v>15</v>
      </c>
      <c r="G414" s="298" t="s">
        <v>404</v>
      </c>
      <c r="H414" s="66">
        <v>1</v>
      </c>
      <c r="I414" s="66">
        <v>0.75</v>
      </c>
      <c r="J414" s="66">
        <v>0.6</v>
      </c>
      <c r="K414" s="276">
        <v>1</v>
      </c>
      <c r="L414" s="277">
        <v>0.44999999999999996</v>
      </c>
      <c r="M414" s="280" t="s">
        <v>164</v>
      </c>
      <c r="N414" s="195"/>
      <c r="O414" s="196"/>
      <c r="P414" s="602"/>
      <c r="Q414" s="463"/>
    </row>
    <row r="415" spans="1:17" ht="15.75" customHeight="1" x14ac:dyDescent="0.2">
      <c r="A415" s="447"/>
      <c r="B415" s="194"/>
      <c r="C415" s="582" t="s">
        <v>30</v>
      </c>
      <c r="D415" s="67" t="s">
        <v>13</v>
      </c>
      <c r="E415" s="583">
        <v>16</v>
      </c>
      <c r="F415" s="67" t="s">
        <v>15</v>
      </c>
      <c r="G415" s="298" t="s">
        <v>483</v>
      </c>
      <c r="H415" s="66">
        <v>1.1000000000000001</v>
      </c>
      <c r="I415" s="66">
        <v>0.85</v>
      </c>
      <c r="J415" s="66">
        <v>0.6</v>
      </c>
      <c r="K415" s="276">
        <v>1</v>
      </c>
      <c r="L415" s="277">
        <v>0.56100000000000005</v>
      </c>
      <c r="M415" s="280" t="s">
        <v>164</v>
      </c>
      <c r="N415" s="195"/>
      <c r="O415" s="196"/>
      <c r="P415" s="602"/>
      <c r="Q415" s="463"/>
    </row>
    <row r="416" spans="1:17" ht="15.75" customHeight="1" x14ac:dyDescent="0.2">
      <c r="A416" s="447"/>
      <c r="B416" s="194"/>
      <c r="C416" s="582" t="s">
        <v>30</v>
      </c>
      <c r="D416" s="67" t="s">
        <v>13</v>
      </c>
      <c r="E416" s="583">
        <v>16</v>
      </c>
      <c r="F416" s="67" t="s">
        <v>15</v>
      </c>
      <c r="G416" s="298" t="s">
        <v>356</v>
      </c>
      <c r="H416" s="66">
        <v>1.1000000000000001</v>
      </c>
      <c r="I416" s="66">
        <v>0.85</v>
      </c>
      <c r="J416" s="66">
        <v>0.6</v>
      </c>
      <c r="K416" s="276">
        <v>1</v>
      </c>
      <c r="L416" s="277">
        <v>0.56100000000000005</v>
      </c>
      <c r="M416" s="280" t="s">
        <v>164</v>
      </c>
      <c r="N416" s="195"/>
      <c r="O416" s="196"/>
      <c r="P416" s="602"/>
      <c r="Q416" s="463"/>
    </row>
    <row r="417" spans="1:17" ht="15.75" customHeight="1" x14ac:dyDescent="0.2">
      <c r="A417" s="447"/>
      <c r="B417" s="194"/>
      <c r="C417" s="582" t="s">
        <v>30</v>
      </c>
      <c r="D417" s="67" t="s">
        <v>13</v>
      </c>
      <c r="E417" s="583">
        <v>16</v>
      </c>
      <c r="F417" s="67" t="s">
        <v>15</v>
      </c>
      <c r="G417" s="298" t="s">
        <v>357</v>
      </c>
      <c r="H417" s="66">
        <v>0.9</v>
      </c>
      <c r="I417" s="66">
        <v>0.95</v>
      </c>
      <c r="J417" s="66">
        <v>0.6</v>
      </c>
      <c r="K417" s="276">
        <v>1</v>
      </c>
      <c r="L417" s="277">
        <v>0.51300000000000001</v>
      </c>
      <c r="M417" s="280" t="s">
        <v>164</v>
      </c>
      <c r="N417" s="195"/>
      <c r="O417" s="196"/>
      <c r="P417" s="602"/>
      <c r="Q417" s="463"/>
    </row>
    <row r="418" spans="1:17" ht="15.75" customHeight="1" x14ac:dyDescent="0.2">
      <c r="A418" s="447"/>
      <c r="B418" s="194"/>
      <c r="C418" s="582" t="s">
        <v>30</v>
      </c>
      <c r="D418" s="67" t="s">
        <v>13</v>
      </c>
      <c r="E418" s="583">
        <v>16</v>
      </c>
      <c r="F418" s="67" t="s">
        <v>15</v>
      </c>
      <c r="G418" s="298" t="s">
        <v>408</v>
      </c>
      <c r="H418" s="66">
        <v>1.1000000000000001</v>
      </c>
      <c r="I418" s="66">
        <v>0.65</v>
      </c>
      <c r="J418" s="66">
        <v>0.6</v>
      </c>
      <c r="K418" s="276">
        <v>1</v>
      </c>
      <c r="L418" s="277">
        <v>0.42900000000000005</v>
      </c>
      <c r="M418" s="280" t="s">
        <v>164</v>
      </c>
      <c r="N418" s="195"/>
      <c r="O418" s="196"/>
      <c r="P418" s="602"/>
      <c r="Q418" s="463"/>
    </row>
    <row r="419" spans="1:17" ht="15.75" customHeight="1" x14ac:dyDescent="0.2">
      <c r="A419" s="447"/>
      <c r="B419" s="194"/>
      <c r="C419" s="582" t="s">
        <v>30</v>
      </c>
      <c r="D419" s="67" t="s">
        <v>13</v>
      </c>
      <c r="E419" s="583">
        <v>16</v>
      </c>
      <c r="F419" s="67" t="s">
        <v>15</v>
      </c>
      <c r="G419" s="298" t="s">
        <v>484</v>
      </c>
      <c r="H419" s="66">
        <v>1.1000000000000001</v>
      </c>
      <c r="I419" s="66">
        <v>0.95</v>
      </c>
      <c r="J419" s="66">
        <v>0.6</v>
      </c>
      <c r="K419" s="276">
        <v>1</v>
      </c>
      <c r="L419" s="277">
        <v>0.62699999999999989</v>
      </c>
      <c r="M419" s="280" t="s">
        <v>164</v>
      </c>
      <c r="N419" s="195"/>
      <c r="O419" s="196"/>
      <c r="P419" s="602"/>
      <c r="Q419" s="463"/>
    </row>
    <row r="420" spans="1:17" ht="15.75" customHeight="1" x14ac:dyDescent="0.55000000000000004">
      <c r="A420" s="447"/>
      <c r="B420" s="194"/>
      <c r="C420" s="582" t="s">
        <v>30</v>
      </c>
      <c r="D420" s="67" t="s">
        <v>13</v>
      </c>
      <c r="E420" s="583">
        <v>17</v>
      </c>
      <c r="F420" s="67" t="s">
        <v>15</v>
      </c>
      <c r="G420" s="298" t="s">
        <v>277</v>
      </c>
      <c r="H420" s="66">
        <v>1.5</v>
      </c>
      <c r="I420" s="66">
        <v>1.25</v>
      </c>
      <c r="J420" s="66">
        <v>0.6</v>
      </c>
      <c r="K420" s="276">
        <v>1</v>
      </c>
      <c r="L420" s="277">
        <v>1.125</v>
      </c>
      <c r="M420" s="280" t="s">
        <v>164</v>
      </c>
      <c r="N420" s="195"/>
      <c r="O420" s="196"/>
      <c r="P420" s="601"/>
      <c r="Q420" s="463"/>
    </row>
    <row r="421" spans="1:17" ht="15.75" customHeight="1" x14ac:dyDescent="0.2">
      <c r="A421" s="447"/>
      <c r="B421" s="194"/>
      <c r="C421" s="582" t="s">
        <v>30</v>
      </c>
      <c r="D421" s="67" t="s">
        <v>13</v>
      </c>
      <c r="E421" s="583">
        <v>17</v>
      </c>
      <c r="F421" s="67" t="s">
        <v>15</v>
      </c>
      <c r="G421" s="298" t="s">
        <v>254</v>
      </c>
      <c r="H421" s="66">
        <v>1.2</v>
      </c>
      <c r="I421" s="66">
        <v>0.65</v>
      </c>
      <c r="J421" s="66">
        <v>0.6</v>
      </c>
      <c r="K421" s="276">
        <v>1</v>
      </c>
      <c r="L421" s="277">
        <v>0.46799999999999997</v>
      </c>
      <c r="M421" s="280" t="s">
        <v>164</v>
      </c>
      <c r="N421" s="195"/>
      <c r="O421" s="196"/>
      <c r="P421" s="602"/>
      <c r="Q421" s="463"/>
    </row>
    <row r="422" spans="1:17" ht="15.75" customHeight="1" x14ac:dyDescent="0.2">
      <c r="A422" s="447"/>
      <c r="B422" s="194"/>
      <c r="C422" s="582" t="s">
        <v>30</v>
      </c>
      <c r="D422" s="67" t="s">
        <v>13</v>
      </c>
      <c r="E422" s="583">
        <v>17</v>
      </c>
      <c r="F422" s="67" t="s">
        <v>15</v>
      </c>
      <c r="G422" s="298" t="s">
        <v>491</v>
      </c>
      <c r="H422" s="66">
        <v>1.2</v>
      </c>
      <c r="I422" s="66">
        <v>0.95</v>
      </c>
      <c r="J422" s="66">
        <v>0.6</v>
      </c>
      <c r="K422" s="276">
        <v>1</v>
      </c>
      <c r="L422" s="277">
        <v>0.68399999999999994</v>
      </c>
      <c r="M422" s="280" t="s">
        <v>164</v>
      </c>
      <c r="N422" s="195"/>
      <c r="O422" s="196"/>
      <c r="P422" s="602"/>
      <c r="Q422" s="463"/>
    </row>
    <row r="423" spans="1:17" ht="15.75" customHeight="1" x14ac:dyDescent="0.2">
      <c r="A423" s="447"/>
      <c r="B423" s="194"/>
      <c r="C423" s="582" t="s">
        <v>30</v>
      </c>
      <c r="D423" s="67" t="s">
        <v>13</v>
      </c>
      <c r="E423" s="583">
        <v>17</v>
      </c>
      <c r="F423" s="67" t="s">
        <v>15</v>
      </c>
      <c r="G423" s="298" t="s">
        <v>255</v>
      </c>
      <c r="H423" s="66">
        <v>1.2</v>
      </c>
      <c r="I423" s="66">
        <v>0.85</v>
      </c>
      <c r="J423" s="66">
        <v>0.6</v>
      </c>
      <c r="K423" s="276">
        <v>1</v>
      </c>
      <c r="L423" s="277">
        <v>0.61199999999999999</v>
      </c>
      <c r="M423" s="280" t="s">
        <v>164</v>
      </c>
      <c r="N423" s="195"/>
      <c r="O423" s="196"/>
      <c r="P423" s="602"/>
      <c r="Q423" s="463"/>
    </row>
    <row r="424" spans="1:17" ht="15.75" customHeight="1" x14ac:dyDescent="0.55000000000000004">
      <c r="A424" s="447"/>
      <c r="B424" s="194"/>
      <c r="C424" s="582" t="s">
        <v>30</v>
      </c>
      <c r="D424" s="67" t="s">
        <v>13</v>
      </c>
      <c r="E424" s="583">
        <v>17</v>
      </c>
      <c r="F424" s="67" t="s">
        <v>15</v>
      </c>
      <c r="G424" s="298" t="s">
        <v>280</v>
      </c>
      <c r="H424" s="66">
        <v>0.7</v>
      </c>
      <c r="I424" s="66">
        <v>1.25</v>
      </c>
      <c r="J424" s="66">
        <v>0.6</v>
      </c>
      <c r="K424" s="276">
        <v>1</v>
      </c>
      <c r="L424" s="277">
        <v>0.52500000000000002</v>
      </c>
      <c r="M424" s="280" t="s">
        <v>164</v>
      </c>
      <c r="N424" s="195"/>
      <c r="O424" s="196"/>
      <c r="P424" s="601"/>
      <c r="Q424" s="463"/>
    </row>
    <row r="425" spans="1:17" ht="15.75" customHeight="1" x14ac:dyDescent="0.2">
      <c r="A425" s="447"/>
      <c r="B425" s="194"/>
      <c r="C425" s="582" t="s">
        <v>30</v>
      </c>
      <c r="D425" s="67" t="s">
        <v>13</v>
      </c>
      <c r="E425" s="583">
        <v>17</v>
      </c>
      <c r="F425" s="67" t="s">
        <v>15</v>
      </c>
      <c r="G425" s="298" t="s">
        <v>306</v>
      </c>
      <c r="H425" s="66">
        <v>1.1000000000000001</v>
      </c>
      <c r="I425" s="66">
        <v>1.05</v>
      </c>
      <c r="J425" s="66">
        <v>0.6</v>
      </c>
      <c r="K425" s="276">
        <v>1</v>
      </c>
      <c r="L425" s="277">
        <v>0.69300000000000017</v>
      </c>
      <c r="M425" s="280" t="s">
        <v>164</v>
      </c>
      <c r="N425" s="195"/>
      <c r="O425" s="196"/>
      <c r="P425" s="602"/>
      <c r="Q425" s="463"/>
    </row>
    <row r="426" spans="1:17" ht="15.75" customHeight="1" x14ac:dyDescent="0.55000000000000004">
      <c r="A426" s="447"/>
      <c r="B426" s="194"/>
      <c r="C426" s="582" t="s">
        <v>30</v>
      </c>
      <c r="D426" s="67" t="s">
        <v>13</v>
      </c>
      <c r="E426" s="583">
        <v>17</v>
      </c>
      <c r="F426" s="67" t="s">
        <v>15</v>
      </c>
      <c r="G426" s="298" t="s">
        <v>376</v>
      </c>
      <c r="H426" s="66">
        <v>1.2</v>
      </c>
      <c r="I426" s="66">
        <v>0.45</v>
      </c>
      <c r="J426" s="66">
        <v>0.6</v>
      </c>
      <c r="K426" s="276">
        <v>1</v>
      </c>
      <c r="L426" s="277">
        <v>0.32400000000000001</v>
      </c>
      <c r="M426" s="280" t="s">
        <v>164</v>
      </c>
      <c r="N426" s="195"/>
      <c r="O426" s="196"/>
      <c r="P426" s="601"/>
      <c r="Q426" s="463"/>
    </row>
    <row r="427" spans="1:17" ht="15.75" customHeight="1" x14ac:dyDescent="0.2">
      <c r="A427" s="447"/>
      <c r="B427" s="194"/>
      <c r="C427" s="582" t="s">
        <v>30</v>
      </c>
      <c r="D427" s="67" t="s">
        <v>504</v>
      </c>
      <c r="E427" s="583">
        <v>2</v>
      </c>
      <c r="F427" s="67" t="s">
        <v>165</v>
      </c>
      <c r="G427" s="298" t="s">
        <v>512</v>
      </c>
      <c r="H427" s="66">
        <v>1.6</v>
      </c>
      <c r="I427" s="66">
        <v>0.9</v>
      </c>
      <c r="J427" s="66">
        <v>0.4</v>
      </c>
      <c r="K427" s="276">
        <v>1</v>
      </c>
      <c r="L427" s="632">
        <f t="shared" ref="L427:L429" si="31">H427*I427*J427</f>
        <v>0.57600000000000007</v>
      </c>
      <c r="M427" s="280" t="s">
        <v>164</v>
      </c>
      <c r="N427" s="195"/>
      <c r="O427" s="196"/>
      <c r="P427" s="602"/>
      <c r="Q427" s="463"/>
    </row>
    <row r="428" spans="1:17" ht="15.75" customHeight="1" x14ac:dyDescent="0.55000000000000004">
      <c r="A428" s="447"/>
      <c r="B428" s="194"/>
      <c r="C428" s="582" t="s">
        <v>30</v>
      </c>
      <c r="D428" s="67" t="s">
        <v>504</v>
      </c>
      <c r="E428" s="583">
        <v>2</v>
      </c>
      <c r="F428" s="67" t="s">
        <v>165</v>
      </c>
      <c r="G428" s="298" t="s">
        <v>512</v>
      </c>
      <c r="H428" s="66">
        <v>1.9</v>
      </c>
      <c r="I428" s="66">
        <v>1.5</v>
      </c>
      <c r="J428" s="66">
        <v>1.2</v>
      </c>
      <c r="K428" s="276">
        <v>1</v>
      </c>
      <c r="L428" s="632">
        <f t="shared" si="31"/>
        <v>3.4199999999999995</v>
      </c>
      <c r="M428" s="280" t="s">
        <v>164</v>
      </c>
      <c r="N428" s="195"/>
      <c r="O428" s="196"/>
      <c r="P428" s="601"/>
      <c r="Q428" s="463"/>
    </row>
    <row r="429" spans="1:17" ht="15.75" customHeight="1" x14ac:dyDescent="0.2">
      <c r="A429" s="447"/>
      <c r="B429" s="194"/>
      <c r="C429" s="582" t="s">
        <v>30</v>
      </c>
      <c r="D429" s="67" t="s">
        <v>504</v>
      </c>
      <c r="E429" s="583">
        <v>2</v>
      </c>
      <c r="F429" s="67" t="s">
        <v>165</v>
      </c>
      <c r="G429" s="298" t="s">
        <v>513</v>
      </c>
      <c r="H429" s="66">
        <v>2.2000000000000002</v>
      </c>
      <c r="I429" s="66">
        <v>1.6</v>
      </c>
      <c r="J429" s="66">
        <v>1</v>
      </c>
      <c r="K429" s="276">
        <v>1</v>
      </c>
      <c r="L429" s="632">
        <f t="shared" si="31"/>
        <v>3.5200000000000005</v>
      </c>
      <c r="M429" s="280" t="s">
        <v>164</v>
      </c>
      <c r="N429" s="195"/>
      <c r="O429" s="196"/>
      <c r="P429" s="602"/>
      <c r="Q429" s="463"/>
    </row>
    <row r="430" spans="1:17" ht="15.75" customHeight="1" x14ac:dyDescent="0.2">
      <c r="A430" s="447"/>
      <c r="B430" s="194"/>
      <c r="C430" s="582" t="s">
        <v>30</v>
      </c>
      <c r="D430" s="67" t="s">
        <v>504</v>
      </c>
      <c r="E430" s="583">
        <v>2</v>
      </c>
      <c r="F430" s="67" t="s">
        <v>165</v>
      </c>
      <c r="G430" s="298" t="s">
        <v>519</v>
      </c>
      <c r="H430" s="66">
        <v>1.1000000000000001</v>
      </c>
      <c r="I430" s="66">
        <v>0.6</v>
      </c>
      <c r="J430" s="66">
        <v>0.5</v>
      </c>
      <c r="K430" s="276">
        <v>1</v>
      </c>
      <c r="L430" s="632">
        <f t="shared" ref="L430:L431" si="32">H430*I430*J430</f>
        <v>0.33</v>
      </c>
      <c r="M430" s="280" t="s">
        <v>164</v>
      </c>
      <c r="N430" s="195"/>
      <c r="O430" s="196"/>
      <c r="P430" s="602"/>
      <c r="Q430" s="463"/>
    </row>
    <row r="431" spans="1:17" ht="15.75" customHeight="1" x14ac:dyDescent="0.55000000000000004">
      <c r="A431" s="447"/>
      <c r="B431" s="194"/>
      <c r="C431" s="582" t="s">
        <v>30</v>
      </c>
      <c r="D431" s="67" t="s">
        <v>504</v>
      </c>
      <c r="E431" s="583">
        <v>2</v>
      </c>
      <c r="F431" s="67" t="s">
        <v>165</v>
      </c>
      <c r="G431" s="298" t="s">
        <v>520</v>
      </c>
      <c r="H431" s="66">
        <v>1.7</v>
      </c>
      <c r="I431" s="66">
        <v>1</v>
      </c>
      <c r="J431" s="66">
        <v>0.9</v>
      </c>
      <c r="K431" s="276">
        <v>1</v>
      </c>
      <c r="L431" s="632">
        <f t="shared" si="32"/>
        <v>1.53</v>
      </c>
      <c r="M431" s="280" t="s">
        <v>164</v>
      </c>
      <c r="N431" s="195">
        <v>44960</v>
      </c>
      <c r="O431" s="196" t="s">
        <v>493</v>
      </c>
      <c r="P431" s="601"/>
      <c r="Q431" s="463"/>
    </row>
    <row r="432" spans="1:17" ht="15.75" customHeight="1" x14ac:dyDescent="0.55000000000000004">
      <c r="A432" s="447"/>
      <c r="B432" s="194"/>
      <c r="C432" s="582" t="s">
        <v>30</v>
      </c>
      <c r="D432" s="67" t="s">
        <v>504</v>
      </c>
      <c r="E432" s="583">
        <v>2</v>
      </c>
      <c r="F432" s="67" t="s">
        <v>165</v>
      </c>
      <c r="G432" s="298" t="s">
        <v>521</v>
      </c>
      <c r="H432" s="66">
        <v>1.5</v>
      </c>
      <c r="I432" s="66">
        <v>1.1000000000000001</v>
      </c>
      <c r="J432" s="66">
        <v>1.1000000000000001</v>
      </c>
      <c r="K432" s="276">
        <v>1</v>
      </c>
      <c r="L432" s="632">
        <f t="shared" ref="L432" si="33">H432*I432*J432</f>
        <v>1.8150000000000004</v>
      </c>
      <c r="M432" s="280" t="s">
        <v>164</v>
      </c>
      <c r="N432" s="195"/>
      <c r="O432" s="196"/>
      <c r="P432" s="601"/>
      <c r="Q432" s="463"/>
    </row>
    <row r="433" spans="1:17" ht="15.75" customHeight="1" x14ac:dyDescent="0.2">
      <c r="A433" s="447"/>
      <c r="B433" s="194"/>
      <c r="C433" s="582" t="s">
        <v>30</v>
      </c>
      <c r="D433" s="67" t="s">
        <v>504</v>
      </c>
      <c r="E433" s="583">
        <v>2</v>
      </c>
      <c r="F433" s="67" t="s">
        <v>165</v>
      </c>
      <c r="G433" s="298" t="s">
        <v>495</v>
      </c>
      <c r="H433" s="66">
        <v>1.6</v>
      </c>
      <c r="I433" s="66">
        <v>1</v>
      </c>
      <c r="J433" s="66">
        <v>0.4</v>
      </c>
      <c r="K433" s="276">
        <v>1</v>
      </c>
      <c r="L433" s="632">
        <f t="shared" ref="L433:L460" si="34">H433*I433*J433</f>
        <v>0.64000000000000012</v>
      </c>
      <c r="M433" s="280" t="s">
        <v>164</v>
      </c>
      <c r="N433" s="195"/>
      <c r="O433" s="196"/>
      <c r="P433" s="602"/>
      <c r="Q433" s="463"/>
    </row>
    <row r="434" spans="1:17" ht="15.75" customHeight="1" x14ac:dyDescent="0.55000000000000004">
      <c r="A434" s="447"/>
      <c r="B434" s="194"/>
      <c r="C434" s="582" t="s">
        <v>30</v>
      </c>
      <c r="D434" s="67" t="s">
        <v>504</v>
      </c>
      <c r="E434" s="583">
        <v>2</v>
      </c>
      <c r="F434" s="67" t="s">
        <v>165</v>
      </c>
      <c r="G434" s="298" t="s">
        <v>496</v>
      </c>
      <c r="H434" s="66">
        <v>1.1000000000000001</v>
      </c>
      <c r="I434" s="66">
        <v>1</v>
      </c>
      <c r="J434" s="66">
        <v>0.85</v>
      </c>
      <c r="K434" s="276">
        <v>1</v>
      </c>
      <c r="L434" s="632">
        <f t="shared" si="34"/>
        <v>0.93500000000000005</v>
      </c>
      <c r="M434" s="280" t="s">
        <v>164</v>
      </c>
      <c r="N434" s="195"/>
      <c r="O434" s="196"/>
      <c r="P434" s="601"/>
      <c r="Q434" s="463"/>
    </row>
    <row r="435" spans="1:17" ht="15.75" customHeight="1" x14ac:dyDescent="0.55000000000000004">
      <c r="A435" s="447"/>
      <c r="B435" s="194"/>
      <c r="C435" s="582" t="s">
        <v>30</v>
      </c>
      <c r="D435" s="67" t="s">
        <v>504</v>
      </c>
      <c r="E435" s="583">
        <v>2</v>
      </c>
      <c r="F435" s="67" t="s">
        <v>165</v>
      </c>
      <c r="G435" s="298" t="s">
        <v>498</v>
      </c>
      <c r="H435" s="66">
        <v>1.4</v>
      </c>
      <c r="I435" s="66">
        <v>1.2</v>
      </c>
      <c r="J435" s="66">
        <v>1</v>
      </c>
      <c r="K435" s="276">
        <v>1</v>
      </c>
      <c r="L435" s="632">
        <f t="shared" si="34"/>
        <v>1.68</v>
      </c>
      <c r="M435" s="280" t="s">
        <v>164</v>
      </c>
      <c r="N435" s="195"/>
      <c r="O435" s="196"/>
      <c r="P435" s="601"/>
      <c r="Q435" s="463"/>
    </row>
    <row r="436" spans="1:17" ht="15.75" customHeight="1" x14ac:dyDescent="0.2">
      <c r="A436" s="447"/>
      <c r="B436" s="194"/>
      <c r="C436" s="582" t="s">
        <v>30</v>
      </c>
      <c r="D436" s="67" t="s">
        <v>504</v>
      </c>
      <c r="E436" s="583">
        <v>2</v>
      </c>
      <c r="F436" s="67" t="s">
        <v>165</v>
      </c>
      <c r="G436" s="298" t="s">
        <v>499</v>
      </c>
      <c r="H436" s="66">
        <v>1.1000000000000001</v>
      </c>
      <c r="I436" s="66">
        <v>0.7</v>
      </c>
      <c r="J436" s="66">
        <v>0.4</v>
      </c>
      <c r="K436" s="276">
        <v>1</v>
      </c>
      <c r="L436" s="632">
        <f t="shared" si="34"/>
        <v>0.30800000000000005</v>
      </c>
      <c r="M436" s="280" t="s">
        <v>164</v>
      </c>
      <c r="N436" s="195"/>
      <c r="O436" s="196"/>
      <c r="P436" s="602"/>
      <c r="Q436" s="463"/>
    </row>
    <row r="437" spans="1:17" ht="15.75" customHeight="1" x14ac:dyDescent="0.2">
      <c r="A437" s="447"/>
      <c r="B437" s="194"/>
      <c r="C437" s="582" t="s">
        <v>30</v>
      </c>
      <c r="D437" s="67" t="s">
        <v>504</v>
      </c>
      <c r="E437" s="583">
        <v>2</v>
      </c>
      <c r="F437" s="67" t="s">
        <v>165</v>
      </c>
      <c r="G437" s="298" t="s">
        <v>500</v>
      </c>
      <c r="H437" s="66">
        <v>1.5</v>
      </c>
      <c r="I437" s="66">
        <v>1.2</v>
      </c>
      <c r="J437" s="66">
        <v>1</v>
      </c>
      <c r="K437" s="276">
        <v>1</v>
      </c>
      <c r="L437" s="632">
        <f t="shared" si="34"/>
        <v>1.7999999999999998</v>
      </c>
      <c r="M437" s="280" t="s">
        <v>164</v>
      </c>
      <c r="N437" s="195"/>
      <c r="O437" s="196"/>
      <c r="P437" s="602"/>
      <c r="Q437" s="463"/>
    </row>
    <row r="438" spans="1:17" ht="15.75" customHeight="1" x14ac:dyDescent="0.55000000000000004">
      <c r="A438" s="447"/>
      <c r="B438" s="194"/>
      <c r="C438" s="582" t="s">
        <v>30</v>
      </c>
      <c r="D438" s="67" t="s">
        <v>504</v>
      </c>
      <c r="E438" s="583">
        <v>2</v>
      </c>
      <c r="F438" s="67" t="s">
        <v>165</v>
      </c>
      <c r="G438" s="298" t="s">
        <v>501</v>
      </c>
      <c r="H438" s="66">
        <v>0.9</v>
      </c>
      <c r="I438" s="66">
        <v>0.8</v>
      </c>
      <c r="J438" s="66">
        <v>0.4</v>
      </c>
      <c r="K438" s="276">
        <v>1</v>
      </c>
      <c r="L438" s="632">
        <f t="shared" si="34"/>
        <v>0.28800000000000003</v>
      </c>
      <c r="M438" s="280" t="s">
        <v>164</v>
      </c>
      <c r="N438" s="195"/>
      <c r="O438" s="196"/>
      <c r="P438" s="601"/>
      <c r="Q438" s="463"/>
    </row>
    <row r="439" spans="1:17" ht="15.75" customHeight="1" x14ac:dyDescent="0.2">
      <c r="A439" s="447"/>
      <c r="B439" s="194"/>
      <c r="C439" s="582" t="s">
        <v>30</v>
      </c>
      <c r="D439" s="67" t="s">
        <v>504</v>
      </c>
      <c r="E439" s="583">
        <v>2</v>
      </c>
      <c r="F439" s="67" t="s">
        <v>165</v>
      </c>
      <c r="G439" s="298" t="s">
        <v>502</v>
      </c>
      <c r="H439" s="66">
        <v>3.5</v>
      </c>
      <c r="I439" s="66">
        <v>1.3</v>
      </c>
      <c r="J439" s="66">
        <v>1.05</v>
      </c>
      <c r="K439" s="276">
        <v>1</v>
      </c>
      <c r="L439" s="632">
        <f t="shared" si="34"/>
        <v>4.7774999999999999</v>
      </c>
      <c r="M439" s="280" t="s">
        <v>164</v>
      </c>
      <c r="N439" s="195"/>
      <c r="O439" s="196"/>
      <c r="P439" s="602"/>
      <c r="Q439" s="463"/>
    </row>
    <row r="440" spans="1:17" ht="15.75" customHeight="1" x14ac:dyDescent="0.55000000000000004">
      <c r="A440" s="447"/>
      <c r="B440" s="194"/>
      <c r="C440" s="582" t="s">
        <v>30</v>
      </c>
      <c r="D440" s="67" t="s">
        <v>504</v>
      </c>
      <c r="E440" s="583">
        <v>2</v>
      </c>
      <c r="F440" s="67" t="s">
        <v>165</v>
      </c>
      <c r="G440" s="298" t="s">
        <v>503</v>
      </c>
      <c r="H440" s="66">
        <v>1.4</v>
      </c>
      <c r="I440" s="66">
        <v>1.05</v>
      </c>
      <c r="J440" s="66">
        <v>1</v>
      </c>
      <c r="K440" s="276">
        <v>1</v>
      </c>
      <c r="L440" s="632">
        <f t="shared" si="34"/>
        <v>1.47</v>
      </c>
      <c r="M440" s="280" t="s">
        <v>164</v>
      </c>
      <c r="N440" s="195"/>
      <c r="O440" s="196"/>
      <c r="P440" s="601"/>
      <c r="Q440" s="463"/>
    </row>
    <row r="441" spans="1:17" ht="15.75" customHeight="1" x14ac:dyDescent="0.2">
      <c r="A441" s="447"/>
      <c r="B441" s="194"/>
      <c r="C441" s="582" t="s">
        <v>30</v>
      </c>
      <c r="D441" s="67" t="s">
        <v>504</v>
      </c>
      <c r="E441" s="583">
        <v>2</v>
      </c>
      <c r="F441" s="67" t="s">
        <v>165</v>
      </c>
      <c r="G441" s="298" t="s">
        <v>505</v>
      </c>
      <c r="H441" s="66">
        <v>1</v>
      </c>
      <c r="I441" s="66">
        <v>0.6</v>
      </c>
      <c r="J441" s="66">
        <v>0.4</v>
      </c>
      <c r="K441" s="276">
        <v>1</v>
      </c>
      <c r="L441" s="632">
        <f t="shared" si="34"/>
        <v>0.24</v>
      </c>
      <c r="M441" s="280" t="s">
        <v>164</v>
      </c>
      <c r="N441" s="195"/>
      <c r="O441" s="196"/>
      <c r="P441" s="602"/>
      <c r="Q441" s="463"/>
    </row>
    <row r="442" spans="1:17" ht="15.75" customHeight="1" x14ac:dyDescent="0.55000000000000004">
      <c r="A442" s="447"/>
      <c r="B442" s="194"/>
      <c r="C442" s="582" t="s">
        <v>30</v>
      </c>
      <c r="D442" s="67" t="s">
        <v>504</v>
      </c>
      <c r="E442" s="583">
        <v>2</v>
      </c>
      <c r="F442" s="67" t="s">
        <v>165</v>
      </c>
      <c r="G442" s="298" t="s">
        <v>505</v>
      </c>
      <c r="H442" s="66">
        <v>1.1000000000000001</v>
      </c>
      <c r="I442" s="66">
        <v>0.9</v>
      </c>
      <c r="J442" s="66">
        <v>0.7</v>
      </c>
      <c r="K442" s="276">
        <v>1</v>
      </c>
      <c r="L442" s="632">
        <f t="shared" si="34"/>
        <v>0.69300000000000006</v>
      </c>
      <c r="M442" s="280" t="s">
        <v>164</v>
      </c>
      <c r="N442" s="195"/>
      <c r="O442" s="196"/>
      <c r="P442" s="601"/>
      <c r="Q442" s="463"/>
    </row>
    <row r="443" spans="1:17" ht="15.75" customHeight="1" x14ac:dyDescent="0.2">
      <c r="A443" s="447"/>
      <c r="B443" s="194"/>
      <c r="C443" s="582" t="s">
        <v>30</v>
      </c>
      <c r="D443" s="67" t="s">
        <v>504</v>
      </c>
      <c r="E443" s="583">
        <v>2</v>
      </c>
      <c r="F443" s="67" t="s">
        <v>165</v>
      </c>
      <c r="G443" s="298" t="s">
        <v>506</v>
      </c>
      <c r="H443" s="66">
        <v>1.2</v>
      </c>
      <c r="I443" s="66">
        <v>1.1499999999999999</v>
      </c>
      <c r="J443" s="66">
        <v>0.5</v>
      </c>
      <c r="K443" s="276">
        <v>1</v>
      </c>
      <c r="L443" s="632">
        <f t="shared" si="34"/>
        <v>0.69</v>
      </c>
      <c r="M443" s="280" t="s">
        <v>164</v>
      </c>
      <c r="N443" s="195"/>
      <c r="O443" s="196"/>
      <c r="P443" s="602"/>
      <c r="Q443" s="463"/>
    </row>
    <row r="444" spans="1:17" ht="15.75" customHeight="1" x14ac:dyDescent="0.2">
      <c r="A444" s="447"/>
      <c r="B444" s="194"/>
      <c r="C444" s="582" t="s">
        <v>30</v>
      </c>
      <c r="D444" s="67" t="s">
        <v>504</v>
      </c>
      <c r="E444" s="583">
        <v>2</v>
      </c>
      <c r="F444" s="67" t="s">
        <v>165</v>
      </c>
      <c r="G444" s="298" t="s">
        <v>508</v>
      </c>
      <c r="H444" s="66">
        <v>1.25</v>
      </c>
      <c r="I444" s="66">
        <v>1.2</v>
      </c>
      <c r="J444" s="66">
        <v>0.9</v>
      </c>
      <c r="K444" s="276">
        <v>1</v>
      </c>
      <c r="L444" s="632">
        <f t="shared" si="34"/>
        <v>1.35</v>
      </c>
      <c r="M444" s="280" t="s">
        <v>164</v>
      </c>
      <c r="N444" s="195">
        <v>44961</v>
      </c>
      <c r="O444" s="196" t="s">
        <v>493</v>
      </c>
      <c r="P444" s="602"/>
      <c r="Q444" s="463"/>
    </row>
    <row r="445" spans="1:17" ht="15.75" customHeight="1" x14ac:dyDescent="0.55000000000000004">
      <c r="A445" s="447"/>
      <c r="B445" s="194"/>
      <c r="C445" s="582" t="s">
        <v>30</v>
      </c>
      <c r="D445" s="67" t="s">
        <v>504</v>
      </c>
      <c r="E445" s="583">
        <v>2</v>
      </c>
      <c r="F445" s="67" t="s">
        <v>165</v>
      </c>
      <c r="G445" s="298" t="s">
        <v>509</v>
      </c>
      <c r="H445" s="66">
        <v>1</v>
      </c>
      <c r="I445" s="66">
        <v>0.9</v>
      </c>
      <c r="J445" s="66">
        <v>0.6</v>
      </c>
      <c r="K445" s="276">
        <v>1</v>
      </c>
      <c r="L445" s="632">
        <f t="shared" si="34"/>
        <v>0.54</v>
      </c>
      <c r="M445" s="280" t="s">
        <v>164</v>
      </c>
      <c r="N445" s="195"/>
      <c r="O445" s="196"/>
      <c r="P445" s="601"/>
      <c r="Q445" s="463"/>
    </row>
    <row r="446" spans="1:17" ht="15.75" customHeight="1" x14ac:dyDescent="0.2">
      <c r="A446" s="447"/>
      <c r="B446" s="194"/>
      <c r="C446" s="582" t="s">
        <v>30</v>
      </c>
      <c r="D446" s="67" t="s">
        <v>504</v>
      </c>
      <c r="E446" s="583">
        <v>2</v>
      </c>
      <c r="F446" s="67" t="s">
        <v>165</v>
      </c>
      <c r="G446" s="298" t="s">
        <v>510</v>
      </c>
      <c r="H446" s="66">
        <v>1.4</v>
      </c>
      <c r="I446" s="66">
        <v>1.1000000000000001</v>
      </c>
      <c r="J446" s="66">
        <v>0.4</v>
      </c>
      <c r="K446" s="276">
        <v>1</v>
      </c>
      <c r="L446" s="632">
        <f t="shared" si="34"/>
        <v>0.6160000000000001</v>
      </c>
      <c r="M446" s="280" t="s">
        <v>164</v>
      </c>
      <c r="N446" s="195"/>
      <c r="O446" s="196"/>
      <c r="P446" s="602"/>
      <c r="Q446" s="463"/>
    </row>
    <row r="447" spans="1:17" ht="15.75" customHeight="1" x14ac:dyDescent="0.2">
      <c r="A447" s="447"/>
      <c r="B447" s="194"/>
      <c r="C447" s="582" t="s">
        <v>30</v>
      </c>
      <c r="D447" s="67" t="s">
        <v>504</v>
      </c>
      <c r="E447" s="583">
        <v>2</v>
      </c>
      <c r="F447" s="67" t="s">
        <v>165</v>
      </c>
      <c r="G447" s="298" t="s">
        <v>514</v>
      </c>
      <c r="H447" s="66">
        <v>1.2</v>
      </c>
      <c r="I447" s="66">
        <v>1.1499999999999999</v>
      </c>
      <c r="J447" s="66">
        <v>1</v>
      </c>
      <c r="K447" s="276">
        <v>1</v>
      </c>
      <c r="L447" s="632">
        <f t="shared" si="34"/>
        <v>1.38</v>
      </c>
      <c r="M447" s="280" t="s">
        <v>164</v>
      </c>
      <c r="N447" s="195">
        <v>44964</v>
      </c>
      <c r="O447" s="196" t="s">
        <v>493</v>
      </c>
      <c r="P447" s="602"/>
      <c r="Q447" s="463"/>
    </row>
    <row r="448" spans="1:17" ht="15.75" customHeight="1" x14ac:dyDescent="0.55000000000000004">
      <c r="A448" s="447"/>
      <c r="B448" s="194"/>
      <c r="C448" s="582" t="s">
        <v>30</v>
      </c>
      <c r="D448" s="67" t="s">
        <v>504</v>
      </c>
      <c r="E448" s="583">
        <v>2</v>
      </c>
      <c r="F448" s="67" t="s">
        <v>165</v>
      </c>
      <c r="G448" s="298" t="s">
        <v>515</v>
      </c>
      <c r="H448" s="66">
        <v>2.6</v>
      </c>
      <c r="I448" s="66">
        <v>1.4</v>
      </c>
      <c r="J448" s="66">
        <v>1.05</v>
      </c>
      <c r="K448" s="276">
        <v>1</v>
      </c>
      <c r="L448" s="632">
        <f t="shared" si="34"/>
        <v>3.8219999999999996</v>
      </c>
      <c r="M448" s="280" t="s">
        <v>164</v>
      </c>
      <c r="N448" s="195"/>
      <c r="O448" s="196"/>
      <c r="P448" s="601"/>
      <c r="Q448" s="463"/>
    </row>
    <row r="449" spans="1:17" ht="15.75" customHeight="1" x14ac:dyDescent="0.2">
      <c r="A449" s="447"/>
      <c r="B449" s="194"/>
      <c r="C449" s="582" t="s">
        <v>30</v>
      </c>
      <c r="D449" s="67" t="s">
        <v>504</v>
      </c>
      <c r="E449" s="583">
        <v>2</v>
      </c>
      <c r="F449" s="67" t="s">
        <v>165</v>
      </c>
      <c r="G449" s="298" t="s">
        <v>516</v>
      </c>
      <c r="H449" s="66">
        <v>2</v>
      </c>
      <c r="I449" s="66">
        <v>1.25</v>
      </c>
      <c r="J449" s="66">
        <v>0.5</v>
      </c>
      <c r="K449" s="276">
        <v>1</v>
      </c>
      <c r="L449" s="632">
        <f t="shared" si="34"/>
        <v>1.25</v>
      </c>
      <c r="M449" s="280" t="s">
        <v>164</v>
      </c>
      <c r="N449" s="195"/>
      <c r="O449" s="196"/>
      <c r="P449" s="602"/>
      <c r="Q449" s="463"/>
    </row>
    <row r="450" spans="1:17" ht="15.75" customHeight="1" x14ac:dyDescent="0.55000000000000004">
      <c r="A450" s="447"/>
      <c r="B450" s="194"/>
      <c r="C450" s="582" t="s">
        <v>30</v>
      </c>
      <c r="D450" s="67" t="s">
        <v>504</v>
      </c>
      <c r="E450" s="583">
        <v>2</v>
      </c>
      <c r="F450" s="67" t="s">
        <v>165</v>
      </c>
      <c r="G450" s="298" t="s">
        <v>517</v>
      </c>
      <c r="H450" s="66">
        <v>1.3</v>
      </c>
      <c r="I450" s="66">
        <v>1.1000000000000001</v>
      </c>
      <c r="J450" s="66">
        <v>1.1000000000000001</v>
      </c>
      <c r="K450" s="276">
        <v>1</v>
      </c>
      <c r="L450" s="632">
        <f t="shared" si="34"/>
        <v>1.5730000000000004</v>
      </c>
      <c r="M450" s="280" t="s">
        <v>164</v>
      </c>
      <c r="N450" s="195"/>
      <c r="O450" s="196"/>
      <c r="P450" s="601"/>
      <c r="Q450" s="463"/>
    </row>
    <row r="451" spans="1:17" ht="15.75" customHeight="1" x14ac:dyDescent="0.55000000000000004">
      <c r="A451" s="447"/>
      <c r="B451" s="194"/>
      <c r="C451" s="582" t="s">
        <v>30</v>
      </c>
      <c r="D451" s="67" t="s">
        <v>504</v>
      </c>
      <c r="E451" s="583">
        <v>2</v>
      </c>
      <c r="F451" s="67" t="s">
        <v>165</v>
      </c>
      <c r="G451" s="298" t="s">
        <v>523</v>
      </c>
      <c r="H451" s="66">
        <v>1.6</v>
      </c>
      <c r="I451" s="66">
        <v>1.1499999999999999</v>
      </c>
      <c r="J451" s="66">
        <v>0.8</v>
      </c>
      <c r="K451" s="276">
        <v>1</v>
      </c>
      <c r="L451" s="632">
        <f t="shared" si="34"/>
        <v>1.472</v>
      </c>
      <c r="M451" s="280" t="s">
        <v>164</v>
      </c>
      <c r="N451" s="195"/>
      <c r="O451" s="196"/>
      <c r="P451" s="601"/>
      <c r="Q451" s="463"/>
    </row>
    <row r="452" spans="1:17" ht="15.75" customHeight="1" x14ac:dyDescent="0.2">
      <c r="A452" s="447"/>
      <c r="B452" s="194"/>
      <c r="C452" s="582" t="s">
        <v>30</v>
      </c>
      <c r="D452" s="67" t="s">
        <v>504</v>
      </c>
      <c r="E452" s="583">
        <v>2</v>
      </c>
      <c r="F452" s="67" t="s">
        <v>165</v>
      </c>
      <c r="G452" s="298" t="s">
        <v>524</v>
      </c>
      <c r="H452" s="66">
        <v>2.1</v>
      </c>
      <c r="I452" s="66">
        <v>1.3</v>
      </c>
      <c r="J452" s="66">
        <v>1</v>
      </c>
      <c r="K452" s="276">
        <v>1</v>
      </c>
      <c r="L452" s="632">
        <f t="shared" si="34"/>
        <v>2.7300000000000004</v>
      </c>
      <c r="M452" s="280" t="s">
        <v>164</v>
      </c>
      <c r="N452" s="195"/>
      <c r="O452" s="196"/>
      <c r="P452" s="602"/>
      <c r="Q452" s="463"/>
    </row>
    <row r="453" spans="1:17" ht="15.75" customHeight="1" x14ac:dyDescent="0.55000000000000004">
      <c r="A453" s="447"/>
      <c r="B453" s="194"/>
      <c r="C453" s="582" t="s">
        <v>30</v>
      </c>
      <c r="D453" s="67" t="s">
        <v>504</v>
      </c>
      <c r="E453" s="583">
        <v>2</v>
      </c>
      <c r="F453" s="67" t="s">
        <v>165</v>
      </c>
      <c r="G453" s="298" t="s">
        <v>525</v>
      </c>
      <c r="H453" s="66">
        <v>2.2000000000000002</v>
      </c>
      <c r="I453" s="66">
        <v>1.3</v>
      </c>
      <c r="J453" s="66">
        <v>1</v>
      </c>
      <c r="K453" s="276">
        <v>1</v>
      </c>
      <c r="L453" s="632">
        <f t="shared" si="34"/>
        <v>2.8600000000000003</v>
      </c>
      <c r="M453" s="280" t="s">
        <v>164</v>
      </c>
      <c r="N453" s="195"/>
      <c r="O453" s="196"/>
      <c r="P453" s="601"/>
      <c r="Q453" s="463"/>
    </row>
    <row r="454" spans="1:17" ht="15.75" customHeight="1" x14ac:dyDescent="0.2">
      <c r="A454" s="447"/>
      <c r="B454" s="194"/>
      <c r="C454" s="582" t="s">
        <v>30</v>
      </c>
      <c r="D454" s="67" t="s">
        <v>504</v>
      </c>
      <c r="E454" s="583">
        <v>2</v>
      </c>
      <c r="F454" s="67" t="s">
        <v>165</v>
      </c>
      <c r="G454" s="298" t="s">
        <v>526</v>
      </c>
      <c r="H454" s="66">
        <v>1.7</v>
      </c>
      <c r="I454" s="66">
        <v>1</v>
      </c>
      <c r="J454" s="66">
        <v>0.8</v>
      </c>
      <c r="K454" s="276">
        <v>1</v>
      </c>
      <c r="L454" s="632">
        <f t="shared" si="34"/>
        <v>1.36</v>
      </c>
      <c r="M454" s="280" t="s">
        <v>164</v>
      </c>
      <c r="N454" s="195"/>
      <c r="O454" s="196"/>
      <c r="P454" s="602"/>
      <c r="Q454" s="463"/>
    </row>
    <row r="455" spans="1:17" ht="15.75" customHeight="1" x14ac:dyDescent="0.55000000000000004">
      <c r="A455" s="447"/>
      <c r="B455" s="622"/>
      <c r="C455" s="623" t="s">
        <v>30</v>
      </c>
      <c r="D455" s="624" t="s">
        <v>504</v>
      </c>
      <c r="E455" s="625">
        <v>2</v>
      </c>
      <c r="F455" s="624" t="s">
        <v>165</v>
      </c>
      <c r="G455" s="626" t="s">
        <v>527</v>
      </c>
      <c r="H455" s="627">
        <v>2</v>
      </c>
      <c r="I455" s="627">
        <v>1.3</v>
      </c>
      <c r="J455" s="627">
        <v>1</v>
      </c>
      <c r="K455" s="628">
        <v>1</v>
      </c>
      <c r="L455" s="637">
        <f t="shared" si="34"/>
        <v>2.6</v>
      </c>
      <c r="M455" s="629" t="s">
        <v>164</v>
      </c>
      <c r="N455" s="630"/>
      <c r="O455" s="631"/>
      <c r="P455" s="601"/>
      <c r="Q455" s="463"/>
    </row>
    <row r="456" spans="1:17" ht="15.75" customHeight="1" x14ac:dyDescent="0.2">
      <c r="A456" s="447"/>
      <c r="B456" s="194">
        <v>44931</v>
      </c>
      <c r="C456" s="582" t="s">
        <v>30</v>
      </c>
      <c r="D456" s="67" t="s">
        <v>504</v>
      </c>
      <c r="E456" s="583">
        <v>3</v>
      </c>
      <c r="F456" s="67" t="s">
        <v>165</v>
      </c>
      <c r="G456" s="298" t="s">
        <v>540</v>
      </c>
      <c r="H456" s="66">
        <v>2.5</v>
      </c>
      <c r="I456" s="66">
        <v>1.8</v>
      </c>
      <c r="J456" s="66">
        <v>1.34</v>
      </c>
      <c r="K456" s="276">
        <v>1</v>
      </c>
      <c r="L456" s="632">
        <f t="shared" si="34"/>
        <v>6.03</v>
      </c>
      <c r="M456" s="280" t="s">
        <v>164</v>
      </c>
      <c r="N456" s="195"/>
      <c r="O456" s="196"/>
      <c r="P456" s="602"/>
      <c r="Q456" s="463"/>
    </row>
    <row r="457" spans="1:17" ht="15.75" customHeight="1" x14ac:dyDescent="0.55000000000000004">
      <c r="A457" s="447"/>
      <c r="B457" s="194">
        <v>44931</v>
      </c>
      <c r="C457" s="582" t="s">
        <v>30</v>
      </c>
      <c r="D457" s="67" t="s">
        <v>504</v>
      </c>
      <c r="E457" s="583">
        <v>3</v>
      </c>
      <c r="F457" s="67" t="s">
        <v>165</v>
      </c>
      <c r="G457" s="298" t="s">
        <v>541</v>
      </c>
      <c r="H457" s="66">
        <v>1.8</v>
      </c>
      <c r="I457" s="66">
        <v>1.36</v>
      </c>
      <c r="J457" s="66">
        <v>1.32</v>
      </c>
      <c r="K457" s="276">
        <v>1</v>
      </c>
      <c r="L457" s="632">
        <f t="shared" si="34"/>
        <v>3.2313600000000009</v>
      </c>
      <c r="M457" s="280" t="s">
        <v>164</v>
      </c>
      <c r="N457" s="195"/>
      <c r="O457" s="196"/>
      <c r="P457" s="601"/>
      <c r="Q457" s="463"/>
    </row>
    <row r="458" spans="1:17" ht="15.75" customHeight="1" x14ac:dyDescent="0.2">
      <c r="A458" s="447"/>
      <c r="B458" s="194">
        <v>44931</v>
      </c>
      <c r="C458" s="582" t="s">
        <v>30</v>
      </c>
      <c r="D458" s="67" t="s">
        <v>504</v>
      </c>
      <c r="E458" s="583">
        <v>3</v>
      </c>
      <c r="F458" s="67" t="s">
        <v>165</v>
      </c>
      <c r="G458" s="298" t="s">
        <v>543</v>
      </c>
      <c r="H458" s="66">
        <v>1.84</v>
      </c>
      <c r="I458" s="66">
        <v>1.25</v>
      </c>
      <c r="J458" s="66">
        <v>1.25</v>
      </c>
      <c r="K458" s="276">
        <v>1</v>
      </c>
      <c r="L458" s="632">
        <f t="shared" si="34"/>
        <v>2.8750000000000004</v>
      </c>
      <c r="M458" s="280" t="s">
        <v>164</v>
      </c>
      <c r="N458" s="195"/>
      <c r="O458" s="196"/>
      <c r="P458" s="602"/>
      <c r="Q458" s="463"/>
    </row>
    <row r="459" spans="1:17" ht="15.75" customHeight="1" x14ac:dyDescent="0.55000000000000004">
      <c r="A459" s="447"/>
      <c r="B459" s="194">
        <v>44931</v>
      </c>
      <c r="C459" s="582" t="s">
        <v>30</v>
      </c>
      <c r="D459" s="67" t="s">
        <v>504</v>
      </c>
      <c r="E459" s="583">
        <v>3</v>
      </c>
      <c r="F459" s="67" t="s">
        <v>165</v>
      </c>
      <c r="G459" s="298" t="s">
        <v>542</v>
      </c>
      <c r="H459" s="66">
        <v>2.5</v>
      </c>
      <c r="I459" s="66">
        <v>1.82</v>
      </c>
      <c r="J459" s="66">
        <v>1.28</v>
      </c>
      <c r="K459" s="276">
        <v>1</v>
      </c>
      <c r="L459" s="632">
        <f t="shared" si="34"/>
        <v>5.8239999999999998</v>
      </c>
      <c r="M459" s="280" t="s">
        <v>164</v>
      </c>
      <c r="N459" s="195"/>
      <c r="O459" s="196"/>
      <c r="P459" s="601"/>
      <c r="Q459" s="463"/>
    </row>
    <row r="460" spans="1:17" ht="15.75" customHeight="1" x14ac:dyDescent="0.2">
      <c r="A460" s="447"/>
      <c r="B460" s="194"/>
      <c r="C460" s="582" t="s">
        <v>30</v>
      </c>
      <c r="D460" s="67"/>
      <c r="E460" s="583"/>
      <c r="F460" s="67"/>
      <c r="G460" s="298"/>
      <c r="H460" s="66"/>
      <c r="I460" s="66"/>
      <c r="J460" s="66">
        <v>0.6</v>
      </c>
      <c r="K460" s="276">
        <v>1</v>
      </c>
      <c r="L460" s="632">
        <f t="shared" si="34"/>
        <v>0</v>
      </c>
      <c r="M460" s="280" t="s">
        <v>164</v>
      </c>
      <c r="N460" s="195"/>
      <c r="O460" s="196"/>
      <c r="P460" s="602"/>
      <c r="Q460" s="463"/>
    </row>
    <row r="461" spans="1:17" ht="15.75" customHeight="1" x14ac:dyDescent="0.55000000000000004">
      <c r="A461" s="274"/>
      <c r="B461" s="595"/>
      <c r="C461" s="595"/>
      <c r="D461" s="643"/>
      <c r="E461" s="595"/>
      <c r="F461" s="595"/>
      <c r="G461" s="595"/>
      <c r="H461" s="595"/>
      <c r="I461" s="595"/>
      <c r="J461" s="37">
        <v>0.6</v>
      </c>
      <c r="K461" s="595"/>
      <c r="L461" s="595"/>
      <c r="M461" s="595"/>
      <c r="N461" s="595"/>
      <c r="O461" s="596"/>
      <c r="P461" s="453"/>
    </row>
    <row r="462" spans="1:17" ht="15.75" customHeight="1" x14ac:dyDescent="0.55000000000000004">
      <c r="B462" s="453"/>
      <c r="C462" s="453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3"/>
    </row>
    <row r="463" spans="1:17" x14ac:dyDescent="0.55000000000000004">
      <c r="B463" s="338"/>
    </row>
    <row r="464" spans="1:17" x14ac:dyDescent="0.55000000000000004">
      <c r="B464" s="338"/>
      <c r="O464" s="399"/>
    </row>
    <row r="465" spans="2:16" x14ac:dyDescent="0.55000000000000004">
      <c r="B465" s="338"/>
    </row>
    <row r="466" spans="2:16" x14ac:dyDescent="0.55000000000000004">
      <c r="B466" s="338"/>
    </row>
    <row r="467" spans="2:16" x14ac:dyDescent="0.55000000000000004">
      <c r="B467" s="338"/>
      <c r="O467" s="1" t="s">
        <v>181</v>
      </c>
    </row>
    <row r="469" spans="2:16" ht="18.75" x14ac:dyDescent="0.55000000000000004">
      <c r="P469" s="119"/>
    </row>
  </sheetData>
  <autoFilter ref="A54:T461" xr:uid="{00000000-0009-0000-0000-000000000000}"/>
  <mergeCells count="25">
    <mergeCell ref="M18:O21"/>
    <mergeCell ref="C24:E24"/>
    <mergeCell ref="M24:O24"/>
    <mergeCell ref="M36:M37"/>
    <mergeCell ref="M27:O29"/>
    <mergeCell ref="M32:M33"/>
    <mergeCell ref="N32:O33"/>
    <mergeCell ref="C25:E25"/>
    <mergeCell ref="M25:O25"/>
    <mergeCell ref="N38:O39"/>
    <mergeCell ref="M38:M39"/>
    <mergeCell ref="M40:O46"/>
    <mergeCell ref="A1:O1"/>
    <mergeCell ref="M2:O4"/>
    <mergeCell ref="C22:E22"/>
    <mergeCell ref="M22:O22"/>
    <mergeCell ref="C23:E23"/>
    <mergeCell ref="M23:O23"/>
    <mergeCell ref="M11:O13"/>
    <mergeCell ref="M14:O17"/>
    <mergeCell ref="M7:O8"/>
    <mergeCell ref="M9:O10"/>
    <mergeCell ref="N34:O35"/>
    <mergeCell ref="M34:M35"/>
    <mergeCell ref="N36:O37"/>
  </mergeCells>
  <phoneticPr fontId="35" type="noConversion"/>
  <pageMargins left="0.7" right="0.7" top="0.75" bottom="0.75" header="0.3" footer="0.3"/>
  <pageSetup paperSize="9" scale="11" orientation="portrait" horizontalDpi="360" verticalDpi="360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P95"/>
  <sheetViews>
    <sheetView topLeftCell="A58" zoomScaleNormal="100" workbookViewId="0">
      <selection activeCell="G84" sqref="G84"/>
    </sheetView>
  </sheetViews>
  <sheetFormatPr defaultRowHeight="19.5" x14ac:dyDescent="0.55000000000000004"/>
  <cols>
    <col min="1" max="1" width="11" customWidth="1"/>
    <col min="2" max="2" width="11.19921875" customWidth="1"/>
    <col min="4" max="4" width="9.59765625" bestFit="1" customWidth="1"/>
    <col min="11" max="11" width="8.59765625" customWidth="1"/>
    <col min="12" max="12" width="7.796875" style="273" customWidth="1"/>
    <col min="13" max="13" width="9.19921875" style="262"/>
    <col min="14" max="14" width="9.19921875" style="434"/>
    <col min="15" max="15" width="12.796875" customWidth="1"/>
  </cols>
  <sheetData>
    <row r="1" spans="1:14" ht="25.5" x14ac:dyDescent="0.55000000000000004">
      <c r="A1" s="739" t="s">
        <v>558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</row>
    <row r="2" spans="1:14" ht="15.75" hidden="1" customHeight="1" x14ac:dyDescent="0.55000000000000004">
      <c r="A2" s="607" t="s">
        <v>32</v>
      </c>
      <c r="B2" s="608">
        <v>1</v>
      </c>
      <c r="C2" s="609">
        <v>2</v>
      </c>
      <c r="D2" s="608">
        <v>3</v>
      </c>
      <c r="E2" s="609">
        <v>4</v>
      </c>
      <c r="F2" s="610">
        <v>5</v>
      </c>
      <c r="G2" s="609">
        <v>6</v>
      </c>
      <c r="H2" s="608">
        <v>7</v>
      </c>
      <c r="I2" s="609">
        <v>8</v>
      </c>
      <c r="J2" s="22"/>
      <c r="K2" s="611" t="s">
        <v>1</v>
      </c>
      <c r="L2" s="612"/>
    </row>
    <row r="3" spans="1:14" hidden="1" x14ac:dyDescent="0.55000000000000004">
      <c r="A3" s="41" t="s">
        <v>33</v>
      </c>
      <c r="B3" s="7">
        <f t="shared" ref="B3:I3" si="0">SUMIFS($J$69:$J$752,$M$69:$M$752,"MC1",$B$69:$B$752,B2&amp;"-08-2019")</f>
        <v>0</v>
      </c>
      <c r="C3" s="7">
        <f t="shared" si="0"/>
        <v>0</v>
      </c>
      <c r="D3" s="7">
        <f t="shared" si="0"/>
        <v>0</v>
      </c>
      <c r="E3" s="7">
        <f t="shared" si="0"/>
        <v>0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41"/>
      <c r="K3" s="42">
        <f>SUM(B3:I3)</f>
        <v>0</v>
      </c>
      <c r="L3" s="718">
        <f>SUM(K3:K6)</f>
        <v>0</v>
      </c>
    </row>
    <row r="4" spans="1:14" hidden="1" x14ac:dyDescent="0.55000000000000004">
      <c r="A4" s="41" t="s">
        <v>34</v>
      </c>
      <c r="B4" s="7">
        <f t="shared" ref="B4:I4" si="1">SUMIFS($J$69:$J$752,$M$69:$M$752,"MC2",$B$69:$B$752,B2&amp;"-08-2019")</f>
        <v>0</v>
      </c>
      <c r="C4" s="7">
        <f t="shared" si="1"/>
        <v>0</v>
      </c>
      <c r="D4" s="7">
        <f t="shared" si="1"/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41"/>
      <c r="K4" s="42">
        <f>SUM(B4:I4)</f>
        <v>0</v>
      </c>
      <c r="L4" s="719"/>
    </row>
    <row r="5" spans="1:14" hidden="1" x14ac:dyDescent="0.55000000000000004">
      <c r="A5" s="41" t="s">
        <v>35</v>
      </c>
      <c r="B5" s="7">
        <f t="shared" ref="B5:I5" si="2">SUMIFS($J$69:$J$752,$M$69:$M$752,"MC3",$B$69:$B$752,B2&amp;"-08-2019")</f>
        <v>0</v>
      </c>
      <c r="C5" s="7">
        <f t="shared" si="2"/>
        <v>0</v>
      </c>
      <c r="D5" s="7">
        <f t="shared" si="2"/>
        <v>0</v>
      </c>
      <c r="E5" s="7">
        <f t="shared" si="2"/>
        <v>0</v>
      </c>
      <c r="F5" s="7">
        <f t="shared" si="2"/>
        <v>0</v>
      </c>
      <c r="G5" s="7">
        <f t="shared" si="2"/>
        <v>0</v>
      </c>
      <c r="H5" s="7">
        <f t="shared" si="2"/>
        <v>0</v>
      </c>
      <c r="I5" s="7">
        <f t="shared" si="2"/>
        <v>0</v>
      </c>
      <c r="J5" s="741"/>
      <c r="K5" s="42">
        <f>SUM(B5:I5)</f>
        <v>0</v>
      </c>
      <c r="L5" s="719"/>
    </row>
    <row r="6" spans="1:14" hidden="1" x14ac:dyDescent="0.55000000000000004">
      <c r="A6" s="41" t="s">
        <v>36</v>
      </c>
      <c r="B6" s="7">
        <f t="shared" ref="B6:I6" si="3">SUMIFS($J$69:$J$752,$M$69:$M$752,"MC4",$B$69:$B$752,B2&amp;"-08-2019")</f>
        <v>0</v>
      </c>
      <c r="C6" s="7">
        <f t="shared" si="3"/>
        <v>0</v>
      </c>
      <c r="D6" s="7">
        <f t="shared" si="3"/>
        <v>0</v>
      </c>
      <c r="E6" s="7">
        <f t="shared" si="3"/>
        <v>0</v>
      </c>
      <c r="F6" s="7">
        <f t="shared" si="3"/>
        <v>0</v>
      </c>
      <c r="G6" s="7">
        <f t="shared" si="3"/>
        <v>0</v>
      </c>
      <c r="H6" s="7">
        <f t="shared" si="3"/>
        <v>0</v>
      </c>
      <c r="I6" s="7">
        <f t="shared" si="3"/>
        <v>0</v>
      </c>
      <c r="J6" s="741"/>
      <c r="K6" s="42">
        <f>SUM(B6:I6)</f>
        <v>0</v>
      </c>
      <c r="L6" s="720"/>
    </row>
    <row r="7" spans="1:14" ht="15.75" hidden="1" customHeight="1" x14ac:dyDescent="0.55000000000000004">
      <c r="A7" s="3" t="s">
        <v>32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9"/>
      <c r="K7" s="10" t="s">
        <v>5</v>
      </c>
      <c r="L7" s="268"/>
    </row>
    <row r="8" spans="1:14" ht="18.75" hidden="1" customHeight="1" x14ac:dyDescent="0.55000000000000004">
      <c r="A8" s="41" t="s">
        <v>33</v>
      </c>
      <c r="B8" s="7">
        <f t="shared" ref="B8:I8" si="4">SUMIFS($J$69:$J$752,$M$69:$M$752,"MC1",$B$69:$B$752,B7&amp;"-08-2019")</f>
        <v>0</v>
      </c>
      <c r="C8" s="7">
        <f t="shared" si="4"/>
        <v>0</v>
      </c>
      <c r="D8" s="7">
        <f t="shared" si="4"/>
        <v>0</v>
      </c>
      <c r="E8" s="7">
        <f t="shared" si="4"/>
        <v>0</v>
      </c>
      <c r="F8" s="7">
        <f t="shared" si="4"/>
        <v>0</v>
      </c>
      <c r="G8" s="7">
        <f t="shared" si="4"/>
        <v>0</v>
      </c>
      <c r="H8" s="7">
        <f t="shared" si="4"/>
        <v>0</v>
      </c>
      <c r="I8" s="7">
        <f t="shared" si="4"/>
        <v>0</v>
      </c>
      <c r="J8" s="742"/>
      <c r="K8" s="44">
        <f>SUM(B8:I8)</f>
        <v>0</v>
      </c>
      <c r="L8" s="718">
        <f>SUM(K8:K11)</f>
        <v>0</v>
      </c>
    </row>
    <row r="9" spans="1:14" ht="18.75" hidden="1" customHeight="1" x14ac:dyDescent="0.55000000000000004">
      <c r="A9" s="41" t="s">
        <v>34</v>
      </c>
      <c r="B9" s="7">
        <f t="shared" ref="B9:I9" si="5">SUMIFS($J$69:$J$752,$M$69:$M$752,"MC2",$B$69:$B$752,B7&amp;"-08-2019")</f>
        <v>0</v>
      </c>
      <c r="C9" s="7">
        <f t="shared" si="5"/>
        <v>0</v>
      </c>
      <c r="D9" s="7">
        <f t="shared" si="5"/>
        <v>0</v>
      </c>
      <c r="E9" s="7">
        <f t="shared" si="5"/>
        <v>0</v>
      </c>
      <c r="F9" s="7">
        <f t="shared" si="5"/>
        <v>0</v>
      </c>
      <c r="G9" s="7">
        <f t="shared" si="5"/>
        <v>0</v>
      </c>
      <c r="H9" s="7">
        <f t="shared" si="5"/>
        <v>0</v>
      </c>
      <c r="I9" s="7">
        <f t="shared" si="5"/>
        <v>0</v>
      </c>
      <c r="J9" s="742"/>
      <c r="K9" s="44">
        <f>SUM(B9:I9)</f>
        <v>0</v>
      </c>
      <c r="L9" s="719"/>
    </row>
    <row r="10" spans="1:14" ht="18.75" hidden="1" customHeight="1" x14ac:dyDescent="0.55000000000000004">
      <c r="A10" s="41" t="s">
        <v>35</v>
      </c>
      <c r="B10" s="7">
        <f t="shared" ref="B10:I10" si="6">SUMIFS($J$69:$J$752,$M$69:$M$752,"MC3",$B$69:$B$752,B7&amp;"-08-2019")</f>
        <v>0</v>
      </c>
      <c r="C10" s="7">
        <f t="shared" si="6"/>
        <v>0</v>
      </c>
      <c r="D10" s="7">
        <f t="shared" si="6"/>
        <v>0</v>
      </c>
      <c r="E10" s="7">
        <f t="shared" si="6"/>
        <v>0</v>
      </c>
      <c r="F10" s="7">
        <f t="shared" si="6"/>
        <v>0</v>
      </c>
      <c r="G10" s="7">
        <f t="shared" si="6"/>
        <v>0</v>
      </c>
      <c r="H10" s="7">
        <f t="shared" si="6"/>
        <v>0</v>
      </c>
      <c r="I10" s="7">
        <f t="shared" si="6"/>
        <v>0</v>
      </c>
      <c r="J10" s="742"/>
      <c r="K10" s="44">
        <f>SUM(B10:I10)</f>
        <v>0</v>
      </c>
      <c r="L10" s="719"/>
    </row>
    <row r="11" spans="1:14" ht="18.75" hidden="1" customHeight="1" x14ac:dyDescent="0.55000000000000004">
      <c r="A11" s="41" t="s">
        <v>36</v>
      </c>
      <c r="B11" s="7">
        <f t="shared" ref="B11:I11" si="7">SUMIFS($J$69:$J$752,$M$69:$M$752,"MC4",$B$69:$B$752,B7&amp;"-08-2019")</f>
        <v>0</v>
      </c>
      <c r="C11" s="7">
        <f t="shared" si="7"/>
        <v>0</v>
      </c>
      <c r="D11" s="7">
        <f t="shared" si="7"/>
        <v>0</v>
      </c>
      <c r="E11" s="7">
        <f t="shared" si="7"/>
        <v>0</v>
      </c>
      <c r="F11" s="7">
        <f t="shared" si="7"/>
        <v>0</v>
      </c>
      <c r="G11" s="7">
        <f t="shared" si="7"/>
        <v>0</v>
      </c>
      <c r="H11" s="7">
        <f t="shared" si="7"/>
        <v>0</v>
      </c>
      <c r="I11" s="7">
        <f t="shared" si="7"/>
        <v>0</v>
      </c>
      <c r="J11" s="742"/>
      <c r="K11" s="44">
        <f>SUM(B11:I11)</f>
        <v>0</v>
      </c>
      <c r="L11" s="720"/>
    </row>
    <row r="12" spans="1:14" ht="15.75" hidden="1" customHeight="1" x14ac:dyDescent="0.55000000000000004">
      <c r="A12" s="3" t="s">
        <v>32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2"/>
      <c r="K12" s="13" t="s">
        <v>6</v>
      </c>
      <c r="L12" s="268"/>
    </row>
    <row r="13" spans="1:14" ht="18.75" hidden="1" customHeight="1" x14ac:dyDescent="0.55000000000000004">
      <c r="A13" s="41" t="s">
        <v>33</v>
      </c>
      <c r="B13" s="7">
        <f t="shared" ref="B13:I13" si="8">SUMIFS($J$69:$J$752,$M$69:$M$752,"MC1",$B$69:$B$752,B12&amp;"-08-2019")</f>
        <v>0</v>
      </c>
      <c r="C13" s="7">
        <f t="shared" si="8"/>
        <v>0</v>
      </c>
      <c r="D13" s="7">
        <f t="shared" si="8"/>
        <v>0</v>
      </c>
      <c r="E13" s="7">
        <f t="shared" si="8"/>
        <v>0</v>
      </c>
      <c r="F13" s="7">
        <f t="shared" si="8"/>
        <v>0</v>
      </c>
      <c r="G13" s="7">
        <f t="shared" si="8"/>
        <v>0</v>
      </c>
      <c r="H13" s="7">
        <f t="shared" si="8"/>
        <v>0</v>
      </c>
      <c r="I13" s="7">
        <f t="shared" si="8"/>
        <v>0</v>
      </c>
      <c r="J13" s="12"/>
      <c r="K13" s="45">
        <f>SUM(B13:J13)</f>
        <v>0</v>
      </c>
      <c r="L13" s="718">
        <f>SUM(K13:K16)</f>
        <v>0</v>
      </c>
    </row>
    <row r="14" spans="1:14" ht="18.75" hidden="1" customHeight="1" x14ac:dyDescent="0.55000000000000004">
      <c r="A14" s="41" t="s">
        <v>34</v>
      </c>
      <c r="B14" s="7">
        <f t="shared" ref="B14:I14" si="9">SUMIFS($J$69:$J$752,$M$69:$M$752,"MC2",$B$69:$B$752,B12&amp;"-08-2019")</f>
        <v>0</v>
      </c>
      <c r="C14" s="7">
        <f t="shared" si="9"/>
        <v>0</v>
      </c>
      <c r="D14" s="7">
        <f t="shared" si="9"/>
        <v>0</v>
      </c>
      <c r="E14" s="7">
        <f t="shared" si="9"/>
        <v>0</v>
      </c>
      <c r="F14" s="7">
        <f t="shared" si="9"/>
        <v>0</v>
      </c>
      <c r="G14" s="7">
        <f t="shared" si="9"/>
        <v>0</v>
      </c>
      <c r="H14" s="7">
        <f t="shared" si="9"/>
        <v>0</v>
      </c>
      <c r="I14" s="7">
        <f t="shared" si="9"/>
        <v>0</v>
      </c>
      <c r="J14" s="12"/>
      <c r="K14" s="45">
        <f>SUM(B14:J14)</f>
        <v>0</v>
      </c>
      <c r="L14" s="719"/>
    </row>
    <row r="15" spans="1:14" ht="18.75" hidden="1" customHeight="1" x14ac:dyDescent="0.55000000000000004">
      <c r="A15" s="41" t="s">
        <v>35</v>
      </c>
      <c r="B15" s="7">
        <f t="shared" ref="B15:I15" si="10">SUMIFS($J$69:$J$752,$M$69:$M$752,"MC3",$B$69:$B$752,B12&amp;"-08-2019")</f>
        <v>0</v>
      </c>
      <c r="C15" s="7">
        <f t="shared" si="10"/>
        <v>0</v>
      </c>
      <c r="D15" s="7">
        <f t="shared" si="10"/>
        <v>0</v>
      </c>
      <c r="E15" s="7">
        <f t="shared" si="10"/>
        <v>0</v>
      </c>
      <c r="F15" s="7">
        <f t="shared" si="10"/>
        <v>0</v>
      </c>
      <c r="G15" s="7">
        <f t="shared" si="10"/>
        <v>0</v>
      </c>
      <c r="H15" s="7">
        <f t="shared" si="10"/>
        <v>0</v>
      </c>
      <c r="I15" s="7">
        <f t="shared" si="10"/>
        <v>0</v>
      </c>
      <c r="J15" s="12"/>
      <c r="K15" s="45">
        <f>SUM(B15:J15)</f>
        <v>0</v>
      </c>
      <c r="L15" s="719"/>
    </row>
    <row r="16" spans="1:14" ht="18.75" hidden="1" customHeight="1" x14ac:dyDescent="0.55000000000000004">
      <c r="A16" s="41" t="s">
        <v>36</v>
      </c>
      <c r="B16" s="7">
        <f t="shared" ref="B16:I16" si="11">SUMIFS($J$69:$J$752,$M$69:$M$752,"MC4",$B$69:$B$752,B12&amp;"-08-2019")</f>
        <v>0</v>
      </c>
      <c r="C16" s="7">
        <f t="shared" si="11"/>
        <v>0</v>
      </c>
      <c r="D16" s="7">
        <f t="shared" si="11"/>
        <v>0</v>
      </c>
      <c r="E16" s="7">
        <f t="shared" si="11"/>
        <v>0</v>
      </c>
      <c r="F16" s="7">
        <f t="shared" si="11"/>
        <v>0</v>
      </c>
      <c r="G16" s="7">
        <f t="shared" si="11"/>
        <v>0</v>
      </c>
      <c r="H16" s="7">
        <f t="shared" si="11"/>
        <v>0</v>
      </c>
      <c r="I16" s="7">
        <f t="shared" si="11"/>
        <v>0</v>
      </c>
      <c r="J16" s="12"/>
      <c r="K16" s="45">
        <f>SUM(B16:J16)</f>
        <v>0</v>
      </c>
      <c r="L16" s="720"/>
    </row>
    <row r="17" spans="1:16" ht="15.75" hidden="1" customHeight="1" x14ac:dyDescent="0.55000000000000004">
      <c r="A17" s="3" t="s">
        <v>32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46"/>
      <c r="I17" s="47"/>
      <c r="J17" s="12"/>
      <c r="K17" s="5" t="s">
        <v>7</v>
      </c>
      <c r="L17" s="267"/>
    </row>
    <row r="18" spans="1:16" ht="18.75" hidden="1" customHeight="1" x14ac:dyDescent="0.55000000000000004">
      <c r="A18" s="41" t="s">
        <v>33</v>
      </c>
      <c r="B18" s="7">
        <f t="shared" ref="B18:G18" si="12">SUMIFS($J$69:$J$752,$M$69:$M$752,"MC1",$B$69:$B$752,B17&amp;"-08-2019")</f>
        <v>0</v>
      </c>
      <c r="C18" s="7">
        <f t="shared" si="12"/>
        <v>0</v>
      </c>
      <c r="D18" s="7">
        <f t="shared" si="12"/>
        <v>0</v>
      </c>
      <c r="E18" s="7">
        <f t="shared" si="12"/>
        <v>0</v>
      </c>
      <c r="F18" s="7">
        <f t="shared" si="12"/>
        <v>0</v>
      </c>
      <c r="G18" s="7">
        <f t="shared" si="12"/>
        <v>0</v>
      </c>
      <c r="H18" s="25"/>
      <c r="I18" s="25"/>
      <c r="J18" s="12"/>
      <c r="K18" s="45">
        <f>SUM(B18:J18)</f>
        <v>0</v>
      </c>
      <c r="L18" s="718">
        <f>SUM(K18:K21)</f>
        <v>0</v>
      </c>
    </row>
    <row r="19" spans="1:16" ht="18.75" hidden="1" customHeight="1" x14ac:dyDescent="0.55000000000000004">
      <c r="A19" s="41" t="s">
        <v>34</v>
      </c>
      <c r="B19" s="7">
        <f t="shared" ref="B19:G19" si="13">SUMIFS($J$69:$J$752,$M$69:$M$752,"MC2",$B$69:$B$752,B17&amp;"-08-2019")</f>
        <v>0</v>
      </c>
      <c r="C19" s="7">
        <f t="shared" si="13"/>
        <v>0</v>
      </c>
      <c r="D19" s="7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25"/>
      <c r="I19" s="25"/>
      <c r="J19" s="14"/>
      <c r="K19" s="45">
        <f>SUM(B19:J19)</f>
        <v>0</v>
      </c>
      <c r="L19" s="719"/>
    </row>
    <row r="20" spans="1:16" ht="18.75" hidden="1" customHeight="1" x14ac:dyDescent="0.55000000000000004">
      <c r="A20" s="41" t="s">
        <v>35</v>
      </c>
      <c r="B20" s="7">
        <f t="shared" ref="B20:G20" si="14">SUMIFS($J$69:$J$752,$M$69:$M$752,"MC3",$B$69:$B$752,B17&amp;"-08-2019")</f>
        <v>0</v>
      </c>
      <c r="C20" s="7">
        <f t="shared" si="14"/>
        <v>0</v>
      </c>
      <c r="D20" s="7">
        <f t="shared" si="14"/>
        <v>0</v>
      </c>
      <c r="E20" s="7">
        <f t="shared" si="14"/>
        <v>0</v>
      </c>
      <c r="F20" s="7">
        <f t="shared" si="14"/>
        <v>0</v>
      </c>
      <c r="G20" s="7">
        <f t="shared" si="14"/>
        <v>0</v>
      </c>
      <c r="H20" s="25"/>
      <c r="I20" s="25"/>
      <c r="J20" s="12"/>
      <c r="K20" s="45">
        <f>SUM(B20:J20)</f>
        <v>0</v>
      </c>
      <c r="L20" s="719"/>
    </row>
    <row r="21" spans="1:16" ht="18.75" hidden="1" customHeight="1" x14ac:dyDescent="0.55000000000000004">
      <c r="A21" s="41" t="s">
        <v>36</v>
      </c>
      <c r="B21" s="7">
        <f t="shared" ref="B21:G21" si="15">SUMIFS($J$69:$J$752,$M$69:$M$752,"MC4",$B$69:$B$752,B17&amp;"-08-2019")</f>
        <v>0</v>
      </c>
      <c r="C21" s="7">
        <f t="shared" si="15"/>
        <v>0</v>
      </c>
      <c r="D21" s="7">
        <f t="shared" si="15"/>
        <v>0</v>
      </c>
      <c r="E21" s="7">
        <f t="shared" si="15"/>
        <v>0</v>
      </c>
      <c r="F21" s="7">
        <f t="shared" si="15"/>
        <v>0</v>
      </c>
      <c r="G21" s="7">
        <f t="shared" si="15"/>
        <v>0</v>
      </c>
      <c r="H21" s="25"/>
      <c r="I21" s="25"/>
      <c r="J21" s="14"/>
      <c r="K21" s="45">
        <f>SUM(B21:J21)</f>
        <v>0</v>
      </c>
      <c r="L21" s="720"/>
    </row>
    <row r="22" spans="1:16" ht="18.75" customHeight="1" x14ac:dyDescent="0.55000000000000004">
      <c r="A22" s="48"/>
      <c r="B22" s="49"/>
      <c r="C22" s="49"/>
      <c r="D22" s="49"/>
      <c r="E22" s="49"/>
      <c r="F22" s="49"/>
      <c r="G22" s="49"/>
      <c r="H22" s="50"/>
      <c r="I22" s="50"/>
      <c r="J22" s="17"/>
      <c r="K22" s="51"/>
      <c r="L22" s="269"/>
      <c r="O22" s="743" t="s">
        <v>114</v>
      </c>
      <c r="P22" s="743"/>
    </row>
    <row r="23" spans="1:16" s="2" customFormat="1" ht="15.75" customHeight="1" x14ac:dyDescent="0.55000000000000004">
      <c r="A23" s="144" t="s">
        <v>0</v>
      </c>
      <c r="B23" s="145">
        <v>1</v>
      </c>
      <c r="C23" s="146">
        <v>2</v>
      </c>
      <c r="D23" s="145">
        <v>3</v>
      </c>
      <c r="E23" s="146">
        <v>4</v>
      </c>
      <c r="F23" s="147">
        <v>5</v>
      </c>
      <c r="G23" s="146">
        <v>6</v>
      </c>
      <c r="H23" s="145">
        <v>7</v>
      </c>
      <c r="I23" s="148"/>
      <c r="J23" s="149"/>
      <c r="K23" s="150" t="s">
        <v>1</v>
      </c>
      <c r="L23" s="721" t="s">
        <v>37</v>
      </c>
      <c r="M23" s="722"/>
      <c r="N23" s="723"/>
      <c r="O23" s="141" t="s">
        <v>113</v>
      </c>
      <c r="P23" s="68" t="s">
        <v>53</v>
      </c>
    </row>
    <row r="24" spans="1:16" s="2" customFormat="1" ht="15.75" customHeight="1" x14ac:dyDescent="0.55000000000000004">
      <c r="A24" s="6" t="s">
        <v>3</v>
      </c>
      <c r="B24" s="7">
        <f>SUMIFS($J$69:$J$4681,$B$69:$B$4681,B23&amp;"-02-2023",$D$69:$D$4681,$A$24,$K$69:$K$4681,"I")</f>
        <v>0</v>
      </c>
      <c r="C24" s="7">
        <f t="shared" ref="C24:I24" si="16">SUMIFS($J$69:$J$4681,$B$69:$B$4681,C23&amp;"-02-2023",$D$69:$D$4681,$A$24,$K$69:$K$4681,"I")</f>
        <v>0</v>
      </c>
      <c r="D24" s="7">
        <f t="shared" si="16"/>
        <v>0</v>
      </c>
      <c r="E24" s="7">
        <f t="shared" si="16"/>
        <v>0</v>
      </c>
      <c r="F24" s="7">
        <f t="shared" si="16"/>
        <v>0</v>
      </c>
      <c r="G24" s="7">
        <f t="shared" si="16"/>
        <v>0</v>
      </c>
      <c r="H24" s="7">
        <f t="shared" si="16"/>
        <v>0</v>
      </c>
      <c r="I24" s="7">
        <f t="shared" si="16"/>
        <v>0</v>
      </c>
      <c r="J24" s="383"/>
      <c r="K24" s="8">
        <f>SUM(B24:I24)</f>
        <v>0</v>
      </c>
      <c r="L24" s="724"/>
      <c r="M24" s="725"/>
      <c r="N24" s="726"/>
      <c r="O24" s="655">
        <f>K24+K29+K34+K39</f>
        <v>0</v>
      </c>
      <c r="P24" s="656" t="s">
        <v>3</v>
      </c>
    </row>
    <row r="25" spans="1:16" s="2" customFormat="1" ht="15.75" customHeight="1" x14ac:dyDescent="0.55000000000000004">
      <c r="A25" s="6" t="s">
        <v>4</v>
      </c>
      <c r="B25" s="7">
        <f>SUMIFS($J$69:$J$4681,$B$69:$B$4681,B23&amp;"-02-2023",$D$69:$D$4681,$A$25,$K$69:$K$4681,"I")</f>
        <v>0</v>
      </c>
      <c r="C25" s="7">
        <f t="shared" ref="C25:I25" si="17">SUMIFS($J$69:$J$4681,$B$69:$B$4681,C23&amp;"-02-2023",$D$69:$D$4681,$A$25,$K$69:$K$4681,"I")</f>
        <v>0</v>
      </c>
      <c r="D25" s="7">
        <f t="shared" si="17"/>
        <v>0</v>
      </c>
      <c r="E25" s="7">
        <f t="shared" si="17"/>
        <v>0</v>
      </c>
      <c r="F25" s="7">
        <f t="shared" si="17"/>
        <v>0</v>
      </c>
      <c r="G25" s="7">
        <f t="shared" si="17"/>
        <v>0</v>
      </c>
      <c r="H25" s="7">
        <f t="shared" si="17"/>
        <v>0</v>
      </c>
      <c r="I25" s="7">
        <f t="shared" si="17"/>
        <v>0</v>
      </c>
      <c r="J25" s="383"/>
      <c r="K25" s="8">
        <f>SUM(B25:I25)</f>
        <v>0</v>
      </c>
      <c r="L25" s="727"/>
      <c r="M25" s="728"/>
      <c r="N25" s="729"/>
      <c r="O25" s="745">
        <f>K25+K30+K35+K40</f>
        <v>0</v>
      </c>
      <c r="P25" s="748" t="s">
        <v>4</v>
      </c>
    </row>
    <row r="26" spans="1:16" s="2" customFormat="1" ht="20.25" x14ac:dyDescent="0.55000000000000004">
      <c r="A26" s="6" t="s">
        <v>15</v>
      </c>
      <c r="B26" s="7">
        <f>SUMIFS($J$69:$J$4681,$B$69:$B$4681,B23&amp;"-02-2023",$D$69:$D$4681,$A$26,$K$69:$K$4681,"I")</f>
        <v>0</v>
      </c>
      <c r="C26" s="7">
        <f t="shared" ref="C26:I26" si="18">SUMIFS($J$69:$J$4681,$B$69:$B$4681,C23&amp;"-02-2023",$D$69:$D$4681,$A$26,$K$69:$K$4681,"I")</f>
        <v>0</v>
      </c>
      <c r="D26" s="7">
        <f t="shared" si="18"/>
        <v>0</v>
      </c>
      <c r="E26" s="7">
        <f t="shared" si="18"/>
        <v>0</v>
      </c>
      <c r="F26" s="7">
        <f t="shared" si="18"/>
        <v>0</v>
      </c>
      <c r="G26" s="7">
        <f t="shared" si="18"/>
        <v>0</v>
      </c>
      <c r="H26" s="7">
        <f t="shared" si="18"/>
        <v>0</v>
      </c>
      <c r="I26" s="7">
        <f t="shared" si="18"/>
        <v>0</v>
      </c>
      <c r="J26" s="383"/>
      <c r="K26" s="8">
        <f>SUM(B26:I26)</f>
        <v>0</v>
      </c>
      <c r="L26" s="381"/>
      <c r="M26" s="382"/>
      <c r="N26" s="430"/>
      <c r="O26" s="746"/>
      <c r="P26" s="749"/>
    </row>
    <row r="27" spans="1:16" s="2" customFormat="1" ht="20.25" x14ac:dyDescent="0.55000000000000004">
      <c r="A27" s="638" t="s">
        <v>165</v>
      </c>
      <c r="B27" s="633">
        <f>SUMIFS($J$69:$J$4681,$B$69:$B$4681,B23&amp;"-02-2023",$D$69:$D$4681,$A$27,$K$69:$K$4681,"I")</f>
        <v>0</v>
      </c>
      <c r="C27" s="633">
        <f t="shared" ref="C27:I27" si="19">SUMIFS($J$69:$J$4681,$B$69:$B$4681,C23&amp;"-02-2023",$D$69:$D$4681,$A$27,$K$69:$K$4681,"I")</f>
        <v>0</v>
      </c>
      <c r="D27" s="633">
        <f t="shared" si="19"/>
        <v>1.53</v>
      </c>
      <c r="E27" s="633">
        <f t="shared" si="19"/>
        <v>1.35</v>
      </c>
      <c r="F27" s="633">
        <f t="shared" si="19"/>
        <v>0</v>
      </c>
      <c r="G27" s="633">
        <f t="shared" si="19"/>
        <v>0</v>
      </c>
      <c r="H27" s="633">
        <f t="shared" si="19"/>
        <v>1.38</v>
      </c>
      <c r="I27" s="633">
        <f t="shared" si="19"/>
        <v>0</v>
      </c>
      <c r="J27" s="383"/>
      <c r="K27" s="634">
        <f>SUM(B27:I27)</f>
        <v>4.26</v>
      </c>
      <c r="L27" s="381"/>
      <c r="M27" s="382"/>
      <c r="N27" s="430"/>
      <c r="O27" s="655">
        <f>M34</f>
        <v>0</v>
      </c>
      <c r="P27" s="656" t="s">
        <v>15</v>
      </c>
    </row>
    <row r="28" spans="1:16" s="2" customFormat="1" ht="15.75" customHeight="1" x14ac:dyDescent="0.55000000000000004">
      <c r="A28" s="144" t="s">
        <v>0</v>
      </c>
      <c r="B28" s="145">
        <v>8</v>
      </c>
      <c r="C28" s="147">
        <v>9</v>
      </c>
      <c r="D28" s="145">
        <v>10</v>
      </c>
      <c r="E28" s="147">
        <v>11</v>
      </c>
      <c r="F28" s="145">
        <v>12</v>
      </c>
      <c r="G28" s="147">
        <v>13</v>
      </c>
      <c r="H28" s="145">
        <v>14</v>
      </c>
      <c r="I28" s="147">
        <v>15</v>
      </c>
      <c r="J28" s="151"/>
      <c r="K28" s="152" t="s">
        <v>5</v>
      </c>
      <c r="L28" s="717" t="s">
        <v>3</v>
      </c>
      <c r="M28" s="687">
        <f>K24+K29+K34+K39</f>
        <v>0</v>
      </c>
      <c r="N28" s="689"/>
      <c r="O28" s="660">
        <f>M36</f>
        <v>4.26</v>
      </c>
      <c r="P28" s="661" t="s">
        <v>165</v>
      </c>
    </row>
    <row r="29" spans="1:16" s="2" customFormat="1" ht="19.5" customHeight="1" x14ac:dyDescent="0.55000000000000004">
      <c r="A29" s="6" t="s">
        <v>3</v>
      </c>
      <c r="B29" s="7">
        <f>SUMIFS($J$69:$J$4681,$B$69:$B$4681,B28&amp;"-02-2023",$D$69:$D$4681,$A$29,$K$69:$K$4681,"I")</f>
        <v>0</v>
      </c>
      <c r="C29" s="7">
        <f t="shared" ref="C29:I29" si="20">SUMIFS($J$69:$J$4681,$B$69:$B$4681,C28&amp;"-02-2023",$D$69:$D$4681,$A$29,$K$69:$K$4681,"I")</f>
        <v>0</v>
      </c>
      <c r="D29" s="7">
        <f t="shared" si="20"/>
        <v>0</v>
      </c>
      <c r="E29" s="7">
        <f t="shared" si="20"/>
        <v>0</v>
      </c>
      <c r="F29" s="7">
        <f t="shared" si="20"/>
        <v>0</v>
      </c>
      <c r="G29" s="7">
        <f t="shared" si="20"/>
        <v>0</v>
      </c>
      <c r="H29" s="7">
        <f t="shared" si="20"/>
        <v>0</v>
      </c>
      <c r="I29" s="7">
        <f t="shared" si="20"/>
        <v>0</v>
      </c>
      <c r="J29" s="380"/>
      <c r="K29" s="8">
        <f>SUM(B29:I29)</f>
        <v>0</v>
      </c>
      <c r="L29" s="717"/>
      <c r="M29" s="693"/>
      <c r="N29" s="695"/>
      <c r="O29" s="657">
        <f>SUM(O24:O28)</f>
        <v>4.26</v>
      </c>
      <c r="P29" s="659" t="s">
        <v>518</v>
      </c>
    </row>
    <row r="30" spans="1:16" s="2" customFormat="1" ht="18.75" customHeight="1" x14ac:dyDescent="0.55000000000000004">
      <c r="A30" s="6" t="s">
        <v>4</v>
      </c>
      <c r="B30" s="7">
        <f>SUMIFS($J$69:$J$4681,$B$69:$B$4681,B28&amp;"-02-2023",$D$69:$D$4681,$A$30,$K$69:$K$4681,"I")</f>
        <v>0</v>
      </c>
      <c r="C30" s="7">
        <f t="shared" ref="C30:I30" si="21">SUMIFS($J$69:$J$4681,$B$69:$B$4681,C28&amp;"-02-2023",$D$69:$D$4681,$A$30,$K$69:$K$4681,"I")</f>
        <v>0</v>
      </c>
      <c r="D30" s="7">
        <f t="shared" si="21"/>
        <v>0</v>
      </c>
      <c r="E30" s="7">
        <f t="shared" si="21"/>
        <v>0</v>
      </c>
      <c r="F30" s="7">
        <f t="shared" si="21"/>
        <v>0</v>
      </c>
      <c r="G30" s="7">
        <f t="shared" si="21"/>
        <v>0</v>
      </c>
      <c r="H30" s="7">
        <f t="shared" si="21"/>
        <v>0</v>
      </c>
      <c r="I30" s="7">
        <f t="shared" si="21"/>
        <v>0</v>
      </c>
      <c r="J30" s="380"/>
      <c r="K30" s="8">
        <f>SUM(B30:I30)</f>
        <v>0</v>
      </c>
      <c r="L30" s="717" t="s">
        <v>4</v>
      </c>
      <c r="M30" s="707">
        <f>K25+K30+K35+K40</f>
        <v>0</v>
      </c>
      <c r="N30" s="707"/>
      <c r="O30" s="655">
        <f>SUM(K48,K53,K58,K63)</f>
        <v>0</v>
      </c>
      <c r="P30" s="656" t="s">
        <v>3</v>
      </c>
    </row>
    <row r="31" spans="1:16" s="2" customFormat="1" ht="18.75" customHeight="1" x14ac:dyDescent="0.55000000000000004">
      <c r="A31" s="6" t="s">
        <v>15</v>
      </c>
      <c r="B31" s="7">
        <f>SUMIFS($J$69:$J$4681,$B$69:$B$4681,B28&amp;"-02-2023",$D$69:$D$4681,$A$31,$K$69:$K$4681,"I")</f>
        <v>0</v>
      </c>
      <c r="C31" s="7">
        <f t="shared" ref="C31:I31" si="22">SUMIFS($J$69:$J$4681,$B$69:$B$4681,C28&amp;"-02-2023",$D$69:$D$4681,$A$31,$K$69:$K$4681,"I")</f>
        <v>0</v>
      </c>
      <c r="D31" s="7">
        <f t="shared" si="22"/>
        <v>0</v>
      </c>
      <c r="E31" s="7">
        <f t="shared" si="22"/>
        <v>0</v>
      </c>
      <c r="F31" s="7">
        <f t="shared" si="22"/>
        <v>0</v>
      </c>
      <c r="G31" s="7">
        <f t="shared" si="22"/>
        <v>0</v>
      </c>
      <c r="H31" s="7">
        <f t="shared" si="22"/>
        <v>0</v>
      </c>
      <c r="I31" s="7">
        <f t="shared" si="22"/>
        <v>0</v>
      </c>
      <c r="J31" s="380"/>
      <c r="K31" s="8">
        <f>SUM(B31:I31)</f>
        <v>0</v>
      </c>
      <c r="L31" s="717"/>
      <c r="M31" s="707"/>
      <c r="N31" s="707"/>
      <c r="O31" s="655">
        <f>M53</f>
        <v>0</v>
      </c>
      <c r="P31" s="656" t="s">
        <v>4</v>
      </c>
    </row>
    <row r="32" spans="1:16" s="2" customFormat="1" ht="18.75" customHeight="1" x14ac:dyDescent="0.55000000000000004">
      <c r="A32" s="638" t="s">
        <v>165</v>
      </c>
      <c r="B32" s="633">
        <f>SUMIFS($J$69:$J$4681,$B$69:$B$4681,B28&amp;"-02-2023",$D$69:$D$4681,$A$32,$K$69:$K$4681,"I")</f>
        <v>0</v>
      </c>
      <c r="C32" s="633">
        <f t="shared" ref="C32:I32" si="23">SUMIFS($J$69:$J$4681,$B$69:$B$4681,C28&amp;"-02-2023",$D$69:$D$4681,$A$32,$K$69:$K$4681,"I")</f>
        <v>0</v>
      </c>
      <c r="D32" s="633">
        <f t="shared" si="23"/>
        <v>0</v>
      </c>
      <c r="E32" s="633">
        <f t="shared" si="23"/>
        <v>0</v>
      </c>
      <c r="F32" s="633">
        <f t="shared" si="23"/>
        <v>0</v>
      </c>
      <c r="G32" s="633">
        <f t="shared" si="23"/>
        <v>0</v>
      </c>
      <c r="H32" s="633">
        <f t="shared" si="23"/>
        <v>0</v>
      </c>
      <c r="I32" s="633">
        <f t="shared" si="23"/>
        <v>0</v>
      </c>
      <c r="J32" s="380"/>
      <c r="K32" s="634">
        <f>SUM(B32:I32)</f>
        <v>0</v>
      </c>
      <c r="L32" s="717"/>
      <c r="M32" s="707"/>
      <c r="N32" s="707"/>
      <c r="O32" s="745">
        <f>M58</f>
        <v>0</v>
      </c>
      <c r="P32" s="748" t="s">
        <v>15</v>
      </c>
    </row>
    <row r="33" spans="1:16" s="2" customFormat="1" ht="15.75" customHeight="1" x14ac:dyDescent="0.55000000000000004">
      <c r="A33" s="144" t="s">
        <v>0</v>
      </c>
      <c r="B33" s="145">
        <v>16</v>
      </c>
      <c r="C33" s="145">
        <v>17</v>
      </c>
      <c r="D33" s="145">
        <v>18</v>
      </c>
      <c r="E33" s="145">
        <v>19</v>
      </c>
      <c r="F33" s="145">
        <v>20</v>
      </c>
      <c r="G33" s="145">
        <v>21</v>
      </c>
      <c r="H33" s="145">
        <v>22</v>
      </c>
      <c r="I33" s="145">
        <v>23</v>
      </c>
      <c r="J33" s="153"/>
      <c r="K33" s="97" t="s">
        <v>6</v>
      </c>
      <c r="L33" s="717"/>
      <c r="M33" s="707"/>
      <c r="N33" s="707"/>
      <c r="O33" s="746"/>
      <c r="P33" s="749"/>
    </row>
    <row r="34" spans="1:16" s="2" customFormat="1" ht="18.75" customHeight="1" x14ac:dyDescent="0.55000000000000004">
      <c r="A34" s="6" t="s">
        <v>3</v>
      </c>
      <c r="B34" s="7">
        <f>SUMIFS($J$69:$J$4681,$B$69:$B$4681,B33&amp;"-0122023",$D$69:$D$4681,$A$34,$K$69:$K$4681,"I")</f>
        <v>0</v>
      </c>
      <c r="C34" s="7">
        <f t="shared" ref="C34:I34" si="24">SUMIFS($J$69:$J$4681,$B$69:$B$4681,C33&amp;"-0122023",$D$69:$D$4681,$A$34,$K$69:$K$4681,"I")</f>
        <v>0</v>
      </c>
      <c r="D34" s="7">
        <f t="shared" si="24"/>
        <v>0</v>
      </c>
      <c r="E34" s="7">
        <f t="shared" si="24"/>
        <v>0</v>
      </c>
      <c r="F34" s="7">
        <f t="shared" si="24"/>
        <v>0</v>
      </c>
      <c r="G34" s="7">
        <f t="shared" si="24"/>
        <v>0</v>
      </c>
      <c r="H34" s="7">
        <f t="shared" si="24"/>
        <v>0</v>
      </c>
      <c r="I34" s="7">
        <f t="shared" si="24"/>
        <v>0</v>
      </c>
      <c r="J34" s="12"/>
      <c r="K34" s="8">
        <f>SUM(B34:I34)</f>
        <v>0</v>
      </c>
      <c r="L34" s="730" t="s">
        <v>15</v>
      </c>
      <c r="M34" s="732">
        <f>K26+K31+K36+K41</f>
        <v>0</v>
      </c>
      <c r="N34" s="733"/>
      <c r="O34" s="660">
        <f>M60</f>
        <v>4.26</v>
      </c>
      <c r="P34" s="661" t="s">
        <v>165</v>
      </c>
    </row>
    <row r="35" spans="1:16" s="2" customFormat="1" ht="18.75" customHeight="1" x14ac:dyDescent="0.55000000000000004">
      <c r="A35" s="6" t="s">
        <v>4</v>
      </c>
      <c r="B35" s="7">
        <f>SUMIFS($J$69:$J$4681,$B$69:$B$4681,B33&amp;"-02-2023",$D$69:$D$4681,$A$35,$K$69:$K$4681,"I")</f>
        <v>0</v>
      </c>
      <c r="C35" s="7">
        <f t="shared" ref="C35:I35" si="25">SUMIFS($J$69:$J$4681,$B$69:$B$4681,C33&amp;"-02-2023",$D$69:$D$4681,$A$35,$K$69:$K$4681,"I")</f>
        <v>0</v>
      </c>
      <c r="D35" s="7">
        <f t="shared" si="25"/>
        <v>0</v>
      </c>
      <c r="E35" s="7">
        <f t="shared" si="25"/>
        <v>0</v>
      </c>
      <c r="F35" s="7">
        <f t="shared" si="25"/>
        <v>0</v>
      </c>
      <c r="G35" s="7">
        <f t="shared" si="25"/>
        <v>0</v>
      </c>
      <c r="H35" s="7">
        <f t="shared" si="25"/>
        <v>0</v>
      </c>
      <c r="I35" s="7">
        <f t="shared" si="25"/>
        <v>0</v>
      </c>
      <c r="J35" s="12"/>
      <c r="K35" s="8">
        <f>SUM(B35:I35)</f>
        <v>0</v>
      </c>
      <c r="L35" s="731"/>
      <c r="M35" s="734"/>
      <c r="N35" s="735"/>
      <c r="O35" s="657">
        <f>SUM(O30:O34)</f>
        <v>4.26</v>
      </c>
      <c r="P35" s="658" t="s">
        <v>518</v>
      </c>
    </row>
    <row r="36" spans="1:16" s="2" customFormat="1" ht="18.75" customHeight="1" x14ac:dyDescent="0.55000000000000004">
      <c r="A36" s="6" t="s">
        <v>15</v>
      </c>
      <c r="B36" s="7">
        <f>SUMIFS($J$69:$J$4681,$B$69:$B$4681,B33&amp;"-02-2023",$D$69:$D$4681,$A$36,$K$69:$K$4681,"I")</f>
        <v>0</v>
      </c>
      <c r="C36" s="7">
        <f t="shared" ref="C36:I36" si="26">SUMIFS($J$69:$J$4681,$B$69:$B$4681,C33&amp;"-02-2023",$D$69:$D$4681,$A$36,$K$69:$K$4681,"I")</f>
        <v>0</v>
      </c>
      <c r="D36" s="7">
        <f t="shared" si="26"/>
        <v>0</v>
      </c>
      <c r="E36" s="7">
        <f t="shared" si="26"/>
        <v>0</v>
      </c>
      <c r="F36" s="7">
        <f t="shared" si="26"/>
        <v>0</v>
      </c>
      <c r="G36" s="7">
        <f t="shared" si="26"/>
        <v>0</v>
      </c>
      <c r="H36" s="7">
        <f t="shared" si="26"/>
        <v>0</v>
      </c>
      <c r="I36" s="7">
        <f t="shared" si="26"/>
        <v>0</v>
      </c>
      <c r="J36" s="12"/>
      <c r="K36" s="8">
        <f>SUM(B36:I36)</f>
        <v>0</v>
      </c>
      <c r="L36" s="736" t="s">
        <v>165</v>
      </c>
      <c r="M36" s="732">
        <f>K37+K42+K32+K27</f>
        <v>4.26</v>
      </c>
      <c r="N36" s="733"/>
      <c r="O36" s="744" t="s">
        <v>115</v>
      </c>
      <c r="P36" s="744"/>
    </row>
    <row r="37" spans="1:16" s="2" customFormat="1" ht="18.75" customHeight="1" x14ac:dyDescent="0.55000000000000004">
      <c r="A37" s="638" t="s">
        <v>165</v>
      </c>
      <c r="B37" s="633">
        <f>SUMIFS($J$69:$J$4681,$B$69:$B$4681,B33&amp;"-02-2023",$D$69:$D$4681,$A$37,$K$69:$K$4681,"I")</f>
        <v>0</v>
      </c>
      <c r="C37" s="633">
        <f t="shared" ref="C37:I37" si="27">SUMIFS($J$69:$J$4681,$B$69:$B$4681,C33&amp;"-02-2023",$D$69:$D$4681,$A$37,$K$69:$K$4681,"I")</f>
        <v>0</v>
      </c>
      <c r="D37" s="633">
        <f t="shared" si="27"/>
        <v>0</v>
      </c>
      <c r="E37" s="633">
        <f t="shared" si="27"/>
        <v>0</v>
      </c>
      <c r="F37" s="633">
        <f t="shared" si="27"/>
        <v>0</v>
      </c>
      <c r="G37" s="633">
        <f t="shared" si="27"/>
        <v>0</v>
      </c>
      <c r="H37" s="633">
        <f t="shared" si="27"/>
        <v>0</v>
      </c>
      <c r="I37" s="633">
        <f t="shared" si="27"/>
        <v>0</v>
      </c>
      <c r="J37" s="12"/>
      <c r="K37" s="634">
        <f>SUM(B37:I37)</f>
        <v>0</v>
      </c>
      <c r="L37" s="731"/>
      <c r="M37" s="734"/>
      <c r="N37" s="735"/>
    </row>
    <row r="38" spans="1:16" s="2" customFormat="1" ht="15.75" customHeight="1" x14ac:dyDescent="0.55000000000000004">
      <c r="A38" s="144" t="s">
        <v>0</v>
      </c>
      <c r="B38" s="145">
        <v>24</v>
      </c>
      <c r="C38" s="145">
        <v>25</v>
      </c>
      <c r="D38" s="145">
        <v>26</v>
      </c>
      <c r="E38" s="145">
        <v>27</v>
      </c>
      <c r="F38" s="145">
        <v>28</v>
      </c>
      <c r="G38" s="145">
        <v>29</v>
      </c>
      <c r="H38" s="145">
        <v>30</v>
      </c>
      <c r="I38" s="94">
        <v>31</v>
      </c>
      <c r="J38" s="153"/>
      <c r="K38" s="148" t="s">
        <v>7</v>
      </c>
      <c r="L38" s="693" t="s">
        <v>38</v>
      </c>
      <c r="M38" s="694"/>
      <c r="N38" s="695"/>
    </row>
    <row r="39" spans="1:16" s="2" customFormat="1" ht="18.75" customHeight="1" x14ac:dyDescent="0.55000000000000004">
      <c r="A39" s="6" t="s">
        <v>3</v>
      </c>
      <c r="B39" s="7">
        <f>SUMIFS($J$69:$J$4681,$B$69:$B$4681,B38&amp;"-02-2023",$D$69:$D$4681,$A$39,$K$69:$K$4681,"I")</f>
        <v>0</v>
      </c>
      <c r="C39" s="7">
        <f t="shared" ref="C39:I39" si="28">SUMIFS($J$69:$J$4681,$B$69:$B$4681,C38&amp;"-02-2023",$D$69:$D$4681,$A$39,$K$69:$K$4681,"I")</f>
        <v>0</v>
      </c>
      <c r="D39" s="7">
        <f t="shared" si="28"/>
        <v>0</v>
      </c>
      <c r="E39" s="7">
        <f t="shared" si="28"/>
        <v>0</v>
      </c>
      <c r="F39" s="7">
        <f t="shared" si="28"/>
        <v>0</v>
      </c>
      <c r="G39" s="7">
        <f t="shared" si="28"/>
        <v>0</v>
      </c>
      <c r="H39" s="7">
        <f t="shared" si="28"/>
        <v>0</v>
      </c>
      <c r="I39" s="7">
        <f t="shared" si="28"/>
        <v>0</v>
      </c>
      <c r="J39" s="12"/>
      <c r="K39" s="8">
        <f>SUM(B39:I39)</f>
        <v>0</v>
      </c>
      <c r="L39" s="687">
        <f>M28+M30+M34+M36</f>
        <v>4.26</v>
      </c>
      <c r="M39" s="688"/>
      <c r="N39" s="689"/>
    </row>
    <row r="40" spans="1:16" s="2" customFormat="1" ht="18.75" customHeight="1" x14ac:dyDescent="0.55000000000000004">
      <c r="A40" s="6" t="s">
        <v>4</v>
      </c>
      <c r="B40" s="7">
        <f>SUMIFS($J$69:$J$4681,$B$69:$B$4681,B38&amp;"-02-2023",$D$69:$D$4681,$A$40,$K$69:$K$4681,"I")</f>
        <v>0</v>
      </c>
      <c r="C40" s="7">
        <f t="shared" ref="C40:I40" si="29">SUMIFS($J$69:$J$4681,$B$69:$B$4681,C38&amp;"-02-2023",$D$69:$D$4681,$A$40,$K$69:$K$4681,"I")</f>
        <v>0</v>
      </c>
      <c r="D40" s="7">
        <f t="shared" si="29"/>
        <v>0</v>
      </c>
      <c r="E40" s="7">
        <f t="shared" si="29"/>
        <v>0</v>
      </c>
      <c r="F40" s="7">
        <f t="shared" si="29"/>
        <v>0</v>
      </c>
      <c r="G40" s="7">
        <f t="shared" si="29"/>
        <v>0</v>
      </c>
      <c r="H40" s="7">
        <f t="shared" si="29"/>
        <v>0</v>
      </c>
      <c r="I40" s="7">
        <f t="shared" si="29"/>
        <v>0</v>
      </c>
      <c r="J40" s="14"/>
      <c r="K40" s="8">
        <f>SUM(B40:I40)</f>
        <v>0</v>
      </c>
      <c r="L40" s="690"/>
      <c r="M40" s="691"/>
      <c r="N40" s="692"/>
    </row>
    <row r="41" spans="1:16" s="2" customFormat="1" ht="18.75" customHeight="1" x14ac:dyDescent="0.55000000000000004">
      <c r="A41" s="6" t="s">
        <v>15</v>
      </c>
      <c r="B41" s="7">
        <f>SUMIFS($J$69:$J$4681,$B$69:$B$4681,B38&amp;"-02-2023",$D$69:$D$4681,$A$41,$K$69:$K$4681,"I")</f>
        <v>0</v>
      </c>
      <c r="C41" s="7">
        <f t="shared" ref="C41:I41" si="30">SUMIFS($J$69:$J$4681,$B$69:$B$4681,C38&amp;"-02-2023",$D$69:$D$4681,$A$41,$K$69:$K$4681,"I")</f>
        <v>0</v>
      </c>
      <c r="D41" s="7">
        <f t="shared" si="30"/>
        <v>0</v>
      </c>
      <c r="E41" s="7">
        <f t="shared" si="30"/>
        <v>0</v>
      </c>
      <c r="F41" s="7">
        <f t="shared" si="30"/>
        <v>0</v>
      </c>
      <c r="G41" s="7">
        <f t="shared" si="30"/>
        <v>0</v>
      </c>
      <c r="H41" s="7">
        <f t="shared" si="30"/>
        <v>0</v>
      </c>
      <c r="I41" s="7">
        <f t="shared" si="30"/>
        <v>0</v>
      </c>
      <c r="J41" s="14"/>
      <c r="K41" s="8">
        <f>SUM(B41:I41)</f>
        <v>0</v>
      </c>
      <c r="L41" s="690"/>
      <c r="M41" s="691"/>
      <c r="N41" s="692"/>
    </row>
    <row r="42" spans="1:16" s="2" customFormat="1" ht="18.75" customHeight="1" x14ac:dyDescent="0.55000000000000004">
      <c r="A42" s="638" t="s">
        <v>165</v>
      </c>
      <c r="B42" s="633">
        <f>SUMIFS($J$69:$J$4681,$B$69:$B$4681,B38&amp;"-02-2023",$D$69:$D$4681,$A$42,$K$69:$K$4681,"I")</f>
        <v>0</v>
      </c>
      <c r="C42" s="633">
        <f t="shared" ref="C42:I42" si="31">SUMIFS($J$69:$J$4681,$B$69:$B$4681,C38&amp;"-02-2023",$D$69:$D$4681,$A$42,$K$69:$K$4681,"I")</f>
        <v>0</v>
      </c>
      <c r="D42" s="633">
        <f t="shared" si="31"/>
        <v>0</v>
      </c>
      <c r="E42" s="633">
        <f t="shared" si="31"/>
        <v>0</v>
      </c>
      <c r="F42" s="633">
        <f t="shared" si="31"/>
        <v>0</v>
      </c>
      <c r="G42" s="633">
        <f t="shared" si="31"/>
        <v>0</v>
      </c>
      <c r="H42" s="633">
        <f t="shared" si="31"/>
        <v>0</v>
      </c>
      <c r="I42" s="633">
        <f t="shared" si="31"/>
        <v>0</v>
      </c>
      <c r="J42" s="14"/>
      <c r="K42" s="634">
        <f>SUM(B42:I42)</f>
        <v>0</v>
      </c>
      <c r="L42" s="693"/>
      <c r="M42" s="694"/>
      <c r="N42" s="695"/>
    </row>
    <row r="43" spans="1:16" s="2" customFormat="1" ht="18.75" customHeight="1" x14ac:dyDescent="0.55000000000000004">
      <c r="A43" s="15"/>
      <c r="B43" s="706" t="s">
        <v>8</v>
      </c>
      <c r="C43" s="706"/>
      <c r="D43" s="706"/>
      <c r="E43" s="16"/>
      <c r="F43" s="16"/>
      <c r="G43" s="16"/>
      <c r="H43" s="16"/>
      <c r="I43" s="16"/>
      <c r="J43" s="17"/>
      <c r="K43" s="15"/>
      <c r="L43" s="706" t="s">
        <v>119</v>
      </c>
      <c r="M43" s="706"/>
      <c r="N43" s="706"/>
    </row>
    <row r="44" spans="1:16" s="2" customFormat="1" ht="18.75" customHeight="1" x14ac:dyDescent="0.55000000000000004">
      <c r="A44" s="15" t="s">
        <v>3</v>
      </c>
      <c r="B44" s="707">
        <v>0</v>
      </c>
      <c r="C44" s="707"/>
      <c r="D44" s="707"/>
      <c r="E44" s="16"/>
      <c r="F44" s="16"/>
      <c r="G44" s="16"/>
      <c r="H44" s="16"/>
      <c r="I44" s="16"/>
      <c r="J44" s="17"/>
      <c r="K44" s="15" t="s">
        <v>3</v>
      </c>
      <c r="L44" s="747">
        <f>B44+M28-M52</f>
        <v>0</v>
      </c>
      <c r="M44" s="715"/>
      <c r="N44" s="716"/>
    </row>
    <row r="45" spans="1:16" s="2" customFormat="1" ht="18.75" customHeight="1" x14ac:dyDescent="0.55000000000000004">
      <c r="A45" s="15" t="s">
        <v>4</v>
      </c>
      <c r="B45" s="707">
        <v>0</v>
      </c>
      <c r="C45" s="707"/>
      <c r="D45" s="707"/>
      <c r="E45" s="16"/>
      <c r="F45" s="16"/>
      <c r="G45" s="16"/>
      <c r="H45" s="16"/>
      <c r="I45" s="16"/>
      <c r="J45" s="17"/>
      <c r="K45" s="15" t="s">
        <v>4</v>
      </c>
      <c r="L45" s="707">
        <f>B45+M30-M54</f>
        <v>0</v>
      </c>
      <c r="M45" s="707"/>
      <c r="N45" s="707"/>
    </row>
    <row r="46" spans="1:16" s="2" customFormat="1" ht="18.75" customHeight="1" x14ac:dyDescent="0.55000000000000004">
      <c r="A46" s="18"/>
      <c r="B46" s="16"/>
      <c r="C46" s="16"/>
      <c r="D46" s="16"/>
      <c r="E46" s="16"/>
      <c r="F46" s="16"/>
      <c r="G46" s="16"/>
      <c r="H46" s="16"/>
      <c r="I46" s="16"/>
      <c r="J46" s="19"/>
      <c r="K46" s="20"/>
      <c r="L46" s="270"/>
      <c r="M46" s="264"/>
      <c r="N46" s="21"/>
    </row>
    <row r="47" spans="1:16" s="2" customFormat="1" ht="15.75" customHeight="1" x14ac:dyDescent="0.55000000000000004">
      <c r="A47" s="144" t="s">
        <v>9</v>
      </c>
      <c r="B47" s="145">
        <v>1</v>
      </c>
      <c r="C47" s="146">
        <v>2</v>
      </c>
      <c r="D47" s="145">
        <v>3</v>
      </c>
      <c r="E47" s="146">
        <v>4</v>
      </c>
      <c r="F47" s="147">
        <v>5</v>
      </c>
      <c r="G47" s="146">
        <v>6</v>
      </c>
      <c r="H47" s="145">
        <v>7</v>
      </c>
      <c r="I47" s="148"/>
      <c r="J47" s="154"/>
      <c r="K47" s="150" t="s">
        <v>1</v>
      </c>
      <c r="L47" s="721" t="s">
        <v>39</v>
      </c>
      <c r="M47" s="722"/>
      <c r="N47" s="723"/>
    </row>
    <row r="48" spans="1:16" s="2" customFormat="1" ht="18.75" x14ac:dyDescent="0.55000000000000004">
      <c r="A48" s="6" t="s">
        <v>3</v>
      </c>
      <c r="B48" s="7">
        <f>SUMIFS($J$69:$J$4681,$B$69:$B$4681,B47&amp;"-02-2023",$D$69:$D$4681,$A$48,$L$69:$L$4681,"O")</f>
        <v>0</v>
      </c>
      <c r="C48" s="7">
        <f t="shared" ref="C48:I48" si="32">SUMIFS($J$69:$J$4681,$B$69:$B$4681,C47&amp;"-02-2023",$D$69:$D$4681,$A$48,$L$69:$L$4681,"O")</f>
        <v>0</v>
      </c>
      <c r="D48" s="7">
        <f t="shared" si="32"/>
        <v>0</v>
      </c>
      <c r="E48" s="7">
        <f t="shared" si="32"/>
        <v>0</v>
      </c>
      <c r="F48" s="7">
        <f t="shared" si="32"/>
        <v>0</v>
      </c>
      <c r="G48" s="7">
        <f t="shared" si="32"/>
        <v>0</v>
      </c>
      <c r="H48" s="7">
        <f t="shared" si="32"/>
        <v>0</v>
      </c>
      <c r="I48" s="7">
        <f t="shared" si="32"/>
        <v>0</v>
      </c>
      <c r="J48" s="383"/>
      <c r="K48" s="42">
        <f>SUM(B48:I48)</f>
        <v>0</v>
      </c>
      <c r="L48" s="724"/>
      <c r="M48" s="725"/>
      <c r="N48" s="726"/>
    </row>
    <row r="49" spans="1:16" s="2" customFormat="1" ht="18.75" x14ac:dyDescent="0.55000000000000004">
      <c r="A49" s="6" t="s">
        <v>4</v>
      </c>
      <c r="B49" s="7">
        <f>SUMIFS($J$69:$J$4681,$B$69:$B$4681,B47&amp;"-02-2023",$D$69:$D$4681,$A$49,$L$69:$L$4681,"O")</f>
        <v>0</v>
      </c>
      <c r="C49" s="7">
        <f t="shared" ref="C49:I49" si="33">SUMIFS($J$69:$J$4681,$B$69:$B$4681,C47&amp;"-02-2023",$D$69:$D$4681,$A$49,$L$69:$L$4681,"O")</f>
        <v>0</v>
      </c>
      <c r="D49" s="7">
        <f t="shared" si="33"/>
        <v>0</v>
      </c>
      <c r="E49" s="7">
        <f t="shared" si="33"/>
        <v>0</v>
      </c>
      <c r="F49" s="7">
        <f t="shared" si="33"/>
        <v>0</v>
      </c>
      <c r="G49" s="7">
        <f t="shared" si="33"/>
        <v>0</v>
      </c>
      <c r="H49" s="7">
        <f t="shared" si="33"/>
        <v>0</v>
      </c>
      <c r="I49" s="7">
        <f t="shared" si="33"/>
        <v>0</v>
      </c>
      <c r="J49" s="383"/>
      <c r="K49" s="42">
        <f>SUM(B49:I49)</f>
        <v>0</v>
      </c>
      <c r="L49" s="727"/>
      <c r="M49" s="728"/>
      <c r="N49" s="729"/>
    </row>
    <row r="50" spans="1:16" s="2" customFormat="1" ht="20.25" customHeight="1" x14ac:dyDescent="0.55000000000000004">
      <c r="A50" s="6" t="s">
        <v>15</v>
      </c>
      <c r="B50" s="7">
        <f>SUMIFS($J$69:$J$4681,$B$69:$B$4681,B47&amp;"-02-2023",$D$69:$D$4681,$A$50,$L$69:$L$4681,"O")</f>
        <v>0</v>
      </c>
      <c r="C50" s="7">
        <f t="shared" ref="C50:I50" si="34">SUMIFS($J$69:$J$4681,$B$69:$B$4681,C47&amp;"-02-2023",$D$69:$D$4681,$A$50,$L$69:$L$4681,"O")</f>
        <v>0</v>
      </c>
      <c r="D50" s="7">
        <f t="shared" si="34"/>
        <v>0</v>
      </c>
      <c r="E50" s="7">
        <f t="shared" si="34"/>
        <v>0</v>
      </c>
      <c r="F50" s="7">
        <f t="shared" si="34"/>
        <v>0</v>
      </c>
      <c r="G50" s="7">
        <f t="shared" si="34"/>
        <v>0</v>
      </c>
      <c r="H50" s="7">
        <f t="shared" si="34"/>
        <v>0</v>
      </c>
      <c r="I50" s="7">
        <f t="shared" si="34"/>
        <v>0</v>
      </c>
      <c r="J50" s="383"/>
      <c r="K50" s="42">
        <f>SUM(B50:I50)</f>
        <v>0</v>
      </c>
      <c r="L50" s="649"/>
      <c r="M50" s="650"/>
      <c r="N50" s="651"/>
    </row>
    <row r="51" spans="1:16" s="2" customFormat="1" ht="20.25" customHeight="1" x14ac:dyDescent="0.55000000000000004">
      <c r="A51" s="638" t="s">
        <v>165</v>
      </c>
      <c r="B51" s="633">
        <f>SUMIFS($J$69:$J$4681,$B$69:$B$4681,B47&amp;"-02-2023",$D$69:$D$4681,$A$51,$L$69:$L$4681,"O")</f>
        <v>0</v>
      </c>
      <c r="C51" s="633">
        <f t="shared" ref="C51:I51" si="35">SUMIFS($J$69:$J$4681,$B$69:$B$4681,C47&amp;"-02-2023",$D$69:$D$4681,$A$51,$L$69:$L$4681,"O")</f>
        <v>0</v>
      </c>
      <c r="D51" s="633">
        <f t="shared" si="35"/>
        <v>1.53</v>
      </c>
      <c r="E51" s="633">
        <f t="shared" si="35"/>
        <v>1.35</v>
      </c>
      <c r="F51" s="633">
        <f t="shared" si="35"/>
        <v>0</v>
      </c>
      <c r="G51" s="633">
        <f t="shared" si="35"/>
        <v>0</v>
      </c>
      <c r="H51" s="633">
        <f t="shared" si="35"/>
        <v>1.38</v>
      </c>
      <c r="I51" s="633">
        <f t="shared" si="35"/>
        <v>0</v>
      </c>
      <c r="J51" s="383"/>
      <c r="K51" s="668">
        <f>SUM(B51:I51)</f>
        <v>4.26</v>
      </c>
      <c r="L51" s="652"/>
      <c r="M51" s="653"/>
      <c r="N51" s="654"/>
    </row>
    <row r="52" spans="1:16" s="2" customFormat="1" ht="15.75" customHeight="1" x14ac:dyDescent="0.55000000000000004">
      <c r="A52" s="144" t="s">
        <v>9</v>
      </c>
      <c r="B52" s="145">
        <v>8</v>
      </c>
      <c r="C52" s="147">
        <v>9</v>
      </c>
      <c r="D52" s="145">
        <v>10</v>
      </c>
      <c r="E52" s="147">
        <v>11</v>
      </c>
      <c r="F52" s="145">
        <v>12</v>
      </c>
      <c r="G52" s="147">
        <v>13</v>
      </c>
      <c r="H52" s="145">
        <v>14</v>
      </c>
      <c r="I52" s="155">
        <v>15</v>
      </c>
      <c r="J52" s="151"/>
      <c r="K52" s="156" t="s">
        <v>5</v>
      </c>
      <c r="L52" s="717" t="s">
        <v>3</v>
      </c>
      <c r="M52" s="687">
        <f>K48+K53+K58+K63+O53</f>
        <v>0</v>
      </c>
      <c r="N52" s="689"/>
    </row>
    <row r="53" spans="1:16" s="2" customFormat="1" ht="19.5" customHeight="1" x14ac:dyDescent="0.55000000000000004">
      <c r="A53" s="6" t="s">
        <v>3</v>
      </c>
      <c r="B53" s="7">
        <f>SUMIFS($J$69:$J$4681,$B$69:$B$4681,B52&amp;"-02-2023",$D$69:$D$4681,$A$53,$L$69:$L$4681,"O")</f>
        <v>0</v>
      </c>
      <c r="C53" s="7">
        <f t="shared" ref="C53:I53" si="36">SUMIFS($J$69:$J$4681,$B$69:$B$4681,C52&amp;"-02-2023",$D$69:$D$4681,$A$53,$L$69:$L$4681,"O")</f>
        <v>0</v>
      </c>
      <c r="D53" s="7">
        <f t="shared" si="36"/>
        <v>0</v>
      </c>
      <c r="E53" s="7">
        <f t="shared" si="36"/>
        <v>0</v>
      </c>
      <c r="F53" s="7">
        <f t="shared" si="36"/>
        <v>0</v>
      </c>
      <c r="G53" s="7">
        <f t="shared" si="36"/>
        <v>0</v>
      </c>
      <c r="H53" s="7">
        <f t="shared" si="36"/>
        <v>0</v>
      </c>
      <c r="I53" s="7">
        <f t="shared" si="36"/>
        <v>0</v>
      </c>
      <c r="J53" s="380"/>
      <c r="K53" s="44">
        <f>SUM(B53:I53)</f>
        <v>0</v>
      </c>
      <c r="L53" s="717"/>
      <c r="M53" s="693"/>
      <c r="N53" s="695"/>
    </row>
    <row r="54" spans="1:16" s="2" customFormat="1" ht="18.75" customHeight="1" x14ac:dyDescent="0.55000000000000004">
      <c r="A54" s="6" t="s">
        <v>4</v>
      </c>
      <c r="B54" s="7">
        <f>SUMIFS($J$69:$J$4681,$B$69:$B$4681,B52&amp;"-02-2023",$D$69:$D$4681,$A$54,$L$69:$L$4681,"O")</f>
        <v>0</v>
      </c>
      <c r="C54" s="7">
        <f t="shared" ref="C54:I54" si="37">SUMIFS($J$69:$J$4681,$B$69:$B$4681,C52&amp;"-02-2023",$D$69:$D$4681,$A$54,$L$69:$L$4681,"O")</f>
        <v>0</v>
      </c>
      <c r="D54" s="7">
        <f t="shared" si="37"/>
        <v>0</v>
      </c>
      <c r="E54" s="7">
        <f t="shared" si="37"/>
        <v>0</v>
      </c>
      <c r="F54" s="7">
        <f t="shared" si="37"/>
        <v>0</v>
      </c>
      <c r="G54" s="7">
        <f t="shared" si="37"/>
        <v>0</v>
      </c>
      <c r="H54" s="7">
        <f t="shared" si="37"/>
        <v>0</v>
      </c>
      <c r="I54" s="7">
        <f t="shared" si="37"/>
        <v>0</v>
      </c>
      <c r="J54" s="380"/>
      <c r="K54" s="44">
        <f>SUM(B54:I54)</f>
        <v>0</v>
      </c>
      <c r="L54" s="717" t="s">
        <v>4</v>
      </c>
      <c r="M54" s="687">
        <f>K49+K54+K59+K64+O54</f>
        <v>0</v>
      </c>
      <c r="N54" s="689"/>
      <c r="P54" s="11"/>
    </row>
    <row r="55" spans="1:16" s="2" customFormat="1" ht="18.75" customHeight="1" x14ac:dyDescent="0.55000000000000004">
      <c r="A55" s="6" t="s">
        <v>15</v>
      </c>
      <c r="B55" s="7">
        <f>SUMIFS($J$69:$J$4681,$B$69:$B$4681,B52&amp;"-02-2023",$D$69:$D$4681,$A$55,$L$69:$L$4681,"O")</f>
        <v>0</v>
      </c>
      <c r="C55" s="7">
        <f t="shared" ref="C55:I55" si="38">SUMIFS($J$69:$J$4681,$B$69:$B$4681,C52&amp;"-02-2023",$D$69:$D$4681,$A$55,$L$69:$L$4681,"O")</f>
        <v>0</v>
      </c>
      <c r="D55" s="7">
        <f t="shared" si="38"/>
        <v>0</v>
      </c>
      <c r="E55" s="7">
        <f t="shared" si="38"/>
        <v>0</v>
      </c>
      <c r="F55" s="7">
        <f t="shared" si="38"/>
        <v>0</v>
      </c>
      <c r="G55" s="7">
        <f t="shared" si="38"/>
        <v>0</v>
      </c>
      <c r="H55" s="7">
        <f t="shared" si="38"/>
        <v>0</v>
      </c>
      <c r="I55" s="7">
        <f t="shared" si="38"/>
        <v>0</v>
      </c>
      <c r="J55" s="380"/>
      <c r="K55" s="44">
        <f>SUM(B55:I55)</f>
        <v>0</v>
      </c>
      <c r="L55" s="717"/>
      <c r="M55" s="690"/>
      <c r="N55" s="692"/>
      <c r="P55" s="11"/>
    </row>
    <row r="56" spans="1:16" s="2" customFormat="1" ht="18.75" customHeight="1" x14ac:dyDescent="0.55000000000000004">
      <c r="A56" s="638" t="s">
        <v>165</v>
      </c>
      <c r="B56" s="633">
        <f>SUMIFS($J$69:$J$4681,$B$69:$B$4681,B52&amp;"-02-2023",$D$69:$D$4681,$A$56,$L$69:$L$4681,"O")</f>
        <v>0</v>
      </c>
      <c r="C56" s="633">
        <f t="shared" ref="C56:I56" si="39">SUMIFS($J$69:$J$4681,$B$69:$B$4681,C52&amp;"-02-2023",$D$69:$D$4681,$A$56,$L$69:$L$4681,"O")</f>
        <v>0</v>
      </c>
      <c r="D56" s="633">
        <f t="shared" si="39"/>
        <v>0</v>
      </c>
      <c r="E56" s="633">
        <f t="shared" si="39"/>
        <v>0</v>
      </c>
      <c r="F56" s="633">
        <f t="shared" si="39"/>
        <v>0</v>
      </c>
      <c r="G56" s="633">
        <f t="shared" si="39"/>
        <v>0</v>
      </c>
      <c r="H56" s="633">
        <f t="shared" si="39"/>
        <v>0</v>
      </c>
      <c r="I56" s="633">
        <f t="shared" si="39"/>
        <v>0</v>
      </c>
      <c r="J56" s="380"/>
      <c r="K56" s="667">
        <f>SUM(B56:I56)</f>
        <v>0</v>
      </c>
      <c r="L56" s="717"/>
      <c r="M56" s="690"/>
      <c r="N56" s="692"/>
      <c r="P56" s="11"/>
    </row>
    <row r="57" spans="1:16" s="2" customFormat="1" ht="15.75" customHeight="1" x14ac:dyDescent="0.55000000000000004">
      <c r="A57" s="144" t="s">
        <v>9</v>
      </c>
      <c r="B57" s="145">
        <v>16</v>
      </c>
      <c r="C57" s="145">
        <v>17</v>
      </c>
      <c r="D57" s="145">
        <v>18</v>
      </c>
      <c r="E57" s="145">
        <v>19</v>
      </c>
      <c r="F57" s="145">
        <v>20</v>
      </c>
      <c r="G57" s="145">
        <v>21</v>
      </c>
      <c r="H57" s="145">
        <v>22</v>
      </c>
      <c r="I57" s="145">
        <v>23</v>
      </c>
      <c r="J57" s="153"/>
      <c r="K57" s="157" t="s">
        <v>6</v>
      </c>
      <c r="L57" s="717"/>
      <c r="M57" s="693"/>
      <c r="N57" s="695"/>
    </row>
    <row r="58" spans="1:16" s="2" customFormat="1" ht="18.75" customHeight="1" x14ac:dyDescent="0.55000000000000004">
      <c r="A58" s="6" t="s">
        <v>3</v>
      </c>
      <c r="B58" s="7">
        <f>SUMIFS($J$69:$J$4681,$B$69:$B$4681,B57&amp;"-02-2023",$D$69:$D$4681,$A$58,$L$69:$L$4681,"O")</f>
        <v>0</v>
      </c>
      <c r="C58" s="7">
        <f t="shared" ref="C58:I58" si="40">SUMIFS($J$69:$J$4681,$B$69:$B$4681,C57&amp;"-02-2023",$D$69:$D$4681,$A$58,$L$69:$L$4681,"O")</f>
        <v>0</v>
      </c>
      <c r="D58" s="7">
        <f t="shared" si="40"/>
        <v>0</v>
      </c>
      <c r="E58" s="7">
        <f t="shared" si="40"/>
        <v>0</v>
      </c>
      <c r="F58" s="7">
        <f t="shared" si="40"/>
        <v>0</v>
      </c>
      <c r="G58" s="7">
        <f t="shared" si="40"/>
        <v>0</v>
      </c>
      <c r="H58" s="7">
        <f t="shared" si="40"/>
        <v>0</v>
      </c>
      <c r="I58" s="7">
        <f t="shared" si="40"/>
        <v>0</v>
      </c>
      <c r="J58" s="23"/>
      <c r="K58" s="7">
        <f>SUM(B58:I58)</f>
        <v>0</v>
      </c>
      <c r="L58" s="730" t="s">
        <v>15</v>
      </c>
      <c r="M58" s="732">
        <f>K50+K55+K60+K65</f>
        <v>0</v>
      </c>
      <c r="N58" s="733"/>
    </row>
    <row r="59" spans="1:16" s="2" customFormat="1" ht="18.75" customHeight="1" x14ac:dyDescent="0.55000000000000004">
      <c r="A59" s="6" t="s">
        <v>4</v>
      </c>
      <c r="B59" s="7">
        <f>SUMIFS($J$69:$J$4681,$B$69:$B$4681,B57&amp;"-02-2023",$D$69:$D$4681,$A$59,$L$69:$L$4681,"O")</f>
        <v>0</v>
      </c>
      <c r="C59" s="7">
        <f t="shared" ref="C59:I59" si="41">SUMIFS($J$69:$J$4681,$B$69:$B$4681,C57&amp;"-02-2023",$D$69:$D$4681,$A$59,$L$69:$L$4681,"O")</f>
        <v>0</v>
      </c>
      <c r="D59" s="7">
        <f t="shared" si="41"/>
        <v>0</v>
      </c>
      <c r="E59" s="7">
        <f t="shared" si="41"/>
        <v>0</v>
      </c>
      <c r="F59" s="7">
        <f t="shared" si="41"/>
        <v>0</v>
      </c>
      <c r="G59" s="7">
        <f t="shared" si="41"/>
        <v>0</v>
      </c>
      <c r="H59" s="7">
        <f t="shared" si="41"/>
        <v>0</v>
      </c>
      <c r="I59" s="7">
        <f t="shared" si="41"/>
        <v>0</v>
      </c>
      <c r="J59" s="23"/>
      <c r="K59" s="7">
        <f>SUM(B59:I59)</f>
        <v>0</v>
      </c>
      <c r="L59" s="731"/>
      <c r="M59" s="734"/>
      <c r="N59" s="735"/>
    </row>
    <row r="60" spans="1:16" s="2" customFormat="1" ht="18.75" customHeight="1" x14ac:dyDescent="0.55000000000000004">
      <c r="A60" s="6" t="s">
        <v>15</v>
      </c>
      <c r="B60" s="7">
        <f>SUMIFS($J$69:$J$4681,$B$69:$B$4681,B57&amp;"-02-2023",$D$69:$D$4681,$A$60,$L$69:$L$4681,"O")</f>
        <v>0</v>
      </c>
      <c r="C60" s="7">
        <f t="shared" ref="C60:I60" si="42">SUMIFS($J$69:$J$4681,$B$69:$B$4681,C57&amp;"-02-2023",$D$69:$D$4681,$A$60,$L$69:$L$4681,"O")</f>
        <v>0</v>
      </c>
      <c r="D60" s="7">
        <f t="shared" si="42"/>
        <v>0</v>
      </c>
      <c r="E60" s="7">
        <f t="shared" si="42"/>
        <v>0</v>
      </c>
      <c r="F60" s="7">
        <f t="shared" si="42"/>
        <v>0</v>
      </c>
      <c r="G60" s="7">
        <f t="shared" si="42"/>
        <v>0</v>
      </c>
      <c r="H60" s="7">
        <f t="shared" si="42"/>
        <v>0</v>
      </c>
      <c r="I60" s="7">
        <f t="shared" si="42"/>
        <v>0</v>
      </c>
      <c r="J60" s="23"/>
      <c r="K60" s="7">
        <f>SUM(B60:I60)</f>
        <v>0</v>
      </c>
      <c r="L60" s="736" t="s">
        <v>165</v>
      </c>
      <c r="M60" s="737">
        <f>K51+K56+K61+K66</f>
        <v>4.26</v>
      </c>
      <c r="N60" s="738"/>
    </row>
    <row r="61" spans="1:16" s="2" customFormat="1" ht="18.75" customHeight="1" x14ac:dyDescent="0.55000000000000004">
      <c r="A61" s="638" t="s">
        <v>165</v>
      </c>
      <c r="B61" s="633">
        <f>SUMIFS($J$69:$J$4681,$B$69:$B$4681,B57&amp;"-02-2023",$D$69:$D$4681,$A$61,$L$69:$L$4681,"O")</f>
        <v>0</v>
      </c>
      <c r="C61" s="633">
        <f t="shared" ref="C61:I61" si="43">SUMIFS($J$69:$J$4681,$B$69:$B$4681,C57&amp;"-01-2023",$D$69:$D$4681,$A$61,$L$69:$L$4681,"O")</f>
        <v>0</v>
      </c>
      <c r="D61" s="633">
        <f t="shared" si="43"/>
        <v>0</v>
      </c>
      <c r="E61" s="633">
        <f t="shared" si="43"/>
        <v>0</v>
      </c>
      <c r="F61" s="633">
        <f t="shared" si="43"/>
        <v>0</v>
      </c>
      <c r="G61" s="633">
        <f t="shared" si="43"/>
        <v>0</v>
      </c>
      <c r="H61" s="633">
        <f t="shared" si="43"/>
        <v>0</v>
      </c>
      <c r="I61" s="633">
        <f t="shared" si="43"/>
        <v>0</v>
      </c>
      <c r="J61" s="662"/>
      <c r="K61" s="633">
        <f>SUM(B61:I61)</f>
        <v>0</v>
      </c>
      <c r="L61" s="731"/>
      <c r="M61" s="734"/>
      <c r="N61" s="735"/>
    </row>
    <row r="62" spans="1:16" s="2" customFormat="1" ht="15.75" customHeight="1" x14ac:dyDescent="0.55000000000000004">
      <c r="A62" s="144" t="s">
        <v>9</v>
      </c>
      <c r="B62" s="145">
        <v>24</v>
      </c>
      <c r="C62" s="145">
        <v>25</v>
      </c>
      <c r="D62" s="145">
        <v>26</v>
      </c>
      <c r="E62" s="145">
        <v>27</v>
      </c>
      <c r="F62" s="145">
        <v>28</v>
      </c>
      <c r="G62" s="145">
        <v>29</v>
      </c>
      <c r="H62" s="145">
        <v>30</v>
      </c>
      <c r="I62" s="145">
        <v>31</v>
      </c>
      <c r="J62" s="153"/>
      <c r="K62" s="158" t="s">
        <v>7</v>
      </c>
      <c r="L62" s="714" t="s">
        <v>39</v>
      </c>
      <c r="M62" s="715"/>
      <c r="N62" s="716"/>
    </row>
    <row r="63" spans="1:16" s="2" customFormat="1" ht="18.75" customHeight="1" x14ac:dyDescent="0.55000000000000004">
      <c r="A63" s="6" t="s">
        <v>3</v>
      </c>
      <c r="B63" s="7">
        <f>SUMIFS($J$69:$J$4681,$B$69:$B$4681,B62&amp;"-01-2023",$D$69:$D$4681,$A$63,$L$69:$L$4681,"O")</f>
        <v>0</v>
      </c>
      <c r="C63" s="7">
        <f t="shared" ref="C63:I63" si="44">SUMIFS($J$69:$J$4681,$B$69:$B$4681,C62&amp;"-11-2022",$D$69:$D$4681,$A$63,$L$69:$L$4681,"O")</f>
        <v>0</v>
      </c>
      <c r="D63" s="7">
        <f t="shared" si="44"/>
        <v>0</v>
      </c>
      <c r="E63" s="7">
        <f t="shared" si="44"/>
        <v>0</v>
      </c>
      <c r="F63" s="7">
        <f t="shared" si="44"/>
        <v>0</v>
      </c>
      <c r="G63" s="7">
        <f t="shared" si="44"/>
        <v>0</v>
      </c>
      <c r="H63" s="7">
        <f t="shared" si="44"/>
        <v>0</v>
      </c>
      <c r="I63" s="7">
        <f t="shared" si="44"/>
        <v>0</v>
      </c>
      <c r="J63" s="12"/>
      <c r="K63" s="45">
        <f>SUM(B63:J63)</f>
        <v>0</v>
      </c>
      <c r="L63" s="707">
        <f>M52+M54+M58+M60</f>
        <v>4.26</v>
      </c>
      <c r="M63" s="707"/>
      <c r="N63" s="707"/>
    </row>
    <row r="64" spans="1:16" s="2" customFormat="1" ht="18.75" customHeight="1" x14ac:dyDescent="0.55000000000000004">
      <c r="A64" s="6" t="s">
        <v>4</v>
      </c>
      <c r="B64" s="7">
        <f>SUMIFS($J$69:$J$4681,$B$69:$B$4681,B62&amp;"-02-2023",$D$69:$D$4681,$A$64,$L$69:$L$4681,"O")</f>
        <v>0</v>
      </c>
      <c r="C64" s="7">
        <f t="shared" ref="C64:I64" si="45">SUMIFS($J$69:$J$4681,$B$69:$B$4681,C62&amp;"-12-2022",$D$69:$D$4681,$A$64,$L$69:$L$4681,"O")</f>
        <v>0</v>
      </c>
      <c r="D64" s="7">
        <f t="shared" si="45"/>
        <v>0</v>
      </c>
      <c r="E64" s="7">
        <f t="shared" si="45"/>
        <v>0</v>
      </c>
      <c r="F64" s="7">
        <f t="shared" si="45"/>
        <v>0</v>
      </c>
      <c r="G64" s="7">
        <f t="shared" si="45"/>
        <v>0</v>
      </c>
      <c r="H64" s="7">
        <f t="shared" si="45"/>
        <v>0</v>
      </c>
      <c r="I64" s="7">
        <f t="shared" si="45"/>
        <v>0</v>
      </c>
      <c r="J64" s="14"/>
      <c r="K64" s="45">
        <f>SUM(B64:J64)</f>
        <v>0</v>
      </c>
      <c r="L64" s="707"/>
      <c r="M64" s="707"/>
      <c r="N64" s="707"/>
    </row>
    <row r="65" spans="1:15" s="2" customFormat="1" ht="18.75" customHeight="1" x14ac:dyDescent="0.55000000000000004">
      <c r="A65" s="6" t="s">
        <v>15</v>
      </c>
      <c r="B65" s="7">
        <f>SUMIFS($J$69:$J$4681,$B$69:$B$4681,B62&amp;"-02-2023",$D$69:$D$4681,$A$65,$L$69:$L$4681,"O")</f>
        <v>0</v>
      </c>
      <c r="C65" s="7">
        <f t="shared" ref="C65:I65" si="46">SUMIFS($J$69:$J$4681,$B$69:$B$4681,C62&amp;"-01-2023",$D$69:$D$4681,$A$65,$L$69:$L$4681,"O")</f>
        <v>0</v>
      </c>
      <c r="D65" s="7">
        <f t="shared" si="46"/>
        <v>0</v>
      </c>
      <c r="E65" s="7">
        <f t="shared" si="46"/>
        <v>0</v>
      </c>
      <c r="F65" s="7">
        <f t="shared" si="46"/>
        <v>0</v>
      </c>
      <c r="G65" s="7">
        <f t="shared" si="46"/>
        <v>0</v>
      </c>
      <c r="H65" s="7">
        <f t="shared" si="46"/>
        <v>0</v>
      </c>
      <c r="I65" s="7">
        <f t="shared" si="46"/>
        <v>0</v>
      </c>
      <c r="J65" s="7"/>
      <c r="K65" s="45">
        <f>SUM(B65:J65)</f>
        <v>0</v>
      </c>
      <c r="L65" s="707"/>
      <c r="M65" s="707"/>
      <c r="N65" s="707"/>
    </row>
    <row r="66" spans="1:15" s="2" customFormat="1" ht="18.75" customHeight="1" x14ac:dyDescent="0.55000000000000004">
      <c r="A66" s="638" t="s">
        <v>165</v>
      </c>
      <c r="B66" s="633">
        <f>SUMIFS($J$69:$J$4681,$B$69:$B$4681,B62&amp;"-02-2023",$D$69:$D$4681,$A$66,$L$69:$L$4681,"O")</f>
        <v>0</v>
      </c>
      <c r="C66" s="633">
        <f t="shared" ref="C66:I66" si="47">SUMIFS($J$69:$J$4681,$B$69:$B$4681,C62&amp;"-01-2023",$D$69:$D$4681,$A$66,$L$69:$L$4681,"O")</f>
        <v>0</v>
      </c>
      <c r="D66" s="633">
        <f t="shared" si="47"/>
        <v>0</v>
      </c>
      <c r="E66" s="633">
        <f t="shared" si="47"/>
        <v>0</v>
      </c>
      <c r="F66" s="633">
        <f t="shared" si="47"/>
        <v>0</v>
      </c>
      <c r="G66" s="633">
        <f t="shared" si="47"/>
        <v>0</v>
      </c>
      <c r="H66" s="633">
        <f t="shared" si="47"/>
        <v>0</v>
      </c>
      <c r="I66" s="633">
        <f t="shared" si="47"/>
        <v>0</v>
      </c>
      <c r="J66" s="633"/>
      <c r="K66" s="663">
        <f>SUM(B66:J66)</f>
        <v>0</v>
      </c>
      <c r="L66" s="707"/>
      <c r="M66" s="707"/>
      <c r="N66" s="707"/>
    </row>
    <row r="67" spans="1:15" s="2" customFormat="1" ht="18.75" customHeight="1" x14ac:dyDescent="0.55000000000000004">
      <c r="A67" s="57"/>
      <c r="B67" s="58"/>
      <c r="C67" s="58"/>
      <c r="D67" s="58"/>
      <c r="E67" s="58"/>
      <c r="F67" s="58"/>
      <c r="G67" s="58"/>
      <c r="H67" s="58"/>
      <c r="I67" s="58"/>
      <c r="J67" s="19"/>
      <c r="K67" s="59"/>
      <c r="L67" s="271"/>
      <c r="M67" s="263"/>
      <c r="N67" s="431"/>
    </row>
    <row r="68" spans="1:15" ht="39.75" x14ac:dyDescent="0.55000000000000004">
      <c r="A68" s="32" t="s">
        <v>16</v>
      </c>
      <c r="B68" s="33" t="s">
        <v>17</v>
      </c>
      <c r="C68" s="34" t="s">
        <v>18</v>
      </c>
      <c r="D68" s="34" t="s">
        <v>21</v>
      </c>
      <c r="E68" s="32" t="s">
        <v>22</v>
      </c>
      <c r="F68" s="32" t="s">
        <v>23</v>
      </c>
      <c r="G68" s="32" t="s">
        <v>24</v>
      </c>
      <c r="H68" s="60" t="s">
        <v>25</v>
      </c>
      <c r="I68" s="32" t="s">
        <v>26</v>
      </c>
      <c r="J68" s="61" t="s">
        <v>40</v>
      </c>
      <c r="K68" s="62" t="s">
        <v>41</v>
      </c>
      <c r="L68" s="272" t="s">
        <v>42</v>
      </c>
      <c r="M68" s="265" t="s">
        <v>43</v>
      </c>
    </row>
    <row r="69" spans="1:15" x14ac:dyDescent="0.55000000000000004">
      <c r="A69" s="281">
        <v>1</v>
      </c>
      <c r="B69" s="67">
        <v>44960</v>
      </c>
      <c r="C69" s="135" t="s">
        <v>30</v>
      </c>
      <c r="D69" s="67" t="s">
        <v>165</v>
      </c>
      <c r="E69" s="298" t="s">
        <v>520</v>
      </c>
      <c r="F69" s="66">
        <v>1.7</v>
      </c>
      <c r="G69" s="66">
        <v>1</v>
      </c>
      <c r="H69" s="66">
        <v>0.9</v>
      </c>
      <c r="I69" s="276">
        <v>1</v>
      </c>
      <c r="J69" s="277">
        <f t="shared" ref="J69:J71" si="48">F69*G69*H69</f>
        <v>1.53</v>
      </c>
      <c r="K69" s="116" t="s">
        <v>31</v>
      </c>
      <c r="L69" s="299" t="s">
        <v>493</v>
      </c>
      <c r="M69" s="278" t="s">
        <v>529</v>
      </c>
      <c r="N69" s="432"/>
    </row>
    <row r="70" spans="1:15" x14ac:dyDescent="0.55000000000000004">
      <c r="A70" s="281">
        <v>2</v>
      </c>
      <c r="B70" s="67">
        <v>44961</v>
      </c>
      <c r="C70" s="135" t="s">
        <v>30</v>
      </c>
      <c r="D70" s="67" t="s">
        <v>165</v>
      </c>
      <c r="E70" s="298" t="s">
        <v>508</v>
      </c>
      <c r="F70" s="66">
        <v>1.25</v>
      </c>
      <c r="G70" s="66">
        <v>1.2</v>
      </c>
      <c r="H70" s="66">
        <v>0.9</v>
      </c>
      <c r="I70" s="276">
        <v>1</v>
      </c>
      <c r="J70" s="277">
        <f t="shared" si="48"/>
        <v>1.35</v>
      </c>
      <c r="K70" s="116" t="s">
        <v>31</v>
      </c>
      <c r="L70" s="299" t="s">
        <v>493</v>
      </c>
      <c r="M70" s="278" t="s">
        <v>494</v>
      </c>
      <c r="N70" s="432"/>
    </row>
    <row r="71" spans="1:15" x14ac:dyDescent="0.55000000000000004">
      <c r="A71" s="281">
        <v>3</v>
      </c>
      <c r="B71" s="67">
        <v>44964</v>
      </c>
      <c r="C71" s="135" t="s">
        <v>30</v>
      </c>
      <c r="D71" s="67" t="s">
        <v>165</v>
      </c>
      <c r="E71" s="298" t="s">
        <v>514</v>
      </c>
      <c r="F71" s="66">
        <v>1.2</v>
      </c>
      <c r="G71" s="66">
        <v>1.1499999999999999</v>
      </c>
      <c r="H71" s="66">
        <v>1</v>
      </c>
      <c r="I71" s="276">
        <v>1</v>
      </c>
      <c r="J71" s="277">
        <f t="shared" si="48"/>
        <v>1.38</v>
      </c>
      <c r="K71" s="116" t="s">
        <v>31</v>
      </c>
      <c r="L71" s="299" t="s">
        <v>493</v>
      </c>
      <c r="M71" s="278" t="s">
        <v>528</v>
      </c>
      <c r="N71" s="432"/>
    </row>
    <row r="72" spans="1:15" x14ac:dyDescent="0.55000000000000004">
      <c r="A72" s="281">
        <v>4</v>
      </c>
      <c r="B72" s="67"/>
      <c r="C72" s="135" t="s">
        <v>30</v>
      </c>
      <c r="D72" s="67"/>
      <c r="E72" s="298"/>
      <c r="F72" s="66"/>
      <c r="G72" s="66"/>
      <c r="H72" s="66"/>
      <c r="I72" s="276">
        <v>1</v>
      </c>
      <c r="J72" s="277">
        <f t="shared" ref="J72:J88" si="49">F72*G72*H72</f>
        <v>0</v>
      </c>
      <c r="K72" s="116" t="s">
        <v>31</v>
      </c>
      <c r="L72" s="299"/>
      <c r="M72" s="554"/>
      <c r="N72" s="432"/>
    </row>
    <row r="73" spans="1:15" x14ac:dyDescent="0.55000000000000004">
      <c r="A73" s="281">
        <v>5</v>
      </c>
      <c r="B73" s="67"/>
      <c r="C73" s="135" t="s">
        <v>30</v>
      </c>
      <c r="D73" s="67"/>
      <c r="E73" s="298"/>
      <c r="F73" s="66"/>
      <c r="G73" s="66"/>
      <c r="H73" s="66"/>
      <c r="I73" s="276">
        <v>1</v>
      </c>
      <c r="J73" s="277">
        <f t="shared" si="49"/>
        <v>0</v>
      </c>
      <c r="K73" s="116" t="s">
        <v>31</v>
      </c>
      <c r="L73" s="299"/>
      <c r="M73" s="554"/>
      <c r="N73" s="432"/>
    </row>
    <row r="74" spans="1:15" x14ac:dyDescent="0.55000000000000004">
      <c r="A74" s="281">
        <v>6</v>
      </c>
      <c r="B74" s="67"/>
      <c r="C74" s="135" t="s">
        <v>30</v>
      </c>
      <c r="D74" s="67"/>
      <c r="E74" s="298"/>
      <c r="F74" s="66"/>
      <c r="G74" s="66"/>
      <c r="H74" s="66"/>
      <c r="I74" s="276">
        <v>1</v>
      </c>
      <c r="J74" s="277">
        <f t="shared" si="49"/>
        <v>0</v>
      </c>
      <c r="K74" s="116" t="s">
        <v>31</v>
      </c>
      <c r="L74" s="299"/>
      <c r="M74" s="554"/>
    </row>
    <row r="75" spans="1:15" x14ac:dyDescent="0.55000000000000004">
      <c r="A75" s="281">
        <v>7</v>
      </c>
      <c r="B75" s="67"/>
      <c r="C75" s="135" t="s">
        <v>30</v>
      </c>
      <c r="D75" s="67"/>
      <c r="E75" s="298"/>
      <c r="F75" s="66"/>
      <c r="G75" s="66"/>
      <c r="H75" s="66"/>
      <c r="I75" s="276">
        <v>1</v>
      </c>
      <c r="J75" s="277">
        <f t="shared" si="49"/>
        <v>0</v>
      </c>
      <c r="K75" s="116" t="s">
        <v>31</v>
      </c>
      <c r="L75" s="299"/>
      <c r="M75" s="554"/>
      <c r="N75" s="433"/>
    </row>
    <row r="76" spans="1:15" x14ac:dyDescent="0.55000000000000004">
      <c r="A76" s="281">
        <v>8</v>
      </c>
      <c r="B76" s="67"/>
      <c r="C76" s="135" t="s">
        <v>30</v>
      </c>
      <c r="D76" s="67"/>
      <c r="E76" s="298"/>
      <c r="F76" s="66"/>
      <c r="G76" s="66"/>
      <c r="H76" s="66"/>
      <c r="I76" s="276">
        <v>1</v>
      </c>
      <c r="J76" s="277">
        <f t="shared" si="49"/>
        <v>0</v>
      </c>
      <c r="K76" s="116" t="s">
        <v>31</v>
      </c>
      <c r="L76" s="299"/>
      <c r="M76" s="554"/>
      <c r="N76" s="433"/>
      <c r="O76" s="429"/>
    </row>
    <row r="77" spans="1:15" x14ac:dyDescent="0.55000000000000004">
      <c r="A77" s="281">
        <v>9</v>
      </c>
      <c r="B77" s="67"/>
      <c r="C77" s="135" t="s">
        <v>30</v>
      </c>
      <c r="D77" s="67"/>
      <c r="E77" s="298"/>
      <c r="F77" s="66"/>
      <c r="G77" s="66"/>
      <c r="H77" s="66"/>
      <c r="I77" s="276">
        <v>1</v>
      </c>
      <c r="J77" s="277">
        <f t="shared" si="49"/>
        <v>0</v>
      </c>
      <c r="K77" s="116" t="s">
        <v>31</v>
      </c>
      <c r="L77" s="299"/>
      <c r="M77" s="278"/>
    </row>
    <row r="78" spans="1:15" x14ac:dyDescent="0.55000000000000004">
      <c r="A78" s="281">
        <v>10</v>
      </c>
      <c r="B78" s="67"/>
      <c r="C78" s="135" t="s">
        <v>30</v>
      </c>
      <c r="D78" s="67"/>
      <c r="E78" s="298"/>
      <c r="F78" s="66"/>
      <c r="G78" s="66"/>
      <c r="H78" s="66"/>
      <c r="I78" s="276">
        <v>1</v>
      </c>
      <c r="J78" s="277">
        <f t="shared" si="49"/>
        <v>0</v>
      </c>
      <c r="K78" s="116" t="s">
        <v>31</v>
      </c>
      <c r="L78" s="299"/>
      <c r="M78" s="278"/>
    </row>
    <row r="79" spans="1:15" x14ac:dyDescent="0.55000000000000004">
      <c r="A79" s="281">
        <v>11</v>
      </c>
      <c r="B79" s="67"/>
      <c r="C79" s="135" t="s">
        <v>30</v>
      </c>
      <c r="D79" s="67"/>
      <c r="E79" s="298"/>
      <c r="F79" s="66"/>
      <c r="G79" s="66"/>
      <c r="H79" s="66"/>
      <c r="I79" s="276">
        <v>1</v>
      </c>
      <c r="J79" s="277">
        <f t="shared" si="49"/>
        <v>0</v>
      </c>
      <c r="K79" s="116" t="s">
        <v>31</v>
      </c>
      <c r="L79" s="299"/>
      <c r="M79" s="278"/>
    </row>
    <row r="80" spans="1:15" x14ac:dyDescent="0.55000000000000004">
      <c r="A80" s="281">
        <v>12</v>
      </c>
      <c r="B80" s="67"/>
      <c r="C80" s="135" t="s">
        <v>30</v>
      </c>
      <c r="D80" s="67"/>
      <c r="E80" s="298"/>
      <c r="F80" s="66"/>
      <c r="G80" s="66"/>
      <c r="H80" s="66"/>
      <c r="I80" s="276">
        <v>1</v>
      </c>
      <c r="J80" s="277">
        <f t="shared" si="49"/>
        <v>0</v>
      </c>
      <c r="K80" s="116" t="s">
        <v>31</v>
      </c>
      <c r="L80" s="299"/>
      <c r="M80" s="278"/>
    </row>
    <row r="81" spans="1:14" x14ac:dyDescent="0.55000000000000004">
      <c r="A81" s="281">
        <v>13</v>
      </c>
      <c r="B81" s="67"/>
      <c r="C81" s="135" t="s">
        <v>30</v>
      </c>
      <c r="D81" s="67"/>
      <c r="E81" s="298"/>
      <c r="F81" s="66"/>
      <c r="G81" s="66"/>
      <c r="H81" s="66"/>
      <c r="I81" s="276">
        <v>1</v>
      </c>
      <c r="J81" s="277">
        <f t="shared" si="49"/>
        <v>0</v>
      </c>
      <c r="K81" s="116" t="s">
        <v>31</v>
      </c>
      <c r="L81" s="299"/>
      <c r="M81" s="278"/>
    </row>
    <row r="82" spans="1:14" x14ac:dyDescent="0.55000000000000004">
      <c r="A82" s="281">
        <v>14</v>
      </c>
      <c r="B82" s="67"/>
      <c r="C82" s="135" t="s">
        <v>30</v>
      </c>
      <c r="D82" s="67"/>
      <c r="E82" s="298"/>
      <c r="F82" s="66"/>
      <c r="G82" s="66"/>
      <c r="H82" s="66"/>
      <c r="I82" s="276">
        <v>1</v>
      </c>
      <c r="J82" s="277">
        <f t="shared" si="49"/>
        <v>0</v>
      </c>
      <c r="K82" s="116" t="s">
        <v>31</v>
      </c>
      <c r="L82" s="299"/>
      <c r="M82" s="278"/>
    </row>
    <row r="83" spans="1:14" x14ac:dyDescent="0.55000000000000004">
      <c r="A83" s="281">
        <v>15</v>
      </c>
      <c r="B83" s="67"/>
      <c r="C83" s="135" t="s">
        <v>30</v>
      </c>
      <c r="D83" s="67"/>
      <c r="E83" s="298"/>
      <c r="F83" s="66"/>
      <c r="G83" s="66"/>
      <c r="H83" s="66"/>
      <c r="I83" s="276">
        <v>1</v>
      </c>
      <c r="J83" s="277">
        <f t="shared" si="49"/>
        <v>0</v>
      </c>
      <c r="K83" s="116" t="s">
        <v>31</v>
      </c>
      <c r="L83" s="299"/>
      <c r="M83" s="278"/>
    </row>
    <row r="84" spans="1:14" x14ac:dyDescent="0.55000000000000004">
      <c r="A84" s="281">
        <v>16</v>
      </c>
      <c r="B84" s="67"/>
      <c r="C84" s="135" t="s">
        <v>30</v>
      </c>
      <c r="D84" s="67"/>
      <c r="E84" s="298"/>
      <c r="F84" s="66"/>
      <c r="G84" s="66"/>
      <c r="H84" s="66"/>
      <c r="I84" s="276">
        <v>1</v>
      </c>
      <c r="J84" s="277">
        <f t="shared" si="49"/>
        <v>0</v>
      </c>
      <c r="K84" s="116" t="s">
        <v>31</v>
      </c>
      <c r="L84" s="299"/>
      <c r="M84" s="278"/>
    </row>
    <row r="85" spans="1:14" x14ac:dyDescent="0.55000000000000004">
      <c r="A85" s="281">
        <v>17</v>
      </c>
      <c r="B85" s="67"/>
      <c r="C85" s="135" t="s">
        <v>30</v>
      </c>
      <c r="D85" s="67"/>
      <c r="E85" s="298"/>
      <c r="F85" s="66"/>
      <c r="G85" s="66"/>
      <c r="H85" s="66"/>
      <c r="I85" s="276">
        <v>1</v>
      </c>
      <c r="J85" s="277">
        <f t="shared" si="49"/>
        <v>0</v>
      </c>
      <c r="K85" s="116" t="s">
        <v>31</v>
      </c>
      <c r="L85" s="299"/>
      <c r="M85" s="278"/>
    </row>
    <row r="86" spans="1:14" x14ac:dyDescent="0.55000000000000004">
      <c r="A86" s="281">
        <v>18</v>
      </c>
      <c r="B86" s="67"/>
      <c r="C86" s="135" t="s">
        <v>30</v>
      </c>
      <c r="D86" s="67"/>
      <c r="E86" s="298"/>
      <c r="F86" s="66"/>
      <c r="G86" s="66"/>
      <c r="H86" s="66"/>
      <c r="I86" s="276">
        <v>1</v>
      </c>
      <c r="J86" s="277">
        <f t="shared" si="49"/>
        <v>0</v>
      </c>
      <c r="K86" s="116" t="s">
        <v>31</v>
      </c>
      <c r="L86" s="299"/>
      <c r="M86" s="278"/>
    </row>
    <row r="87" spans="1:14" x14ac:dyDescent="0.55000000000000004">
      <c r="A87" s="281">
        <v>19</v>
      </c>
      <c r="B87" s="67"/>
      <c r="C87" s="135" t="s">
        <v>30</v>
      </c>
      <c r="D87" s="67"/>
      <c r="E87" s="298"/>
      <c r="F87" s="66"/>
      <c r="G87" s="66"/>
      <c r="H87" s="66"/>
      <c r="I87" s="276">
        <v>1</v>
      </c>
      <c r="J87" s="277">
        <f t="shared" si="49"/>
        <v>0</v>
      </c>
      <c r="K87" s="116" t="s">
        <v>31</v>
      </c>
      <c r="L87" s="299"/>
      <c r="M87" s="278"/>
    </row>
    <row r="88" spans="1:14" x14ac:dyDescent="0.55000000000000004">
      <c r="A88" s="281">
        <v>20</v>
      </c>
      <c r="B88" s="67"/>
      <c r="C88" s="135" t="s">
        <v>30</v>
      </c>
      <c r="D88" s="67"/>
      <c r="E88" s="298"/>
      <c r="F88" s="66"/>
      <c r="G88" s="66"/>
      <c r="H88" s="66"/>
      <c r="I88" s="276">
        <v>1</v>
      </c>
      <c r="J88" s="277">
        <f t="shared" si="49"/>
        <v>0</v>
      </c>
      <c r="K88" s="116" t="s">
        <v>31</v>
      </c>
      <c r="L88" s="299"/>
      <c r="M88" s="278"/>
    </row>
    <row r="89" spans="1:14" x14ac:dyDescent="0.55000000000000004">
      <c r="A89" s="281">
        <v>21</v>
      </c>
      <c r="B89" s="67"/>
      <c r="C89" s="135" t="s">
        <v>30</v>
      </c>
      <c r="D89" s="67"/>
      <c r="E89" s="298"/>
      <c r="F89" s="66"/>
      <c r="G89" s="66"/>
      <c r="H89" s="66"/>
      <c r="I89" s="276">
        <v>1</v>
      </c>
      <c r="J89" s="277">
        <f>F89*G89*H89</f>
        <v>0</v>
      </c>
      <c r="K89" s="116" t="s">
        <v>31</v>
      </c>
      <c r="L89" s="299"/>
      <c r="M89" s="278"/>
    </row>
    <row r="90" spans="1:14" x14ac:dyDescent="0.55000000000000004">
      <c r="A90" s="281">
        <v>22</v>
      </c>
      <c r="B90" s="67"/>
      <c r="C90" s="135" t="s">
        <v>30</v>
      </c>
      <c r="D90" s="67"/>
      <c r="E90" s="298"/>
      <c r="F90" s="66"/>
      <c r="G90" s="66"/>
      <c r="H90" s="66"/>
      <c r="I90" s="276">
        <v>1</v>
      </c>
      <c r="J90" s="277">
        <f t="shared" ref="J90:J93" si="50">F90*G90*H90</f>
        <v>0</v>
      </c>
      <c r="K90" s="116" t="s">
        <v>31</v>
      </c>
      <c r="L90" s="299"/>
      <c r="M90" s="278"/>
      <c r="N90" s="432"/>
    </row>
    <row r="91" spans="1:14" x14ac:dyDescent="0.55000000000000004">
      <c r="A91" s="281">
        <v>23</v>
      </c>
      <c r="B91" s="67"/>
      <c r="C91" s="135" t="s">
        <v>30</v>
      </c>
      <c r="D91" s="67"/>
      <c r="E91" s="298"/>
      <c r="F91" s="66"/>
      <c r="G91" s="66"/>
      <c r="H91" s="66"/>
      <c r="I91" s="276">
        <v>1</v>
      </c>
      <c r="J91" s="277">
        <f t="shared" si="50"/>
        <v>0</v>
      </c>
      <c r="K91" s="116" t="s">
        <v>31</v>
      </c>
      <c r="L91" s="299"/>
      <c r="M91" s="278"/>
      <c r="N91" s="432"/>
    </row>
    <row r="92" spans="1:14" x14ac:dyDescent="0.55000000000000004">
      <c r="A92" s="281">
        <v>24</v>
      </c>
      <c r="B92" s="67"/>
      <c r="C92" s="135" t="s">
        <v>30</v>
      </c>
      <c r="D92" s="67"/>
      <c r="E92" s="298"/>
      <c r="F92" s="66"/>
      <c r="G92" s="66"/>
      <c r="H92" s="66"/>
      <c r="I92" s="276">
        <v>1</v>
      </c>
      <c r="J92" s="277">
        <f t="shared" si="50"/>
        <v>0</v>
      </c>
      <c r="K92" s="116" t="s">
        <v>31</v>
      </c>
      <c r="L92" s="299"/>
      <c r="M92" s="554"/>
      <c r="N92" s="432"/>
    </row>
    <row r="93" spans="1:14" x14ac:dyDescent="0.55000000000000004">
      <c r="A93" s="281">
        <v>25</v>
      </c>
      <c r="B93" s="67"/>
      <c r="C93" s="135" t="s">
        <v>30</v>
      </c>
      <c r="D93" s="67"/>
      <c r="E93" s="298"/>
      <c r="F93" s="66"/>
      <c r="G93" s="66"/>
      <c r="H93" s="66"/>
      <c r="I93" s="276">
        <v>1</v>
      </c>
      <c r="J93" s="277">
        <f t="shared" si="50"/>
        <v>0</v>
      </c>
      <c r="K93" s="116" t="s">
        <v>31</v>
      </c>
      <c r="L93" s="299"/>
      <c r="M93" s="554"/>
      <c r="N93" s="432"/>
    </row>
    <row r="94" spans="1:14" x14ac:dyDescent="0.55000000000000004">
      <c r="A94" s="281">
        <v>70</v>
      </c>
      <c r="B94" s="67"/>
      <c r="C94" s="135" t="s">
        <v>30</v>
      </c>
      <c r="D94" s="67"/>
      <c r="E94" s="298"/>
      <c r="F94" s="66"/>
      <c r="G94" s="66"/>
      <c r="H94" s="66"/>
      <c r="I94" s="276">
        <v>1</v>
      </c>
      <c r="J94" s="277">
        <f t="shared" ref="J94" si="51">F94*G94*H94</f>
        <v>0</v>
      </c>
      <c r="K94" s="116" t="s">
        <v>31</v>
      </c>
      <c r="L94" s="299"/>
      <c r="M94" s="278"/>
      <c r="N94" s="432"/>
    </row>
    <row r="95" spans="1:14" x14ac:dyDescent="0.55000000000000004">
      <c r="A95" s="386"/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7"/>
      <c r="M95" s="388"/>
    </row>
  </sheetData>
  <autoFilter ref="A68:N94" xr:uid="{00000000-0009-0000-0000-000001000000}"/>
  <mergeCells count="43">
    <mergeCell ref="B45:D45"/>
    <mergeCell ref="L45:N45"/>
    <mergeCell ref="B44:D44"/>
    <mergeCell ref="L44:N44"/>
    <mergeCell ref="P25:P26"/>
    <mergeCell ref="O32:O33"/>
    <mergeCell ref="P32:P33"/>
    <mergeCell ref="O22:P22"/>
    <mergeCell ref="B43:D43"/>
    <mergeCell ref="L43:N43"/>
    <mergeCell ref="L30:L33"/>
    <mergeCell ref="M30:N33"/>
    <mergeCell ref="M28:N29"/>
    <mergeCell ref="L39:N42"/>
    <mergeCell ref="L38:N38"/>
    <mergeCell ref="M34:N35"/>
    <mergeCell ref="L34:L35"/>
    <mergeCell ref="L36:L37"/>
    <mergeCell ref="O36:P36"/>
    <mergeCell ref="M36:N37"/>
    <mergeCell ref="O25:O26"/>
    <mergeCell ref="A1:N1"/>
    <mergeCell ref="J3:J4"/>
    <mergeCell ref="L3:L6"/>
    <mergeCell ref="J5:J6"/>
    <mergeCell ref="J8:J9"/>
    <mergeCell ref="L8:L11"/>
    <mergeCell ref="J10:J11"/>
    <mergeCell ref="L63:N66"/>
    <mergeCell ref="L62:N62"/>
    <mergeCell ref="L54:L57"/>
    <mergeCell ref="M54:N57"/>
    <mergeCell ref="L13:L16"/>
    <mergeCell ref="L18:L21"/>
    <mergeCell ref="L23:N25"/>
    <mergeCell ref="L28:L29"/>
    <mergeCell ref="L58:L59"/>
    <mergeCell ref="M58:N59"/>
    <mergeCell ref="L60:L61"/>
    <mergeCell ref="M60:N61"/>
    <mergeCell ref="L47:N49"/>
    <mergeCell ref="L52:L53"/>
    <mergeCell ref="M52:N53"/>
  </mergeCells>
  <phoneticPr fontId="35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P137"/>
  <sheetViews>
    <sheetView topLeftCell="A20" zoomScaleNormal="100" workbookViewId="0">
      <selection activeCell="V35" sqref="V35"/>
    </sheetView>
  </sheetViews>
  <sheetFormatPr defaultColWidth="9.19921875" defaultRowHeight="15.75" x14ac:dyDescent="0.55000000000000004"/>
  <cols>
    <col min="1" max="1" width="11.19921875" style="1" customWidth="1"/>
    <col min="2" max="2" width="10.19921875" style="138" customWidth="1"/>
    <col min="3" max="3" width="7.796875" style="38" customWidth="1"/>
    <col min="4" max="4" width="10.19921875" style="38" customWidth="1"/>
    <col min="5" max="5" width="9.796875" style="39" customWidth="1"/>
    <col min="6" max="6" width="11.796875" style="38" customWidth="1"/>
    <col min="7" max="7" width="11.796875" style="1" customWidth="1"/>
    <col min="8" max="8" width="12.796875" style="1" customWidth="1"/>
    <col min="9" max="9" width="9.3984375" style="139" customWidth="1"/>
    <col min="10" max="10" width="12.796875" style="1" customWidth="1"/>
    <col min="11" max="11" width="10.796875" style="140" customWidth="1"/>
    <col min="12" max="12" width="11.19921875" style="1" customWidth="1"/>
    <col min="13" max="13" width="12" style="1" customWidth="1"/>
    <col min="14" max="14" width="6.3984375" style="1" customWidth="1"/>
    <col min="15" max="15" width="11.59765625" style="86" customWidth="1"/>
    <col min="16" max="16384" width="9.19921875" style="1"/>
  </cols>
  <sheetData>
    <row r="1" spans="1:16" ht="29.25" x14ac:dyDescent="0.55000000000000004">
      <c r="A1" s="781" t="s">
        <v>559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</row>
    <row r="2" spans="1:16" s="119" customFormat="1" ht="18.75" hidden="1" x14ac:dyDescent="0.55000000000000004">
      <c r="A2" s="783" t="s">
        <v>82</v>
      </c>
      <c r="B2" s="784"/>
      <c r="C2" s="117" t="s">
        <v>83</v>
      </c>
      <c r="D2" s="117" t="s">
        <v>44</v>
      </c>
      <c r="E2" s="785" t="s">
        <v>84</v>
      </c>
      <c r="F2" s="786"/>
      <c r="G2" s="118" t="s">
        <v>83</v>
      </c>
      <c r="H2" s="118" t="s">
        <v>44</v>
      </c>
      <c r="I2" s="787" t="s">
        <v>85</v>
      </c>
      <c r="J2" s="788"/>
      <c r="K2" s="40" t="s">
        <v>83</v>
      </c>
      <c r="L2" s="40" t="s">
        <v>44</v>
      </c>
      <c r="O2" s="86"/>
    </row>
    <row r="3" spans="1:16" ht="15.6" hidden="1" customHeight="1" x14ac:dyDescent="0.55000000000000004">
      <c r="A3" s="789" t="s">
        <v>3</v>
      </c>
      <c r="B3" s="120" t="s">
        <v>8</v>
      </c>
      <c r="C3" s="121">
        <v>885</v>
      </c>
      <c r="D3" s="43">
        <v>545.1</v>
      </c>
      <c r="E3" s="789" t="s">
        <v>3</v>
      </c>
      <c r="F3" s="120" t="s">
        <v>8</v>
      </c>
      <c r="G3" s="121">
        <f ca="1">SUMIFS($J:$J,$E:$E,"A",$L:$L,"IO",$I:$I,0.025)</f>
        <v>0</v>
      </c>
      <c r="H3" s="43">
        <f ca="1">SUMIFS($K:$K,$E:$E,"A",$L:$L,"IO",$I:$I,0.025)</f>
        <v>0</v>
      </c>
      <c r="I3" s="789" t="s">
        <v>3</v>
      </c>
      <c r="J3" s="120" t="s">
        <v>8</v>
      </c>
      <c r="K3" s="121">
        <f ca="1">SUMIFS($J:$J,$E:$E,"A",$L:$L,"IO",$I:$I,0.04)</f>
        <v>0</v>
      </c>
      <c r="L3" s="43">
        <f ca="1">SUMIFS($K:$K,$E:$E,"A",$L:$L,"IO",$I:$I,0.04)</f>
        <v>0</v>
      </c>
    </row>
    <row r="4" spans="1:16" hidden="1" x14ac:dyDescent="0.55000000000000004">
      <c r="A4" s="790"/>
      <c r="B4" s="120" t="s">
        <v>48</v>
      </c>
      <c r="C4" s="122">
        <f ca="1">SUMIFS($I:$I,$D:$D,"A",$K:$K,"I",$H:$H,0.02)</f>
        <v>0</v>
      </c>
      <c r="D4" s="123">
        <f ca="1">SUMIFS($J:$J,$D:$D,"A",$K:$K,"I",$H:$H,0.02)</f>
        <v>0</v>
      </c>
      <c r="E4" s="790"/>
      <c r="F4" s="120" t="s">
        <v>48</v>
      </c>
      <c r="G4" s="121">
        <f ca="1">SUMIFS($I:$I,$D:$D,"A",$K:$K,"I",$H:$H,0.025)</f>
        <v>0</v>
      </c>
      <c r="H4" s="43">
        <f ca="1">SUMIFS($J:$J,$D:$D,"A",$K:$K,"I",$H:$H,0.052)</f>
        <v>0</v>
      </c>
      <c r="I4" s="790"/>
      <c r="J4" s="120" t="s">
        <v>48</v>
      </c>
      <c r="K4" s="121">
        <f ca="1">SUMIFS($I:$I,$D:$D,"A",$K:$K,"I",$H:$H,0.04)</f>
        <v>0</v>
      </c>
      <c r="L4" s="43">
        <f ca="1">SUMIFS($J:$J,$D:$D,"A",$K:$K,"I",$H:$H,0.04)</f>
        <v>0</v>
      </c>
    </row>
    <row r="5" spans="1:16" hidden="1" x14ac:dyDescent="0.55000000000000004">
      <c r="A5" s="790"/>
      <c r="B5" s="120" t="s">
        <v>49</v>
      </c>
      <c r="C5" s="121">
        <f ca="1">SUMIFS($I:$I,$D:$D,"A",$L:$L,"O",$H:$H,0.02)</f>
        <v>0</v>
      </c>
      <c r="D5" s="43">
        <f ca="1">SUMIFS($J:$J,$D:$D,"A",$L:$L,"O",$H:$H,0.02)</f>
        <v>0</v>
      </c>
      <c r="E5" s="790"/>
      <c r="F5" s="120" t="s">
        <v>49</v>
      </c>
      <c r="G5" s="121">
        <f ca="1">SUMIFS($I:$I,$D:$D,"A",$L:$L,"O",$H:$H,0.025)</f>
        <v>0</v>
      </c>
      <c r="H5" s="43">
        <f ca="1">SUMIFS($J:$J,$D:$D,"A",$L:$L,"O",$H:$H,0.025)</f>
        <v>0</v>
      </c>
      <c r="I5" s="790"/>
      <c r="J5" s="120" t="s">
        <v>49</v>
      </c>
      <c r="K5" s="121">
        <f ca="1">SUMIFS($I:$I,$D:$D,"A",$L:$L,"O",$H:$H,0.04)</f>
        <v>0</v>
      </c>
      <c r="L5" s="43">
        <f ca="1">SUMIFS($J:$J,$D:$D,"A",$L:$L,"O",$H:$H,0.04)</f>
        <v>0</v>
      </c>
    </row>
    <row r="6" spans="1:16" hidden="1" x14ac:dyDescent="0.55000000000000004">
      <c r="A6" s="791"/>
      <c r="B6" s="124" t="s">
        <v>50</v>
      </c>
      <c r="C6" s="125">
        <f ca="1">C3+C4-C5</f>
        <v>885</v>
      </c>
      <c r="D6" s="43">
        <f ca="1">D3+D4-D5</f>
        <v>545.1</v>
      </c>
      <c r="E6" s="791"/>
      <c r="F6" s="124" t="s">
        <v>50</v>
      </c>
      <c r="G6" s="125">
        <f ca="1">G3+G4-G5</f>
        <v>0</v>
      </c>
      <c r="H6" s="43">
        <f ca="1">H3+H4-H5</f>
        <v>0</v>
      </c>
      <c r="I6" s="791"/>
      <c r="J6" s="124" t="s">
        <v>50</v>
      </c>
      <c r="K6" s="125">
        <f ca="1">K3+K4-K5</f>
        <v>0</v>
      </c>
      <c r="L6" s="43">
        <f ca="1">L3+L4-L5</f>
        <v>0</v>
      </c>
    </row>
    <row r="7" spans="1:16" ht="15" hidden="1" customHeight="1" x14ac:dyDescent="0.55000000000000004">
      <c r="A7" s="763" t="s">
        <v>4</v>
      </c>
      <c r="B7" s="126" t="s">
        <v>8</v>
      </c>
      <c r="C7" s="127">
        <v>5943</v>
      </c>
      <c r="D7" s="128">
        <v>3341.1</v>
      </c>
      <c r="E7" s="760" t="s">
        <v>4</v>
      </c>
      <c r="F7" s="126" t="s">
        <v>8</v>
      </c>
      <c r="G7" s="127">
        <f>SUMIFS($J:$J,$E:$E,"B",$L:$L,"IO",$I:$I,0.025)</f>
        <v>0</v>
      </c>
      <c r="H7" s="128">
        <f>SUMIFS($K:$K,$E:$E,"B",$L:$L,"IO",$I:$I,0.025)</f>
        <v>0</v>
      </c>
      <c r="I7" s="763" t="s">
        <v>4</v>
      </c>
      <c r="J7" s="126" t="s">
        <v>8</v>
      </c>
      <c r="K7" s="127">
        <v>50</v>
      </c>
      <c r="L7" s="128">
        <v>36.6</v>
      </c>
    </row>
    <row r="8" spans="1:16" hidden="1" x14ac:dyDescent="0.55000000000000004">
      <c r="A8" s="764"/>
      <c r="B8" s="126" t="s">
        <v>48</v>
      </c>
      <c r="C8" s="129">
        <f ca="1">SUMIFS($I:$I,$D:$D,"B",$K:$K,"I",$H:$H,0.02)</f>
        <v>27</v>
      </c>
      <c r="D8" s="130">
        <f ca="1">SUMIFS($J:$J,$D:$D,"B",$K:$K,"I",$H:$H,0.02)</f>
        <v>24.299999999999997</v>
      </c>
      <c r="E8" s="761"/>
      <c r="F8" s="126" t="s">
        <v>48</v>
      </c>
      <c r="G8" s="127">
        <f ca="1">SUMIFS($I:$I,$D:$D,"B",$K:$K,"I",$H:$H,0.025)</f>
        <v>0</v>
      </c>
      <c r="H8" s="128">
        <f ca="1">SUMIFS($J:$J,$D:$D,"B",$K:$K,"I",$H:$H,0.025)</f>
        <v>0</v>
      </c>
      <c r="I8" s="764"/>
      <c r="J8" s="126" t="s">
        <v>48</v>
      </c>
      <c r="K8" s="127">
        <f ca="1">SUMIFS($I:$I,$D:$D,"B",$K:$K,"I",$H:$H,0.04)</f>
        <v>0</v>
      </c>
      <c r="L8" s="128">
        <f ca="1">SUMIFS($J:$J,$D:$D,"B",$K:$K,"I",$H:$H,0.04)</f>
        <v>0</v>
      </c>
    </row>
    <row r="9" spans="1:16" hidden="1" x14ac:dyDescent="0.55000000000000004">
      <c r="A9" s="764"/>
      <c r="B9" s="126" t="s">
        <v>49</v>
      </c>
      <c r="C9" s="127">
        <f ca="1">SUMIFS($I:$I,$D:$D,"B",$L:$L,"O",$H:$H,0.02)</f>
        <v>0</v>
      </c>
      <c r="D9" s="128">
        <f ca="1">SUMIFS($J:$J,$D:$D,"B",$L:$L,"O",$H:$H,0.02)</f>
        <v>0</v>
      </c>
      <c r="E9" s="761"/>
      <c r="F9" s="126" t="s">
        <v>49</v>
      </c>
      <c r="G9" s="127">
        <f ca="1">SUMIFS($I:$I,$D:$D,"B",$L:$L,"O",$H:$H,0.025)</f>
        <v>0</v>
      </c>
      <c r="H9" s="128">
        <f ca="1">SUMIFS($J:$J,$D:$D,"B",$L:$L,"O",$H:$H,0.025)</f>
        <v>0</v>
      </c>
      <c r="I9" s="764"/>
      <c r="J9" s="126" t="s">
        <v>49</v>
      </c>
      <c r="K9" s="127">
        <f ca="1">SUMIFS($I:$I,$D:$D,"B",$L:$L,"O",$H:$H,0.04)</f>
        <v>0</v>
      </c>
      <c r="L9" s="128">
        <f ca="1">SUMIFS($J:$J,$D:$D,"B",$L:$L,"O",$H:$H,0.04)</f>
        <v>0</v>
      </c>
    </row>
    <row r="10" spans="1:16" hidden="1" x14ac:dyDescent="0.55000000000000004">
      <c r="A10" s="765"/>
      <c r="B10" s="131" t="s">
        <v>50</v>
      </c>
      <c r="C10" s="132">
        <f ca="1">C7+C8-C9</f>
        <v>5970</v>
      </c>
      <c r="D10" s="128">
        <f ca="1">D7+D8-D9</f>
        <v>3365.4</v>
      </c>
      <c r="E10" s="762"/>
      <c r="F10" s="131" t="s">
        <v>50</v>
      </c>
      <c r="G10" s="132">
        <f ca="1">G7+G8-G9</f>
        <v>0</v>
      </c>
      <c r="H10" s="128">
        <f ca="1">H7+H8-H9</f>
        <v>0</v>
      </c>
      <c r="I10" s="765"/>
      <c r="J10" s="131" t="s">
        <v>50</v>
      </c>
      <c r="K10" s="132">
        <f ca="1">K7+K8-K9</f>
        <v>50</v>
      </c>
      <c r="L10" s="128">
        <f ca="1">L7+L8-L9</f>
        <v>36.6</v>
      </c>
    </row>
    <row r="11" spans="1:16" s="2" customFormat="1" ht="21.75" customHeight="1" x14ac:dyDescent="0.55000000000000004">
      <c r="A11" s="148" t="s">
        <v>0</v>
      </c>
      <c r="B11" s="145">
        <v>1</v>
      </c>
      <c r="C11" s="146">
        <v>2</v>
      </c>
      <c r="D11" s="145">
        <v>3</v>
      </c>
      <c r="E11" s="146">
        <v>4</v>
      </c>
      <c r="F11" s="147">
        <v>5</v>
      </c>
      <c r="G11" s="146">
        <v>6</v>
      </c>
      <c r="H11" s="145">
        <v>7</v>
      </c>
      <c r="I11" s="148"/>
      <c r="J11" s="149"/>
      <c r="K11" s="150" t="s">
        <v>1</v>
      </c>
      <c r="L11" s="697" t="s">
        <v>2</v>
      </c>
      <c r="M11" s="698"/>
      <c r="N11" s="699"/>
      <c r="O11" s="743" t="s">
        <v>114</v>
      </c>
      <c r="P11" s="743"/>
    </row>
    <row r="12" spans="1:16" s="2" customFormat="1" ht="21.75" customHeight="1" x14ac:dyDescent="0.55000000000000004">
      <c r="A12" s="222" t="s">
        <v>3</v>
      </c>
      <c r="B12" s="7">
        <f>SUMIFS($J$93:$J$4825,$B$93:$B$4825,B11&amp;"-02-2023",$D$93:$D$4825,$A$12,$K$93:$K$4825,"I")</f>
        <v>0</v>
      </c>
      <c r="C12" s="7">
        <f t="shared" ref="C12:I12" si="0">SUMIFS($J$93:$J$4825,$B$93:$B$4825,C11&amp;"-02-2023",$D$93:$D$4825,$A$12,$K$93:$K$4825,"I")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 t="shared" si="0"/>
        <v>0</v>
      </c>
      <c r="I12" s="7">
        <f t="shared" si="0"/>
        <v>0</v>
      </c>
      <c r="J12" s="741"/>
      <c r="K12" s="8">
        <f>SUM(B12:I12)</f>
        <v>0</v>
      </c>
      <c r="L12" s="700"/>
      <c r="M12" s="701"/>
      <c r="N12" s="702"/>
      <c r="O12" s="141" t="s">
        <v>113</v>
      </c>
      <c r="P12" s="68" t="s">
        <v>53</v>
      </c>
    </row>
    <row r="13" spans="1:16" s="2" customFormat="1" ht="21.75" customHeight="1" x14ac:dyDescent="0.55000000000000004">
      <c r="A13" s="222" t="s">
        <v>4</v>
      </c>
      <c r="B13" s="7">
        <f>SUMIFS($J$93:$J$4825,$B$93:$B$4825,B11&amp;"-02-2023",$D$93:$D$4825,$A$13,$K$93:$K$4825,"I")</f>
        <v>0</v>
      </c>
      <c r="C13" s="7">
        <f t="shared" ref="C13:I13" si="1">SUMIFS($J$93:$J$4825,$B$93:$B$4825,C11&amp;"-02-2023",$D$93:$D$4825,$A$13,$K$93:$K$4825,"I")</f>
        <v>0</v>
      </c>
      <c r="D13" s="7">
        <f t="shared" si="1"/>
        <v>0</v>
      </c>
      <c r="E13" s="7">
        <f t="shared" si="1"/>
        <v>0</v>
      </c>
      <c r="F13" s="7">
        <f t="shared" si="1"/>
        <v>0</v>
      </c>
      <c r="G13" s="7">
        <f t="shared" si="1"/>
        <v>0</v>
      </c>
      <c r="H13" s="7">
        <f t="shared" si="1"/>
        <v>0</v>
      </c>
      <c r="I13" s="7">
        <f t="shared" si="1"/>
        <v>0</v>
      </c>
      <c r="J13" s="741"/>
      <c r="K13" s="8">
        <f>SUM(B13:I13)</f>
        <v>0</v>
      </c>
      <c r="L13" s="700"/>
      <c r="M13" s="701"/>
      <c r="N13" s="702"/>
      <c r="O13" s="159">
        <f>K12+K17+K22+K27</f>
        <v>0</v>
      </c>
      <c r="P13" s="159" t="s">
        <v>3</v>
      </c>
    </row>
    <row r="14" spans="1:16" s="2" customFormat="1" ht="21.75" customHeight="1" x14ac:dyDescent="0.55000000000000004">
      <c r="A14" s="222" t="s">
        <v>15</v>
      </c>
      <c r="B14" s="7">
        <f>SUMIFS($J$93:$J$4825,$B$93:$B$4825,B11&amp;"-02-2023",$D$93:$D$4825,$A$14,$K$93:$K$4825,"I")</f>
        <v>0</v>
      </c>
      <c r="C14" s="7">
        <f t="shared" ref="C14:I14" si="2">SUMIFS($J$93:$J$4825,$B$93:$B$4825,C11&amp;"-02-2023",$D$93:$D$4825,$A$14,$K$93:$K$4825,"I")</f>
        <v>0</v>
      </c>
      <c r="D14" s="7">
        <f t="shared" si="2"/>
        <v>223.8</v>
      </c>
      <c r="E14" s="7">
        <f t="shared" si="2"/>
        <v>68.399999999999991</v>
      </c>
      <c r="F14" s="7">
        <f t="shared" si="2"/>
        <v>0</v>
      </c>
      <c r="G14" s="7">
        <f t="shared" si="2"/>
        <v>0</v>
      </c>
      <c r="H14" s="7">
        <f t="shared" si="2"/>
        <v>0</v>
      </c>
      <c r="I14" s="7">
        <f t="shared" si="2"/>
        <v>0</v>
      </c>
      <c r="J14" s="741"/>
      <c r="K14" s="8">
        <f>SUM(B14:I14)</f>
        <v>292.2</v>
      </c>
      <c r="L14" s="700"/>
      <c r="M14" s="701"/>
      <c r="N14" s="702"/>
      <c r="O14" s="159">
        <f>K13+K18+K23+K28</f>
        <v>0</v>
      </c>
      <c r="P14" s="159" t="s">
        <v>4</v>
      </c>
    </row>
    <row r="15" spans="1:16" s="2" customFormat="1" ht="21.75" customHeight="1" x14ac:dyDescent="0.55000000000000004">
      <c r="A15" s="222" t="s">
        <v>165</v>
      </c>
      <c r="B15" s="7">
        <f>SUMIFS($J$93:$J$4825,$B$93:$B$4825,B11&amp;"-02-2023",$D$93:$D$4825,$A$15,$K$93:$K$4825,"I")</f>
        <v>0</v>
      </c>
      <c r="C15" s="7">
        <f t="shared" ref="C15:I15" si="3">SUMIFS($J$93:$J$4825,$B$93:$B$4825,C11&amp;"-02-2023",$D$93:$D$4825,$A$15,$K$93:$K$4825,"I")</f>
        <v>0</v>
      </c>
      <c r="D15" s="7">
        <f t="shared" si="3"/>
        <v>98.58</v>
      </c>
      <c r="E15" s="7">
        <f t="shared" si="3"/>
        <v>135.48000000000002</v>
      </c>
      <c r="F15" s="7">
        <f t="shared" si="3"/>
        <v>0</v>
      </c>
      <c r="G15" s="7">
        <f t="shared" si="3"/>
        <v>0</v>
      </c>
      <c r="H15" s="7">
        <f t="shared" si="3"/>
        <v>0</v>
      </c>
      <c r="I15" s="7">
        <f t="shared" si="3"/>
        <v>0</v>
      </c>
      <c r="J15" s="741"/>
      <c r="K15" s="8">
        <f>SUM(B15:I15)</f>
        <v>234.06</v>
      </c>
      <c r="L15" s="703"/>
      <c r="M15" s="704"/>
      <c r="N15" s="705"/>
      <c r="O15" s="159">
        <f>K14+K19+K24+K29</f>
        <v>292.2</v>
      </c>
      <c r="P15" s="159" t="s">
        <v>15</v>
      </c>
    </row>
    <row r="16" spans="1:16" s="2" customFormat="1" ht="21.75" customHeight="1" x14ac:dyDescent="0.55000000000000004">
      <c r="A16" s="148" t="s">
        <v>0</v>
      </c>
      <c r="B16" s="145">
        <v>8</v>
      </c>
      <c r="C16" s="147">
        <v>9</v>
      </c>
      <c r="D16" s="145">
        <v>10</v>
      </c>
      <c r="E16" s="147">
        <v>11</v>
      </c>
      <c r="F16" s="145">
        <v>12</v>
      </c>
      <c r="G16" s="147">
        <v>13</v>
      </c>
      <c r="H16" s="145">
        <v>14</v>
      </c>
      <c r="I16" s="147">
        <v>15</v>
      </c>
      <c r="J16" s="151"/>
      <c r="K16" s="152" t="s">
        <v>5</v>
      </c>
      <c r="L16" s="793" t="s">
        <v>3</v>
      </c>
      <c r="M16" s="766">
        <f>K12+K17+K22+K27</f>
        <v>0</v>
      </c>
      <c r="N16" s="767"/>
      <c r="O16" s="159">
        <f>K15+K20+K25+K30</f>
        <v>234.06</v>
      </c>
      <c r="P16" s="159" t="s">
        <v>165</v>
      </c>
    </row>
    <row r="17" spans="1:16" s="2" customFormat="1" ht="21.75" customHeight="1" x14ac:dyDescent="0.55000000000000004">
      <c r="A17" s="222" t="s">
        <v>3</v>
      </c>
      <c r="B17" s="7">
        <f>SUMIFS($J$93:$J$4825,$B$93:$B$4825,B16&amp;"-02-2023",$D$93:$D$4825,$A$17,$K$93:$K$4825,"I")</f>
        <v>0</v>
      </c>
      <c r="C17" s="7">
        <f t="shared" ref="C17:I17" si="4">SUMIFS($J$93:$J$4825,$B$93:$B$4825,C16&amp;"-02-2023",$D$93:$D$4825,$A$17,$K$93:$K$4825,"I")</f>
        <v>0</v>
      </c>
      <c r="D17" s="7">
        <f t="shared" si="4"/>
        <v>0</v>
      </c>
      <c r="E17" s="7">
        <f t="shared" si="4"/>
        <v>0</v>
      </c>
      <c r="F17" s="7">
        <f t="shared" si="4"/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42"/>
      <c r="K17" s="8">
        <f>SUM(B17:I17)</f>
        <v>0</v>
      </c>
      <c r="L17" s="794"/>
      <c r="M17" s="768"/>
      <c r="N17" s="769"/>
      <c r="O17" s="160">
        <f>SUM(O13:O16)</f>
        <v>526.26</v>
      </c>
      <c r="P17" s="159"/>
    </row>
    <row r="18" spans="1:16" s="2" customFormat="1" ht="22.5" customHeight="1" x14ac:dyDescent="0.55000000000000004">
      <c r="A18" s="222" t="s">
        <v>4</v>
      </c>
      <c r="B18" s="7">
        <f>SUMIFS($J$93:$J$4825,$B$93:$B$4825,B16&amp;"-02-2023",$D$93:$D$4825,$A$18,$K$93:$K$4825,"I")</f>
        <v>0</v>
      </c>
      <c r="C18" s="7">
        <f t="shared" ref="C18:I18" si="5">SUMIFS($J$93:$J$4825,$B$93:$B$4825,C16&amp;"-02-2023",$D$93:$D$4825,$A$18,$K$93:$K$4825,"I")</f>
        <v>0</v>
      </c>
      <c r="D18" s="7">
        <f t="shared" si="5"/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7">
        <f t="shared" si="5"/>
        <v>0</v>
      </c>
      <c r="I18" s="7">
        <f t="shared" si="5"/>
        <v>0</v>
      </c>
      <c r="J18" s="742"/>
      <c r="K18" s="8">
        <f>SUM(B18:I18)</f>
        <v>0</v>
      </c>
      <c r="L18" s="470" t="s">
        <v>4</v>
      </c>
      <c r="M18" s="756">
        <f>K13+K18+K23+K28</f>
        <v>0</v>
      </c>
      <c r="N18" s="758"/>
      <c r="O18" s="792"/>
      <c r="P18" s="792"/>
    </row>
    <row r="19" spans="1:16" s="2" customFormat="1" ht="21.75" customHeight="1" x14ac:dyDescent="0.55000000000000004">
      <c r="A19" s="222" t="s">
        <v>15</v>
      </c>
      <c r="B19" s="7">
        <f>SUMIFS($J$93:$J$4825,$B$93:$B$4825,B16&amp;"-02-2023",$D$93:$D$4825,$A$19,$K$93:$K$4825,"I")</f>
        <v>0</v>
      </c>
      <c r="C19" s="7">
        <f t="shared" ref="C19:I19" si="6">SUMIFS($J$93:$J$4825,$B$93:$B$4825,C16&amp;"-02-2023",$D$93:$D$4825,$A$19,$K$93:$K$4825,"I")</f>
        <v>0</v>
      </c>
      <c r="D19" s="7">
        <f t="shared" si="6"/>
        <v>0</v>
      </c>
      <c r="E19" s="7">
        <f t="shared" si="6"/>
        <v>0</v>
      </c>
      <c r="F19" s="7">
        <f t="shared" si="6"/>
        <v>0</v>
      </c>
      <c r="G19" s="7">
        <f t="shared" si="6"/>
        <v>0</v>
      </c>
      <c r="H19" s="7">
        <f t="shared" si="6"/>
        <v>0</v>
      </c>
      <c r="I19" s="7">
        <f t="shared" si="6"/>
        <v>0</v>
      </c>
      <c r="J19" s="742"/>
      <c r="K19" s="8">
        <f>SUM(B19:I19)</f>
        <v>0</v>
      </c>
      <c r="L19" s="469" t="s">
        <v>15</v>
      </c>
      <c r="M19" s="756">
        <f>K14+K19+K24+K29</f>
        <v>292.2</v>
      </c>
      <c r="N19" s="758"/>
      <c r="O19" s="792"/>
      <c r="P19" s="792"/>
    </row>
    <row r="20" spans="1:16" s="2" customFormat="1" ht="21.75" customHeight="1" x14ac:dyDescent="0.55000000000000004">
      <c r="A20" s="222" t="s">
        <v>165</v>
      </c>
      <c r="B20" s="7">
        <f>SUMIFS($J$93:$J$4825,$B$93:$B$4825,B16&amp;"-02-2023",$D$93:$D$4825,$A$20,$K$93:$K$4825,"I")</f>
        <v>0</v>
      </c>
      <c r="C20" s="7">
        <f t="shared" ref="C20:I20" si="7">SUMIFS($J$93:$J$4825,$B$93:$B$4825,C16&amp;"-02-2023",$D$93:$D$4825,$A$20,$K$93:$K$4825,"I")</f>
        <v>0</v>
      </c>
      <c r="D20" s="7">
        <f t="shared" si="7"/>
        <v>0</v>
      </c>
      <c r="E20" s="7">
        <f t="shared" si="7"/>
        <v>0</v>
      </c>
      <c r="F20" s="7">
        <f t="shared" si="7"/>
        <v>0</v>
      </c>
      <c r="G20" s="7">
        <f t="shared" si="7"/>
        <v>0</v>
      </c>
      <c r="H20" s="7">
        <f t="shared" si="7"/>
        <v>0</v>
      </c>
      <c r="I20" s="7">
        <f t="shared" si="7"/>
        <v>0</v>
      </c>
      <c r="J20" s="742"/>
      <c r="K20" s="8">
        <f>SUM(B20:I20)</f>
        <v>0</v>
      </c>
      <c r="L20" s="793" t="s">
        <v>165</v>
      </c>
      <c r="M20" s="766">
        <f>K15+K20+K25+K30</f>
        <v>234.06</v>
      </c>
      <c r="N20" s="767"/>
      <c r="O20" s="780" t="s">
        <v>115</v>
      </c>
      <c r="P20" s="780"/>
    </row>
    <row r="21" spans="1:16" s="2" customFormat="1" ht="21.75" customHeight="1" x14ac:dyDescent="0.55000000000000004">
      <c r="A21" s="148" t="s">
        <v>0</v>
      </c>
      <c r="B21" s="145">
        <v>16</v>
      </c>
      <c r="C21" s="145">
        <v>17</v>
      </c>
      <c r="D21" s="145">
        <v>18</v>
      </c>
      <c r="E21" s="145">
        <v>19</v>
      </c>
      <c r="F21" s="145">
        <v>20</v>
      </c>
      <c r="G21" s="145">
        <v>21</v>
      </c>
      <c r="H21" s="145">
        <v>22</v>
      </c>
      <c r="I21" s="145">
        <v>23</v>
      </c>
      <c r="J21" s="153"/>
      <c r="K21" s="97" t="s">
        <v>6</v>
      </c>
      <c r="L21" s="794"/>
      <c r="M21" s="768"/>
      <c r="N21" s="769"/>
      <c r="O21" s="159">
        <f>K37+K42+K47+K52</f>
        <v>0</v>
      </c>
      <c r="P21" s="159" t="s">
        <v>3</v>
      </c>
    </row>
    <row r="22" spans="1:16" s="2" customFormat="1" ht="21.75" customHeight="1" x14ac:dyDescent="0.55000000000000004">
      <c r="A22" s="222" t="s">
        <v>3</v>
      </c>
      <c r="B22" s="7">
        <f>SUMIFS($J$93:$J$4825,$B$93:$B$4825,B21&amp;"-01-2023",$D$93:$D$4825,$A$22,$K$93:$K$4825,"I")</f>
        <v>0</v>
      </c>
      <c r="C22" s="7">
        <f t="shared" ref="C22:I22" si="8">SUMIFS($J$93:$J$4825,$B$93:$B$4825,C21&amp;"-01-2023",$D$93:$D$4825,$A$22,$K$93:$K$4825,"I")</f>
        <v>0</v>
      </c>
      <c r="D22" s="7">
        <f t="shared" si="8"/>
        <v>0</v>
      </c>
      <c r="E22" s="7">
        <f t="shared" si="8"/>
        <v>0</v>
      </c>
      <c r="F22" s="7">
        <f t="shared" si="8"/>
        <v>0</v>
      </c>
      <c r="G22" s="7">
        <f t="shared" si="8"/>
        <v>0</v>
      </c>
      <c r="H22" s="7">
        <f t="shared" si="8"/>
        <v>0</v>
      </c>
      <c r="I22" s="7">
        <f t="shared" si="8"/>
        <v>0</v>
      </c>
      <c r="J22" s="12"/>
      <c r="K22" s="8">
        <f>SUM(B22:I22)</f>
        <v>0</v>
      </c>
      <c r="L22" s="472"/>
      <c r="M22" s="133"/>
      <c r="N22" s="134"/>
      <c r="O22" s="159">
        <f>K38+K43+K48+K53</f>
        <v>0</v>
      </c>
      <c r="P22" s="159" t="s">
        <v>4</v>
      </c>
    </row>
    <row r="23" spans="1:16" s="2" customFormat="1" ht="21.75" customHeight="1" x14ac:dyDescent="0.55000000000000004">
      <c r="A23" s="222" t="s">
        <v>4</v>
      </c>
      <c r="B23" s="7">
        <f>SUMIFS($J$93:$J$4825,$B$93:$B$4825,B21&amp;"-01-2023",$D$93:$D$4825,$A$23,$K$93:$K$4825,"I")</f>
        <v>0</v>
      </c>
      <c r="C23" s="7">
        <f t="shared" ref="C23:I23" si="9">SUMIFS($J$93:$J$4825,$B$93:$B$4825,C21&amp;"-01-2023",$D$93:$D$4825,$A$23,$K$93:$K$4825,"I")</f>
        <v>0</v>
      </c>
      <c r="D23" s="7">
        <f t="shared" si="9"/>
        <v>0</v>
      </c>
      <c r="E23" s="7">
        <f t="shared" si="9"/>
        <v>0</v>
      </c>
      <c r="F23" s="7">
        <f t="shared" si="9"/>
        <v>0</v>
      </c>
      <c r="G23" s="7">
        <f t="shared" si="9"/>
        <v>0</v>
      </c>
      <c r="H23" s="7">
        <f t="shared" si="9"/>
        <v>0</v>
      </c>
      <c r="I23" s="7">
        <f t="shared" si="9"/>
        <v>0</v>
      </c>
      <c r="J23" s="12"/>
      <c r="K23" s="8">
        <f>SUM(B23:I23)</f>
        <v>0</v>
      </c>
      <c r="L23" s="52"/>
      <c r="M23" s="471"/>
      <c r="N23" s="53"/>
      <c r="O23" s="160">
        <f>K39+K44+K49+K54</f>
        <v>134.22</v>
      </c>
      <c r="P23" s="159" t="s">
        <v>15</v>
      </c>
    </row>
    <row r="24" spans="1:16" s="2" customFormat="1" ht="21.75" customHeight="1" x14ac:dyDescent="0.55000000000000004">
      <c r="A24" s="222" t="s">
        <v>15</v>
      </c>
      <c r="B24" s="7">
        <f>SUMIFS($J$93:$J$4825,$B$93:$B$4825,B21&amp;"-01-2023",$D$93:$D$4825,$A$24,$K$93:$K$4825,"I")</f>
        <v>0</v>
      </c>
      <c r="C24" s="7">
        <f t="shared" ref="C24:I24" si="10">SUMIFS($J$93:$J$4825,$B$93:$B$4825,C21&amp;"-01-2023",$D$93:$D$4825,$A$24,$K$93:$K$4825,"I")</f>
        <v>0</v>
      </c>
      <c r="D24" s="7">
        <f t="shared" si="10"/>
        <v>0</v>
      </c>
      <c r="E24" s="7">
        <f t="shared" si="10"/>
        <v>0</v>
      </c>
      <c r="F24" s="7">
        <f t="shared" si="10"/>
        <v>0</v>
      </c>
      <c r="G24" s="7">
        <f t="shared" si="10"/>
        <v>0</v>
      </c>
      <c r="H24" s="7">
        <f t="shared" si="10"/>
        <v>0</v>
      </c>
      <c r="I24" s="7">
        <f t="shared" si="10"/>
        <v>0</v>
      </c>
      <c r="J24" s="12"/>
      <c r="K24" s="8">
        <f>SUM(B24:I24)</f>
        <v>0</v>
      </c>
      <c r="L24" s="52"/>
      <c r="M24" s="471"/>
      <c r="N24" s="53"/>
      <c r="O24" s="160">
        <f>K40+K45+K50+K55</f>
        <v>34.32</v>
      </c>
      <c r="P24" s="159" t="s">
        <v>165</v>
      </c>
    </row>
    <row r="25" spans="1:16" s="2" customFormat="1" ht="21.75" customHeight="1" x14ac:dyDescent="0.55000000000000004">
      <c r="A25" s="222" t="s">
        <v>165</v>
      </c>
      <c r="B25" s="7">
        <f>SUMIFS($J$93:$J$4825,$B$93:$B$4825,B21&amp;"-01-2023",$D$93:$D$4825,$A$25,$K$93:$K$4825,"I")</f>
        <v>0</v>
      </c>
      <c r="C25" s="7">
        <f t="shared" ref="C25:I25" si="11">SUMIFS($J$93:$J$4825,$B$93:$B$4825,C21&amp;"-01-2023",$D$93:$D$4825,$A$25,$K$93:$K$4825,"I")</f>
        <v>0</v>
      </c>
      <c r="D25" s="7">
        <f t="shared" si="11"/>
        <v>0</v>
      </c>
      <c r="E25" s="7">
        <f t="shared" si="11"/>
        <v>0</v>
      </c>
      <c r="F25" s="7">
        <f t="shared" si="11"/>
        <v>0</v>
      </c>
      <c r="G25" s="7">
        <f t="shared" si="11"/>
        <v>0</v>
      </c>
      <c r="H25" s="7">
        <f t="shared" si="11"/>
        <v>0</v>
      </c>
      <c r="I25" s="7">
        <f t="shared" si="11"/>
        <v>0</v>
      </c>
      <c r="J25" s="12"/>
      <c r="K25" s="8">
        <f>SUM(B25:I25)</f>
        <v>0</v>
      </c>
      <c r="L25" s="52"/>
      <c r="M25" s="471"/>
      <c r="N25" s="53"/>
      <c r="O25" s="160">
        <f>SUM(O21:O24)</f>
        <v>168.54</v>
      </c>
      <c r="P25" s="159"/>
    </row>
    <row r="26" spans="1:16" s="2" customFormat="1" ht="21.75" customHeight="1" x14ac:dyDescent="0.55000000000000004">
      <c r="A26" s="148" t="s">
        <v>0</v>
      </c>
      <c r="B26" s="145">
        <v>24</v>
      </c>
      <c r="C26" s="145">
        <v>25</v>
      </c>
      <c r="D26" s="145">
        <v>26</v>
      </c>
      <c r="E26" s="145">
        <v>27</v>
      </c>
      <c r="F26" s="145">
        <v>28</v>
      </c>
      <c r="G26" s="145">
        <v>29</v>
      </c>
      <c r="H26" s="145">
        <v>30</v>
      </c>
      <c r="I26" s="145">
        <v>31</v>
      </c>
      <c r="J26" s="153"/>
      <c r="K26" s="148" t="s">
        <v>7</v>
      </c>
      <c r="L26" s="54"/>
      <c r="M26" s="55"/>
      <c r="N26" s="56"/>
    </row>
    <row r="27" spans="1:16" s="2" customFormat="1" ht="21.75" customHeight="1" x14ac:dyDescent="0.55000000000000004">
      <c r="A27" s="222" t="s">
        <v>3</v>
      </c>
      <c r="B27" s="7">
        <f>SUMIFS($J$76:$J$4825,$B$76:$B$4825,B26&amp;"-01-2023",$D$76:$D$4825,$A$27,$K$76:$K$4825,"I")</f>
        <v>0</v>
      </c>
      <c r="C27" s="7">
        <f t="shared" ref="C27:I27" si="12">SUMIFS($J$76:$J$4825,$B$76:$B$4825,C26&amp;"-01-2023",$D$76:$D$4825,$A$27,$K$76:$K$4825,"I")</f>
        <v>0</v>
      </c>
      <c r="D27" s="7">
        <f t="shared" si="12"/>
        <v>0</v>
      </c>
      <c r="E27" s="7">
        <f t="shared" si="12"/>
        <v>0</v>
      </c>
      <c r="F27" s="7">
        <f t="shared" si="12"/>
        <v>0</v>
      </c>
      <c r="G27" s="7">
        <f t="shared" si="12"/>
        <v>0</v>
      </c>
      <c r="H27" s="7">
        <f t="shared" si="12"/>
        <v>0</v>
      </c>
      <c r="I27" s="7">
        <f t="shared" si="12"/>
        <v>0</v>
      </c>
      <c r="J27" s="12"/>
      <c r="K27" s="8">
        <f>SUM(B27:I27)</f>
        <v>0</v>
      </c>
      <c r="L27" s="766">
        <f>M16+M18+M19+M20</f>
        <v>526.26</v>
      </c>
      <c r="M27" s="770"/>
      <c r="N27" s="767"/>
    </row>
    <row r="28" spans="1:16" s="2" customFormat="1" ht="21.75" customHeight="1" x14ac:dyDescent="0.55000000000000004">
      <c r="A28" s="222" t="s">
        <v>4</v>
      </c>
      <c r="B28" s="7">
        <f>SUMIFS($J$76:$J$4825,$B$76:$B$4825,B26&amp;"-01-2023",$D$76:$D$4825,$A$28,$K$76:$K$4825,"I")</f>
        <v>0</v>
      </c>
      <c r="C28" s="7">
        <f t="shared" ref="C28:I28" si="13">SUMIFS($J$76:$J$4825,$B$76:$B$4825,C26&amp;"-01-2023",$D$76:$D$4825,$A$28,$K$76:$K$4825,"I")</f>
        <v>0</v>
      </c>
      <c r="D28" s="7">
        <f t="shared" si="13"/>
        <v>0</v>
      </c>
      <c r="E28" s="7">
        <f t="shared" si="13"/>
        <v>0</v>
      </c>
      <c r="F28" s="7">
        <f t="shared" si="13"/>
        <v>0</v>
      </c>
      <c r="G28" s="7">
        <f t="shared" si="13"/>
        <v>0</v>
      </c>
      <c r="H28" s="7">
        <f t="shared" si="13"/>
        <v>0</v>
      </c>
      <c r="I28" s="7">
        <f t="shared" si="13"/>
        <v>0</v>
      </c>
      <c r="J28" s="14"/>
      <c r="K28" s="8">
        <f>SUM(B28:I28)</f>
        <v>0</v>
      </c>
      <c r="L28" s="771"/>
      <c r="M28" s="772"/>
      <c r="N28" s="773"/>
    </row>
    <row r="29" spans="1:16" s="2" customFormat="1" ht="21.75" customHeight="1" x14ac:dyDescent="0.55000000000000004">
      <c r="A29" s="222" t="s">
        <v>15</v>
      </c>
      <c r="B29" s="7">
        <f>SUMIFS($J$76:$J$4825,$B$76:$B$4825,B26&amp;"-01-2023",$D$76:$D$4825,$A$29,$K$76:$K$4825,"I")</f>
        <v>0</v>
      </c>
      <c r="C29" s="7">
        <f t="shared" ref="C29:I29" si="14">SUMIFS($J$76:$J$4825,$B$76:$B$4825,C26&amp;"-01-2023",$D$76:$D$4825,$A$29,$K$76:$K$4825,"I")</f>
        <v>0</v>
      </c>
      <c r="D29" s="7">
        <f t="shared" si="14"/>
        <v>0</v>
      </c>
      <c r="E29" s="7">
        <f t="shared" si="14"/>
        <v>0</v>
      </c>
      <c r="F29" s="7">
        <f t="shared" si="14"/>
        <v>0</v>
      </c>
      <c r="G29" s="7">
        <f t="shared" si="14"/>
        <v>0</v>
      </c>
      <c r="H29" s="7">
        <f t="shared" si="14"/>
        <v>0</v>
      </c>
      <c r="I29" s="7">
        <f t="shared" si="14"/>
        <v>0</v>
      </c>
      <c r="J29" s="14"/>
      <c r="K29" s="8">
        <f>SUM(B29:I29)</f>
        <v>0</v>
      </c>
      <c r="L29" s="771"/>
      <c r="M29" s="772"/>
      <c r="N29" s="773"/>
    </row>
    <row r="30" spans="1:16" s="2" customFormat="1" ht="21.75" customHeight="1" x14ac:dyDescent="0.55000000000000004">
      <c r="A30" s="222" t="s">
        <v>165</v>
      </c>
      <c r="B30" s="7">
        <f>SUMIFS($J$76:$J$4825,$B$76:$B$4825,B26&amp;"-01-2023",$D$76:$D$4825,$A$30,$K$76:$K$4825,"I")</f>
        <v>0</v>
      </c>
      <c r="C30" s="7">
        <f t="shared" ref="C30:I30" si="15">SUMIFS($J$76:$J$4825,$B$76:$B$4825,C26&amp;"-01-2023",$D$76:$D$4825,$A$30,$K$76:$K$4825,"I")</f>
        <v>0</v>
      </c>
      <c r="D30" s="7">
        <f t="shared" si="15"/>
        <v>0</v>
      </c>
      <c r="E30" s="7">
        <f t="shared" si="15"/>
        <v>0</v>
      </c>
      <c r="F30" s="7">
        <f t="shared" si="15"/>
        <v>0</v>
      </c>
      <c r="G30" s="7">
        <f t="shared" si="15"/>
        <v>0</v>
      </c>
      <c r="H30" s="7">
        <f t="shared" si="15"/>
        <v>0</v>
      </c>
      <c r="I30" s="7">
        <f t="shared" si="15"/>
        <v>0</v>
      </c>
      <c r="J30" s="14"/>
      <c r="K30" s="8">
        <f>SUM(B30:I30)</f>
        <v>0</v>
      </c>
      <c r="L30" s="768"/>
      <c r="M30" s="774"/>
      <c r="N30" s="769"/>
    </row>
    <row r="31" spans="1:16" s="2" customFormat="1" ht="21.75" customHeight="1" x14ac:dyDescent="0.55000000000000004">
      <c r="A31" s="421"/>
      <c r="B31" s="706" t="s">
        <v>8</v>
      </c>
      <c r="C31" s="706"/>
      <c r="D31" s="706"/>
      <c r="E31" s="16"/>
      <c r="F31" s="16"/>
      <c r="G31" s="16"/>
      <c r="H31" s="16"/>
      <c r="I31" s="16"/>
      <c r="J31" s="17"/>
      <c r="K31" s="15"/>
      <c r="L31" s="706" t="s">
        <v>119</v>
      </c>
      <c r="M31" s="775"/>
      <c r="N31" s="776"/>
    </row>
    <row r="32" spans="1:16" s="2" customFormat="1" ht="21.75" customHeight="1" x14ac:dyDescent="0.3">
      <c r="A32" s="421" t="s">
        <v>3</v>
      </c>
      <c r="B32" s="777"/>
      <c r="C32" s="778"/>
      <c r="D32" s="779"/>
      <c r="E32" s="365"/>
      <c r="F32" s="366"/>
      <c r="G32" s="366"/>
      <c r="H32" s="163"/>
      <c r="I32" s="163"/>
      <c r="J32" s="163"/>
      <c r="K32" s="164" t="s">
        <v>3</v>
      </c>
      <c r="L32" s="759"/>
      <c r="M32" s="756"/>
      <c r="N32" s="758"/>
    </row>
    <row r="33" spans="1:16" s="2" customFormat="1" ht="21.75" customHeight="1" x14ac:dyDescent="0.55000000000000004">
      <c r="A33" s="421" t="s">
        <v>4</v>
      </c>
      <c r="B33" s="756"/>
      <c r="C33" s="757"/>
      <c r="D33" s="758"/>
      <c r="E33" s="365"/>
      <c r="F33" s="366"/>
      <c r="G33" s="366"/>
      <c r="H33" s="163"/>
      <c r="I33" s="163"/>
      <c r="J33" s="163"/>
      <c r="K33" s="164" t="s">
        <v>4</v>
      </c>
      <c r="L33" s="759"/>
      <c r="M33" s="756"/>
      <c r="N33" s="758"/>
    </row>
    <row r="34" spans="1:16" s="2" customFormat="1" ht="21.75" customHeight="1" x14ac:dyDescent="0.55000000000000004">
      <c r="A34" s="421" t="s">
        <v>15</v>
      </c>
      <c r="B34" s="756"/>
      <c r="C34" s="757"/>
      <c r="D34" s="758"/>
      <c r="E34" s="365"/>
      <c r="F34" s="366"/>
      <c r="G34" s="366"/>
      <c r="H34" s="163"/>
      <c r="I34" s="163"/>
      <c r="J34" s="163"/>
      <c r="K34" s="164" t="s">
        <v>15</v>
      </c>
      <c r="L34" s="759"/>
      <c r="M34" s="756"/>
      <c r="N34" s="758"/>
    </row>
    <row r="35" spans="1:16" s="2" customFormat="1" ht="21.75" customHeight="1" x14ac:dyDescent="0.55000000000000004">
      <c r="A35" s="70"/>
      <c r="B35" s="16"/>
      <c r="C35" s="16"/>
      <c r="D35" s="16"/>
      <c r="E35" s="16"/>
      <c r="F35" s="16"/>
      <c r="G35" s="16"/>
      <c r="H35" s="16"/>
      <c r="I35" s="16"/>
      <c r="J35" s="19"/>
      <c r="K35" s="20"/>
      <c r="L35" s="21"/>
      <c r="M35" s="21"/>
      <c r="N35" s="21"/>
    </row>
    <row r="36" spans="1:16" s="2" customFormat="1" ht="21.75" customHeight="1" x14ac:dyDescent="0.55000000000000004">
      <c r="A36" s="148" t="s">
        <v>9</v>
      </c>
      <c r="B36" s="145">
        <v>1</v>
      </c>
      <c r="C36" s="146">
        <v>2</v>
      </c>
      <c r="D36" s="145">
        <v>3</v>
      </c>
      <c r="E36" s="146">
        <v>4</v>
      </c>
      <c r="F36" s="147">
        <v>5</v>
      </c>
      <c r="G36" s="146">
        <v>6</v>
      </c>
      <c r="H36" s="145">
        <v>7</v>
      </c>
      <c r="I36" s="148"/>
      <c r="J36" s="154"/>
      <c r="K36" s="150" t="s">
        <v>1</v>
      </c>
      <c r="L36" s="697" t="s">
        <v>10</v>
      </c>
      <c r="M36" s="698"/>
      <c r="N36" s="699"/>
    </row>
    <row r="37" spans="1:16" s="2" customFormat="1" ht="21.75" customHeight="1" x14ac:dyDescent="0.55000000000000004">
      <c r="A37" s="222" t="s">
        <v>3</v>
      </c>
      <c r="B37" s="7">
        <f>SUMIFS($J$61:$J$4825,$B$61:$B$4825,B36&amp;"-02-2023",$D$61:$D$4825,$A$37,$L$61:$L$4825,"O")</f>
        <v>0</v>
      </c>
      <c r="C37" s="7">
        <f t="shared" ref="C37:I37" si="16">SUMIFS($J$61:$J$4825,$B$61:$B$4825,C36&amp;"-02-2023",$D$61:$D$4825,$A$37,$L$61:$L$4825,"O")</f>
        <v>0</v>
      </c>
      <c r="D37" s="7">
        <f t="shared" si="16"/>
        <v>0</v>
      </c>
      <c r="E37" s="7">
        <f t="shared" si="16"/>
        <v>0</v>
      </c>
      <c r="F37" s="7">
        <f t="shared" si="16"/>
        <v>0</v>
      </c>
      <c r="G37" s="7">
        <f t="shared" si="16"/>
        <v>0</v>
      </c>
      <c r="H37" s="7">
        <f t="shared" si="16"/>
        <v>0</v>
      </c>
      <c r="I37" s="7">
        <f t="shared" si="16"/>
        <v>0</v>
      </c>
      <c r="J37" s="741"/>
      <c r="K37" s="42">
        <f>SUM(B37:I37)</f>
        <v>0</v>
      </c>
      <c r="L37" s="700"/>
      <c r="M37" s="701"/>
      <c r="N37" s="702"/>
    </row>
    <row r="38" spans="1:16" s="2" customFormat="1" ht="21.75" customHeight="1" x14ac:dyDescent="0.55000000000000004">
      <c r="A38" s="222" t="s">
        <v>4</v>
      </c>
      <c r="B38" s="7">
        <f>SUMIFS($J$61:$J$4825,$B$61:$B$4825,B36&amp;"-02-2023",$D$61:$D$4825,$A$38,$L$61:$L$4825,"O")</f>
        <v>0</v>
      </c>
      <c r="C38" s="7">
        <f t="shared" ref="C38:I38" si="17">SUMIFS($J$61:$J$4825,$B$61:$B$4825,C36&amp;"-02-2023",$D$61:$D$4825,$A$38,$L$61:$L$4825,"O")</f>
        <v>0</v>
      </c>
      <c r="D38" s="7">
        <f t="shared" si="17"/>
        <v>0</v>
      </c>
      <c r="E38" s="7">
        <f t="shared" si="17"/>
        <v>0</v>
      </c>
      <c r="F38" s="7">
        <f t="shared" si="17"/>
        <v>0</v>
      </c>
      <c r="G38" s="7">
        <f t="shared" si="17"/>
        <v>0</v>
      </c>
      <c r="H38" s="7">
        <f t="shared" si="17"/>
        <v>0</v>
      </c>
      <c r="I38" s="7">
        <f t="shared" si="17"/>
        <v>0</v>
      </c>
      <c r="J38" s="741"/>
      <c r="K38" s="42">
        <f>SUM(B38:I38)</f>
        <v>0</v>
      </c>
      <c r="L38" s="700"/>
      <c r="M38" s="701"/>
      <c r="N38" s="702"/>
    </row>
    <row r="39" spans="1:16" s="2" customFormat="1" ht="21.75" customHeight="1" x14ac:dyDescent="0.55000000000000004">
      <c r="A39" s="222" t="s">
        <v>15</v>
      </c>
      <c r="B39" s="7">
        <f>SUMIFS($J$61:$J$4825,$B$61:$B$4825,B36&amp;"-02-2023",$D$61:$D$4825,$A$39,$L$61:$L$4825,"O")</f>
        <v>0</v>
      </c>
      <c r="C39" s="7">
        <f t="shared" ref="C39:I39" si="18">SUMIFS($J$61:$J$4825,$B$61:$B$4825,C36&amp;"-02-2023",$D$61:$D$4825,$A$39,$L$61:$L$4825,"O")</f>
        <v>0</v>
      </c>
      <c r="D39" s="7">
        <f t="shared" si="18"/>
        <v>134.22</v>
      </c>
      <c r="E39" s="7">
        <f t="shared" si="18"/>
        <v>0</v>
      </c>
      <c r="F39" s="7">
        <f t="shared" si="18"/>
        <v>0</v>
      </c>
      <c r="G39" s="7">
        <f t="shared" si="18"/>
        <v>0</v>
      </c>
      <c r="H39" s="7">
        <f t="shared" si="18"/>
        <v>0</v>
      </c>
      <c r="I39" s="7">
        <f t="shared" si="18"/>
        <v>0</v>
      </c>
      <c r="J39" s="741"/>
      <c r="K39" s="42">
        <f>SUM(B39:I39)</f>
        <v>134.22</v>
      </c>
      <c r="L39" s="700"/>
      <c r="M39" s="701"/>
      <c r="N39" s="702"/>
    </row>
    <row r="40" spans="1:16" s="2" customFormat="1" ht="21.75" customHeight="1" x14ac:dyDescent="0.55000000000000004">
      <c r="A40" s="222" t="s">
        <v>165</v>
      </c>
      <c r="B40" s="7">
        <f>SUMIFS($J$61:$J$4825,$B$61:$B$4825,B36&amp;"-02-2023",$D$61:$D$4825,$A$40,$L$61:$L$4825,"O")</f>
        <v>0</v>
      </c>
      <c r="C40" s="7">
        <f t="shared" ref="C40:I40" si="19">SUMIFS($J$61:$J$4825,$B$61:$B$4825,C36&amp;"-02-2023",$D$61:$D$4825,$A$40,$L$61:$L$4825,"O")</f>
        <v>0</v>
      </c>
      <c r="D40" s="7">
        <f t="shared" si="19"/>
        <v>0</v>
      </c>
      <c r="E40" s="7">
        <f t="shared" si="19"/>
        <v>0</v>
      </c>
      <c r="F40" s="7">
        <f t="shared" si="19"/>
        <v>0</v>
      </c>
      <c r="G40" s="7">
        <f t="shared" si="19"/>
        <v>0</v>
      </c>
      <c r="H40" s="7">
        <f t="shared" si="19"/>
        <v>0</v>
      </c>
      <c r="I40" s="7">
        <f t="shared" si="19"/>
        <v>0</v>
      </c>
      <c r="J40" s="741"/>
      <c r="K40" s="42">
        <f>SUM(B40:I40)</f>
        <v>0</v>
      </c>
      <c r="L40" s="703"/>
      <c r="M40" s="704"/>
      <c r="N40" s="705"/>
    </row>
    <row r="41" spans="1:16" s="2" customFormat="1" ht="21.75" customHeight="1" x14ac:dyDescent="0.55000000000000004">
      <c r="A41" s="148" t="s">
        <v>9</v>
      </c>
      <c r="B41" s="145">
        <v>8</v>
      </c>
      <c r="C41" s="147">
        <v>9</v>
      </c>
      <c r="D41" s="145">
        <v>10</v>
      </c>
      <c r="E41" s="147">
        <v>11</v>
      </c>
      <c r="F41" s="145">
        <v>12</v>
      </c>
      <c r="G41" s="147">
        <v>13</v>
      </c>
      <c r="H41" s="145">
        <v>14</v>
      </c>
      <c r="I41" s="147">
        <v>15</v>
      </c>
      <c r="J41" s="151"/>
      <c r="K41" s="156" t="s">
        <v>5</v>
      </c>
      <c r="L41" s="753" t="s">
        <v>3</v>
      </c>
      <c r="M41" s="707">
        <f>SUM(K37+K42+K47+K52)</f>
        <v>0</v>
      </c>
      <c r="N41" s="707"/>
    </row>
    <row r="42" spans="1:16" s="2" customFormat="1" ht="21.75" customHeight="1" x14ac:dyDescent="0.55000000000000004">
      <c r="A42" s="222" t="s">
        <v>3</v>
      </c>
      <c r="B42" s="7">
        <f>SUMIFS($J$58:$J$4825,$B$58:$B$4825,B41&amp;"-02-2023",$D$58:$D$4825,$A$42,$L$58:$L$4825,"O")</f>
        <v>0</v>
      </c>
      <c r="C42" s="7">
        <f t="shared" ref="C42:I42" si="20">SUMIFS($J$58:$J$4825,$B$58:$B$4825,C41&amp;"-02-2023",$D$58:$D$4825,$A$42,$L$58:$L$4825,"O")</f>
        <v>0</v>
      </c>
      <c r="D42" s="7">
        <f t="shared" si="20"/>
        <v>0</v>
      </c>
      <c r="E42" s="7">
        <f t="shared" si="20"/>
        <v>0</v>
      </c>
      <c r="F42" s="7">
        <f t="shared" si="20"/>
        <v>0</v>
      </c>
      <c r="G42" s="7">
        <f t="shared" si="20"/>
        <v>0</v>
      </c>
      <c r="H42" s="7">
        <f t="shared" si="20"/>
        <v>0</v>
      </c>
      <c r="I42" s="7">
        <f t="shared" si="20"/>
        <v>0</v>
      </c>
      <c r="J42" s="742"/>
      <c r="K42" s="44">
        <f>SUM(B42:I42)</f>
        <v>0</v>
      </c>
      <c r="L42" s="754"/>
      <c r="M42" s="707"/>
      <c r="N42" s="707"/>
    </row>
    <row r="43" spans="1:16" s="2" customFormat="1" ht="21.75" customHeight="1" x14ac:dyDescent="0.55000000000000004">
      <c r="A43" s="222" t="s">
        <v>4</v>
      </c>
      <c r="B43" s="7">
        <f>SUMIFS($J$58:$J$4825,$B$58:$B$4825,B41&amp;"-02-2023",$D$58:$D$4825,$A$43,$L$58:$L$4825,"O")</f>
        <v>0</v>
      </c>
      <c r="C43" s="7">
        <f t="shared" ref="C43:I43" si="21">SUMIFS($J$58:$J$4825,$B$58:$B$4825,C41&amp;"-02-2023",$D$58:$D$4825,$A$43,$L$58:$L$4825,"O")</f>
        <v>0</v>
      </c>
      <c r="D43" s="7">
        <f t="shared" si="21"/>
        <v>0</v>
      </c>
      <c r="E43" s="7">
        <f t="shared" si="21"/>
        <v>0</v>
      </c>
      <c r="F43" s="7">
        <f t="shared" si="21"/>
        <v>0</v>
      </c>
      <c r="G43" s="7">
        <f t="shared" si="21"/>
        <v>0</v>
      </c>
      <c r="H43" s="7">
        <f t="shared" si="21"/>
        <v>0</v>
      </c>
      <c r="I43" s="7">
        <f t="shared" si="21"/>
        <v>0</v>
      </c>
      <c r="J43" s="742"/>
      <c r="K43" s="44">
        <f>SUM(B43:I43)</f>
        <v>0</v>
      </c>
      <c r="L43" s="753" t="s">
        <v>4</v>
      </c>
      <c r="M43" s="687">
        <f>SUM(K38+K43+K48+K53)</f>
        <v>0</v>
      </c>
      <c r="N43" s="689"/>
      <c r="O43" s="259"/>
      <c r="P43" s="11"/>
    </row>
    <row r="44" spans="1:16" s="2" customFormat="1" ht="21.75" customHeight="1" x14ac:dyDescent="0.55000000000000004">
      <c r="A44" s="222" t="s">
        <v>15</v>
      </c>
      <c r="B44" s="7">
        <f>SUMIFS($J$58:$J$4825,$B$58:$B$4825,B41&amp;"-02-2023",$D$58:$D$4825,$A$44,$L$58:$L$4825,"O")</f>
        <v>0</v>
      </c>
      <c r="C44" s="7">
        <f t="shared" ref="C44:I44" si="22">SUMIFS($J$58:$J$4825,$B$58:$B$4825,C41&amp;"-02-2023",$D$58:$D$4825,$A$44,$L$58:$L$4825,"O")</f>
        <v>0</v>
      </c>
      <c r="D44" s="7">
        <f t="shared" si="22"/>
        <v>0</v>
      </c>
      <c r="E44" s="7">
        <f t="shared" si="22"/>
        <v>0</v>
      </c>
      <c r="F44" s="7">
        <f t="shared" si="22"/>
        <v>0</v>
      </c>
      <c r="G44" s="7">
        <f t="shared" si="22"/>
        <v>0</v>
      </c>
      <c r="H44" s="7">
        <f t="shared" si="22"/>
        <v>0</v>
      </c>
      <c r="I44" s="7">
        <f t="shared" si="22"/>
        <v>0</v>
      </c>
      <c r="J44" s="742"/>
      <c r="K44" s="44">
        <f>SUM(B44:I44)</f>
        <v>0</v>
      </c>
      <c r="L44" s="755"/>
      <c r="M44" s="690"/>
      <c r="N44" s="692"/>
      <c r="O44" s="259"/>
      <c r="P44" s="11"/>
    </row>
    <row r="45" spans="1:16" s="2" customFormat="1" ht="21.75" customHeight="1" x14ac:dyDescent="0.55000000000000004">
      <c r="A45" s="222" t="s">
        <v>165</v>
      </c>
      <c r="B45" s="7">
        <f>SUMIFS($J$61:$J$4825,$B$61:$B$4825,B41&amp;"-02-2023",$D$61:$D$4825,$A$45,$L$61:$L$4825,"O")</f>
        <v>0</v>
      </c>
      <c r="C45" s="7">
        <f t="shared" ref="C45:I45" si="23">SUMIFS($J$61:$J$4825,$B$61:$B$4825,C41&amp;"-02-2023",$D$61:$D$4825,$A$45,$L$61:$L$4825,"O")</f>
        <v>34.32</v>
      </c>
      <c r="D45" s="7">
        <f t="shared" si="23"/>
        <v>0</v>
      </c>
      <c r="E45" s="7">
        <f t="shared" si="23"/>
        <v>0</v>
      </c>
      <c r="F45" s="7">
        <f t="shared" si="23"/>
        <v>0</v>
      </c>
      <c r="G45" s="7">
        <f t="shared" si="23"/>
        <v>0</v>
      </c>
      <c r="H45" s="7">
        <f t="shared" si="23"/>
        <v>0</v>
      </c>
      <c r="I45" s="7">
        <f t="shared" si="23"/>
        <v>0</v>
      </c>
      <c r="J45" s="742"/>
      <c r="K45" s="44">
        <f>SUM(B45:I45)</f>
        <v>34.32</v>
      </c>
      <c r="L45" s="754"/>
      <c r="M45" s="693"/>
      <c r="N45" s="695"/>
      <c r="O45" s="259"/>
      <c r="P45" s="11"/>
    </row>
    <row r="46" spans="1:16" s="2" customFormat="1" ht="21.75" customHeight="1" x14ac:dyDescent="0.55000000000000004">
      <c r="A46" s="148" t="s">
        <v>9</v>
      </c>
      <c r="B46" s="145">
        <v>16</v>
      </c>
      <c r="C46" s="145">
        <v>17</v>
      </c>
      <c r="D46" s="145">
        <v>18</v>
      </c>
      <c r="E46" s="145">
        <v>19</v>
      </c>
      <c r="F46" s="145">
        <v>20</v>
      </c>
      <c r="G46" s="145">
        <v>21</v>
      </c>
      <c r="H46" s="145">
        <v>22</v>
      </c>
      <c r="I46" s="145">
        <v>23</v>
      </c>
      <c r="J46" s="153"/>
      <c r="K46" s="157" t="s">
        <v>6</v>
      </c>
      <c r="L46" s="753" t="s">
        <v>15</v>
      </c>
      <c r="M46" s="687">
        <f>SUM(K39+K44+K49+K54)</f>
        <v>134.22</v>
      </c>
      <c r="N46" s="689"/>
    </row>
    <row r="47" spans="1:16" s="2" customFormat="1" ht="21.75" customHeight="1" x14ac:dyDescent="0.55000000000000004">
      <c r="A47" s="222" t="s">
        <v>3</v>
      </c>
      <c r="B47" s="7">
        <f>SUMIFS($J$61:$J$4825,$B$61:$B$4825,B46&amp;"-02-2023",$D$61:$D$4825,$A$47,$L$61:$L$4825,"O")</f>
        <v>0</v>
      </c>
      <c r="C47" s="7">
        <f t="shared" ref="C47:I47" si="24">SUMIFS($J$61:$J$4825,$B$61:$B$4825,C46&amp;"-02-2023",$D$61:$D$4825,$A$47,$L$61:$L$4825,"O")</f>
        <v>0</v>
      </c>
      <c r="D47" s="7">
        <f t="shared" si="24"/>
        <v>0</v>
      </c>
      <c r="E47" s="7">
        <f t="shared" si="24"/>
        <v>0</v>
      </c>
      <c r="F47" s="7">
        <f t="shared" si="24"/>
        <v>0</v>
      </c>
      <c r="G47" s="7">
        <f t="shared" si="24"/>
        <v>0</v>
      </c>
      <c r="H47" s="7">
        <f t="shared" si="24"/>
        <v>0</v>
      </c>
      <c r="I47" s="7">
        <f t="shared" si="24"/>
        <v>0</v>
      </c>
      <c r="J47" s="12"/>
      <c r="K47" s="45">
        <f>SUM(B47:J47)</f>
        <v>0</v>
      </c>
      <c r="L47" s="754"/>
      <c r="M47" s="693"/>
      <c r="N47" s="695"/>
      <c r="O47" s="253"/>
    </row>
    <row r="48" spans="1:16" s="2" customFormat="1" ht="21.75" customHeight="1" x14ac:dyDescent="0.55000000000000004">
      <c r="A48" s="222" t="s">
        <v>4</v>
      </c>
      <c r="B48" s="7">
        <f>SUMIFS($J$61:$J$4825,$B$61:$B$4825,B46&amp;"-02-2023",$D$61:$D$4825,$A$48,$L$61:$L$4825,"O")</f>
        <v>0</v>
      </c>
      <c r="C48" s="7">
        <f t="shared" ref="C48:I48" si="25">SUMIFS($J$61:$J$4825,$B$61:$B$4825,C46&amp;"-02-2023",$D$61:$D$4825,$A$48,$L$61:$L$4825,"O")</f>
        <v>0</v>
      </c>
      <c r="D48" s="7">
        <f t="shared" si="25"/>
        <v>0</v>
      </c>
      <c r="E48" s="7">
        <f t="shared" si="25"/>
        <v>0</v>
      </c>
      <c r="F48" s="7">
        <f t="shared" si="25"/>
        <v>0</v>
      </c>
      <c r="G48" s="7">
        <f t="shared" si="25"/>
        <v>0</v>
      </c>
      <c r="H48" s="7">
        <f t="shared" si="25"/>
        <v>0</v>
      </c>
      <c r="I48" s="7">
        <f t="shared" si="25"/>
        <v>0</v>
      </c>
      <c r="J48" s="12"/>
      <c r="K48" s="45">
        <f>SUM(B48:J48)</f>
        <v>0</v>
      </c>
      <c r="L48" s="750" t="s">
        <v>165</v>
      </c>
      <c r="M48" s="707">
        <f>SUM(K40+K45+K50+K55)</f>
        <v>34.32</v>
      </c>
      <c r="N48" s="707"/>
    </row>
    <row r="49" spans="1:15" s="2" customFormat="1" ht="21.75" customHeight="1" x14ac:dyDescent="0.55000000000000004">
      <c r="A49" s="222" t="s">
        <v>15</v>
      </c>
      <c r="B49" s="7">
        <f>SUMIFS($J$61:$J$4825,$B$61:$B$4825,B46&amp;"-02-2023",$D$61:$D$4825,$A$49,$L$61:$L$4825,"O")</f>
        <v>0</v>
      </c>
      <c r="C49" s="7">
        <f t="shared" ref="C49:I49" si="26">SUMIFS($J$61:$J$4825,$B$61:$B$4825,C46&amp;"-02-2023",$D$61:$D$4825,$A$49,$L$61:$L$4825,"O")</f>
        <v>0</v>
      </c>
      <c r="D49" s="7">
        <f t="shared" si="26"/>
        <v>0</v>
      </c>
      <c r="E49" s="7">
        <f t="shared" si="26"/>
        <v>0</v>
      </c>
      <c r="F49" s="7">
        <f t="shared" si="26"/>
        <v>0</v>
      </c>
      <c r="G49" s="7">
        <f t="shared" si="26"/>
        <v>0</v>
      </c>
      <c r="H49" s="7">
        <f t="shared" si="26"/>
        <v>0</v>
      </c>
      <c r="I49" s="7">
        <f t="shared" si="26"/>
        <v>0</v>
      </c>
      <c r="J49" s="12"/>
      <c r="K49" s="45">
        <f>SUM(B49:J49)</f>
        <v>0</v>
      </c>
      <c r="L49" s="751"/>
      <c r="M49" s="707"/>
      <c r="N49" s="707"/>
    </row>
    <row r="50" spans="1:15" s="2" customFormat="1" ht="21.75" customHeight="1" x14ac:dyDescent="0.55000000000000004">
      <c r="A50" s="222" t="s">
        <v>165</v>
      </c>
      <c r="B50" s="7">
        <f>SUMIFS($J$61:$J$4825,$B$61:$B$4825,B46&amp;"-02-2023",$D$61:$D$4825,$A$50,$L$61:$L$4825,"O")</f>
        <v>0</v>
      </c>
      <c r="C50" s="7">
        <f t="shared" ref="C50:I50" si="27">SUMIFS($J$61:$J$4825,$B$61:$B$4825,C46&amp;"-02-2023",$D$61:$D$4825,$A$50,$L$61:$L$4825,"O")</f>
        <v>0</v>
      </c>
      <c r="D50" s="7">
        <f t="shared" si="27"/>
        <v>0</v>
      </c>
      <c r="E50" s="7">
        <f t="shared" si="27"/>
        <v>0</v>
      </c>
      <c r="F50" s="7">
        <f t="shared" si="27"/>
        <v>0</v>
      </c>
      <c r="G50" s="7">
        <f t="shared" si="27"/>
        <v>0</v>
      </c>
      <c r="H50" s="7">
        <f t="shared" si="27"/>
        <v>0</v>
      </c>
      <c r="I50" s="7">
        <f t="shared" si="27"/>
        <v>0</v>
      </c>
      <c r="J50" s="12"/>
      <c r="K50" s="45">
        <f>SUM(B50:J50)</f>
        <v>0</v>
      </c>
      <c r="L50" s="752"/>
      <c r="M50" s="707"/>
      <c r="N50" s="707"/>
    </row>
    <row r="51" spans="1:15" s="2" customFormat="1" ht="21.75" customHeight="1" x14ac:dyDescent="0.55000000000000004">
      <c r="A51" s="148" t="s">
        <v>9</v>
      </c>
      <c r="B51" s="145">
        <v>24</v>
      </c>
      <c r="C51" s="145">
        <v>25</v>
      </c>
      <c r="D51" s="145">
        <v>26</v>
      </c>
      <c r="E51" s="145">
        <v>27</v>
      </c>
      <c r="F51" s="145">
        <v>28</v>
      </c>
      <c r="G51" s="145">
        <v>29</v>
      </c>
      <c r="H51" s="145">
        <v>30</v>
      </c>
      <c r="I51" s="145">
        <v>31</v>
      </c>
      <c r="J51" s="153"/>
      <c r="K51" s="158" t="s">
        <v>7</v>
      </c>
      <c r="L51" s="687">
        <f>M41+M43+M46+M48</f>
        <v>168.54</v>
      </c>
      <c r="M51" s="688"/>
      <c r="N51" s="689"/>
      <c r="O51" s="664"/>
    </row>
    <row r="52" spans="1:15" s="2" customFormat="1" ht="21.75" customHeight="1" x14ac:dyDescent="0.55000000000000004">
      <c r="A52" s="222" t="s">
        <v>3</v>
      </c>
      <c r="B52" s="7">
        <f>SUMIFS($J$61:$J$4825,$B$61:$B$4825,B51&amp;"-12-2022",$D$61:$D$4825,$A$52,$L$61:$L$4825,"O")</f>
        <v>0</v>
      </c>
      <c r="C52" s="7">
        <f t="shared" ref="C52:I52" si="28">SUMIFS($J$61:$J$4825,$B$61:$B$4825,C51&amp;"-12-2022",$D$61:$D$4825,$A$52,$L$61:$L$4825,"O")</f>
        <v>0</v>
      </c>
      <c r="D52" s="7">
        <f t="shared" si="28"/>
        <v>0</v>
      </c>
      <c r="E52" s="7">
        <f t="shared" si="28"/>
        <v>0</v>
      </c>
      <c r="F52" s="7">
        <f t="shared" si="28"/>
        <v>0</v>
      </c>
      <c r="G52" s="7">
        <f t="shared" si="28"/>
        <v>0</v>
      </c>
      <c r="H52" s="7">
        <f t="shared" si="28"/>
        <v>0</v>
      </c>
      <c r="I52" s="7">
        <f t="shared" si="28"/>
        <v>0</v>
      </c>
      <c r="J52" s="12"/>
      <c r="K52" s="45">
        <f>SUM(B52:J52)</f>
        <v>0</v>
      </c>
      <c r="L52" s="690"/>
      <c r="M52" s="691"/>
      <c r="N52" s="692"/>
    </row>
    <row r="53" spans="1:15" s="2" customFormat="1" ht="21.75" customHeight="1" x14ac:dyDescent="0.55000000000000004">
      <c r="A53" s="222" t="s">
        <v>4</v>
      </c>
      <c r="B53" s="7">
        <f>SUMIFS($J$61:$J$4825,$B$61:$B$4825,B51&amp;"-02-2023",$D$61:$D$4825,$A$53,$L$61:$L$4825,"O")</f>
        <v>0</v>
      </c>
      <c r="C53" s="7">
        <f t="shared" ref="C53:I53" si="29">SUMIFS($J$61:$J$4825,$B$61:$B$4825,C51&amp;"-02-2023",$D$61:$D$4825,$A$53,$L$61:$L$4825,"O")</f>
        <v>0</v>
      </c>
      <c r="D53" s="7">
        <f t="shared" si="29"/>
        <v>0</v>
      </c>
      <c r="E53" s="7">
        <f t="shared" si="29"/>
        <v>0</v>
      </c>
      <c r="F53" s="7">
        <f t="shared" si="29"/>
        <v>0</v>
      </c>
      <c r="G53" s="7">
        <f t="shared" si="29"/>
        <v>0</v>
      </c>
      <c r="H53" s="7">
        <f t="shared" si="29"/>
        <v>0</v>
      </c>
      <c r="I53" s="7">
        <f t="shared" si="29"/>
        <v>0</v>
      </c>
      <c r="J53" s="14"/>
      <c r="K53" s="45">
        <f>SUM(B53:J53)</f>
        <v>0</v>
      </c>
      <c r="L53" s="690"/>
      <c r="M53" s="691"/>
      <c r="N53" s="692"/>
    </row>
    <row r="54" spans="1:15" s="2" customFormat="1" ht="21.75" customHeight="1" x14ac:dyDescent="0.55000000000000004">
      <c r="A54" s="222" t="s">
        <v>15</v>
      </c>
      <c r="B54" s="7">
        <f>SUMIFS($J$61:$J$4825,$B$61:$B$4825,B51&amp;"-01-2023",$D$61:$D$4825,$A$54,$L$61:$L$4825,"O")</f>
        <v>0</v>
      </c>
      <c r="C54" s="7">
        <f t="shared" ref="C54:I54" si="30">SUMIFS($J$61:$J$4825,$B$61:$B$4825,C51&amp;"-01-2023",$D$61:$D$4825,$A$54,$L$61:$L$4825,"O")</f>
        <v>0</v>
      </c>
      <c r="D54" s="7">
        <f t="shared" si="30"/>
        <v>0</v>
      </c>
      <c r="E54" s="7">
        <f t="shared" si="30"/>
        <v>0</v>
      </c>
      <c r="F54" s="7">
        <f t="shared" si="30"/>
        <v>0</v>
      </c>
      <c r="G54" s="7">
        <f t="shared" si="30"/>
        <v>0</v>
      </c>
      <c r="H54" s="7">
        <f t="shared" si="30"/>
        <v>0</v>
      </c>
      <c r="I54" s="7">
        <f t="shared" si="30"/>
        <v>0</v>
      </c>
      <c r="J54" s="14"/>
      <c r="K54" s="45">
        <f>SUM(B54:J54)</f>
        <v>0</v>
      </c>
      <c r="L54" s="690"/>
      <c r="M54" s="691"/>
      <c r="N54" s="692"/>
    </row>
    <row r="55" spans="1:15" s="2" customFormat="1" ht="21.75" customHeight="1" x14ac:dyDescent="0.55000000000000004">
      <c r="A55" s="222" t="s">
        <v>165</v>
      </c>
      <c r="B55" s="7">
        <f>SUMIFS($J$61:$J$4825,$B$61:$B$4825,B51&amp;"-02-2023",$D$61:$D$4825,$A$55,$L$61:$L$4825,"O")</f>
        <v>0</v>
      </c>
      <c r="C55" s="7">
        <f t="shared" ref="C55:I55" si="31">SUMIFS($J$61:$J$4825,$B$61:$B$4825,C51&amp;"-02-2023",$D$61:$D$4825,$A$55,$L$61:$L$4825,"O")</f>
        <v>0</v>
      </c>
      <c r="D55" s="7">
        <f t="shared" si="31"/>
        <v>0</v>
      </c>
      <c r="E55" s="7">
        <f t="shared" si="31"/>
        <v>0</v>
      </c>
      <c r="F55" s="7">
        <f t="shared" si="31"/>
        <v>0</v>
      </c>
      <c r="G55" s="7">
        <f t="shared" si="31"/>
        <v>0</v>
      </c>
      <c r="H55" s="7">
        <f t="shared" si="31"/>
        <v>0</v>
      </c>
      <c r="I55" s="7">
        <f t="shared" si="31"/>
        <v>0</v>
      </c>
      <c r="J55" s="14"/>
      <c r="K55" s="45">
        <f>SUM(B55:J55)</f>
        <v>0</v>
      </c>
      <c r="L55" s="693"/>
      <c r="M55" s="694"/>
      <c r="N55" s="695"/>
    </row>
    <row r="56" spans="1:15" x14ac:dyDescent="0.25">
      <c r="A56" s="281"/>
      <c r="B56" s="67"/>
      <c r="C56" s="135"/>
      <c r="D56" s="135"/>
      <c r="E56" s="136"/>
      <c r="F56" s="66"/>
      <c r="G56" s="66"/>
      <c r="H56" s="116"/>
      <c r="I56" s="36"/>
      <c r="J56" s="63"/>
      <c r="K56" s="64"/>
      <c r="L56" s="65"/>
    </row>
    <row r="57" spans="1:15" ht="49.5" customHeight="1" x14ac:dyDescent="0.55000000000000004">
      <c r="A57" s="169" t="s">
        <v>16</v>
      </c>
      <c r="B57" s="419" t="s">
        <v>17</v>
      </c>
      <c r="C57" s="170" t="s">
        <v>18</v>
      </c>
      <c r="D57" s="170" t="s">
        <v>21</v>
      </c>
      <c r="E57" s="169" t="s">
        <v>22</v>
      </c>
      <c r="F57" s="169" t="s">
        <v>23</v>
      </c>
      <c r="G57" s="169" t="s">
        <v>24</v>
      </c>
      <c r="H57" s="171" t="s">
        <v>25</v>
      </c>
      <c r="I57" s="169" t="s">
        <v>26</v>
      </c>
      <c r="J57" s="172" t="s">
        <v>86</v>
      </c>
      <c r="K57" s="173" t="s">
        <v>41</v>
      </c>
      <c r="L57" s="174" t="s">
        <v>42</v>
      </c>
      <c r="M57" s="420" t="s">
        <v>43</v>
      </c>
      <c r="N57" s="137"/>
    </row>
    <row r="58" spans="1:15" x14ac:dyDescent="0.25">
      <c r="A58" s="282">
        <v>1</v>
      </c>
      <c r="B58" s="204"/>
      <c r="C58" s="205"/>
      <c r="D58" s="254" t="s">
        <v>3</v>
      </c>
      <c r="E58" s="206"/>
      <c r="F58" s="207"/>
      <c r="G58" s="207"/>
      <c r="H58" s="208"/>
      <c r="I58" s="599"/>
      <c r="J58" s="255"/>
      <c r="K58" s="185"/>
      <c r="L58" s="185"/>
      <c r="M58" s="211"/>
      <c r="N58" s="679"/>
    </row>
    <row r="59" spans="1:15" x14ac:dyDescent="0.25">
      <c r="A59" s="1">
        <v>2</v>
      </c>
      <c r="B59" s="204"/>
      <c r="C59" s="282"/>
      <c r="D59" s="254" t="s">
        <v>4</v>
      </c>
      <c r="E59" s="206"/>
      <c r="F59" s="207"/>
      <c r="G59" s="207"/>
      <c r="H59" s="208"/>
      <c r="I59" s="209"/>
      <c r="J59" s="255"/>
      <c r="K59" s="185"/>
      <c r="L59" s="210"/>
      <c r="M59" s="211"/>
    </row>
    <row r="60" spans="1:15" x14ac:dyDescent="0.25">
      <c r="A60" s="282">
        <v>3</v>
      </c>
      <c r="B60" s="204"/>
      <c r="C60" s="282"/>
      <c r="D60" s="254" t="s">
        <v>15</v>
      </c>
      <c r="E60" s="206"/>
      <c r="F60" s="207"/>
      <c r="G60" s="207"/>
      <c r="H60" s="208"/>
      <c r="I60" s="209"/>
      <c r="J60" s="255"/>
      <c r="K60" s="185"/>
      <c r="L60" s="210"/>
      <c r="M60" s="211"/>
    </row>
    <row r="61" spans="1:15" x14ac:dyDescent="0.25">
      <c r="A61" s="1">
        <v>4</v>
      </c>
      <c r="B61" s="665"/>
      <c r="C61" s="205" t="s">
        <v>30</v>
      </c>
      <c r="D61" s="205" t="s">
        <v>15</v>
      </c>
      <c r="E61" s="206" t="s">
        <v>261</v>
      </c>
      <c r="F61" s="207">
        <v>1.3</v>
      </c>
      <c r="G61" s="207">
        <v>0.6</v>
      </c>
      <c r="H61" s="208">
        <v>0.02</v>
      </c>
      <c r="I61" s="209">
        <v>25</v>
      </c>
      <c r="J61" s="525">
        <v>19.5</v>
      </c>
      <c r="K61" s="185" t="s">
        <v>31</v>
      </c>
      <c r="L61" s="210"/>
      <c r="M61" s="211"/>
    </row>
    <row r="62" spans="1:15" x14ac:dyDescent="0.25">
      <c r="A62" s="282">
        <v>5</v>
      </c>
      <c r="B62" s="665"/>
      <c r="C62" s="205" t="s">
        <v>30</v>
      </c>
      <c r="D62" s="205" t="s">
        <v>15</v>
      </c>
      <c r="E62" s="206" t="s">
        <v>286</v>
      </c>
      <c r="F62" s="207">
        <v>1</v>
      </c>
      <c r="G62" s="207">
        <v>0.6</v>
      </c>
      <c r="H62" s="208">
        <v>0.03</v>
      </c>
      <c r="I62" s="209">
        <v>26</v>
      </c>
      <c r="J62" s="525">
        <v>15.6</v>
      </c>
      <c r="K62" s="185" t="s">
        <v>31</v>
      </c>
      <c r="L62" s="210"/>
      <c r="M62" s="211"/>
    </row>
    <row r="63" spans="1:15" x14ac:dyDescent="0.25">
      <c r="A63" s="1">
        <v>6</v>
      </c>
      <c r="B63" s="665"/>
      <c r="C63" s="205" t="s">
        <v>30</v>
      </c>
      <c r="D63" s="205" t="s">
        <v>15</v>
      </c>
      <c r="E63" s="206" t="s">
        <v>248</v>
      </c>
      <c r="F63" s="207">
        <v>1.3</v>
      </c>
      <c r="G63" s="207">
        <v>0.6</v>
      </c>
      <c r="H63" s="208">
        <v>0.02</v>
      </c>
      <c r="I63" s="209">
        <v>28</v>
      </c>
      <c r="J63" s="525">
        <v>21.84</v>
      </c>
      <c r="K63" s="185" t="s">
        <v>31</v>
      </c>
      <c r="L63" s="210"/>
      <c r="M63" s="211"/>
    </row>
    <row r="64" spans="1:15" x14ac:dyDescent="0.25">
      <c r="A64" s="282">
        <v>7</v>
      </c>
      <c r="B64" s="665"/>
      <c r="C64" s="205" t="s">
        <v>30</v>
      </c>
      <c r="D64" s="205" t="s">
        <v>15</v>
      </c>
      <c r="E64" s="206" t="s">
        <v>530</v>
      </c>
      <c r="F64" s="207">
        <v>1.1000000000000001</v>
      </c>
      <c r="G64" s="207">
        <v>0.6</v>
      </c>
      <c r="H64" s="208">
        <v>0.02</v>
      </c>
      <c r="I64" s="209">
        <v>17</v>
      </c>
      <c r="J64" s="525">
        <v>11.22</v>
      </c>
      <c r="K64" s="185" t="s">
        <v>31</v>
      </c>
      <c r="L64" s="210"/>
      <c r="M64" s="211"/>
    </row>
    <row r="65" spans="1:13" x14ac:dyDescent="0.25">
      <c r="A65" s="1">
        <v>8</v>
      </c>
      <c r="B65" s="665"/>
      <c r="C65" s="205" t="s">
        <v>30</v>
      </c>
      <c r="D65" s="205" t="s">
        <v>15</v>
      </c>
      <c r="E65" s="206" t="s">
        <v>531</v>
      </c>
      <c r="F65" s="207">
        <v>1</v>
      </c>
      <c r="G65" s="207">
        <v>0.6</v>
      </c>
      <c r="H65" s="208">
        <v>0.02</v>
      </c>
      <c r="I65" s="209">
        <v>20</v>
      </c>
      <c r="J65" s="525">
        <v>12</v>
      </c>
      <c r="K65" s="185" t="s">
        <v>31</v>
      </c>
      <c r="L65" s="210"/>
      <c r="M65" s="211"/>
    </row>
    <row r="66" spans="1:13" x14ac:dyDescent="0.25">
      <c r="A66" s="282">
        <v>9</v>
      </c>
      <c r="B66" s="665"/>
      <c r="C66" s="205" t="s">
        <v>30</v>
      </c>
      <c r="D66" s="205" t="s">
        <v>15</v>
      </c>
      <c r="E66" s="206" t="s">
        <v>531</v>
      </c>
      <c r="F66" s="207">
        <v>1.2</v>
      </c>
      <c r="G66" s="207">
        <v>0.6</v>
      </c>
      <c r="H66" s="208">
        <v>0.02</v>
      </c>
      <c r="I66" s="209">
        <v>25</v>
      </c>
      <c r="J66" s="525">
        <v>18</v>
      </c>
      <c r="K66" s="185" t="s">
        <v>31</v>
      </c>
      <c r="L66" s="210"/>
      <c r="M66" s="211"/>
    </row>
    <row r="67" spans="1:13" x14ac:dyDescent="0.25">
      <c r="A67" s="1">
        <v>10</v>
      </c>
      <c r="B67" s="665"/>
      <c r="C67" s="205" t="s">
        <v>30</v>
      </c>
      <c r="D67" s="205" t="s">
        <v>4</v>
      </c>
      <c r="E67" s="206" t="s">
        <v>242</v>
      </c>
      <c r="F67" s="207">
        <v>1.5</v>
      </c>
      <c r="G67" s="207">
        <v>0.6</v>
      </c>
      <c r="H67" s="208">
        <v>0.02</v>
      </c>
      <c r="I67" s="209">
        <v>27</v>
      </c>
      <c r="J67" s="525">
        <v>24.299999999999997</v>
      </c>
      <c r="K67" s="185" t="s">
        <v>31</v>
      </c>
      <c r="L67" s="210"/>
      <c r="M67" s="211"/>
    </row>
    <row r="68" spans="1:13" x14ac:dyDescent="0.25">
      <c r="A68" s="282">
        <v>11</v>
      </c>
      <c r="B68" s="665"/>
      <c r="C68" s="205" t="s">
        <v>30</v>
      </c>
      <c r="D68" s="205" t="s">
        <v>165</v>
      </c>
      <c r="E68" s="206" t="s">
        <v>532</v>
      </c>
      <c r="F68" s="207">
        <v>1</v>
      </c>
      <c r="G68" s="207">
        <v>0.6</v>
      </c>
      <c r="H68" s="208">
        <v>0.02</v>
      </c>
      <c r="I68" s="209">
        <v>25</v>
      </c>
      <c r="J68" s="525">
        <v>15</v>
      </c>
      <c r="K68" s="185" t="s">
        <v>31</v>
      </c>
      <c r="L68" s="210"/>
      <c r="M68" s="211"/>
    </row>
    <row r="69" spans="1:13" x14ac:dyDescent="0.25">
      <c r="A69" s="1">
        <v>12</v>
      </c>
      <c r="B69" s="665"/>
      <c r="C69" s="205" t="s">
        <v>30</v>
      </c>
      <c r="D69" s="205" t="s">
        <v>165</v>
      </c>
      <c r="E69" s="206" t="s">
        <v>533</v>
      </c>
      <c r="F69" s="207">
        <v>2.1</v>
      </c>
      <c r="G69" s="207">
        <v>1</v>
      </c>
      <c r="H69" s="208">
        <v>0.02</v>
      </c>
      <c r="I69" s="209">
        <v>54</v>
      </c>
      <c r="J69" s="525">
        <v>113.4</v>
      </c>
      <c r="K69" s="185" t="s">
        <v>31</v>
      </c>
      <c r="L69" s="210"/>
      <c r="M69" s="211"/>
    </row>
    <row r="70" spans="1:13" x14ac:dyDescent="0.25">
      <c r="A70" s="282">
        <v>13</v>
      </c>
      <c r="B70" s="665"/>
      <c r="C70" s="205" t="s">
        <v>30</v>
      </c>
      <c r="D70" s="205" t="s">
        <v>165</v>
      </c>
      <c r="E70" s="681" t="s">
        <v>534</v>
      </c>
      <c r="F70" s="207">
        <v>1.1000000000000001</v>
      </c>
      <c r="G70" s="207">
        <v>0.6</v>
      </c>
      <c r="H70" s="208">
        <v>0.02</v>
      </c>
      <c r="I70" s="209">
        <v>32</v>
      </c>
      <c r="J70" s="525">
        <v>21.12</v>
      </c>
      <c r="K70" s="185" t="s">
        <v>31</v>
      </c>
      <c r="L70" s="210"/>
      <c r="M70" s="211"/>
    </row>
    <row r="71" spans="1:13" x14ac:dyDescent="0.25">
      <c r="A71" s="1">
        <v>14</v>
      </c>
      <c r="B71" s="665"/>
      <c r="C71" s="205" t="s">
        <v>30</v>
      </c>
      <c r="D71" s="205" t="s">
        <v>165</v>
      </c>
      <c r="E71" s="206" t="s">
        <v>538</v>
      </c>
      <c r="F71" s="207">
        <v>2.1</v>
      </c>
      <c r="G71" s="207">
        <v>1</v>
      </c>
      <c r="H71" s="208">
        <v>0.02</v>
      </c>
      <c r="I71" s="209">
        <v>27</v>
      </c>
      <c r="J71" s="525">
        <v>56.7</v>
      </c>
      <c r="K71" s="185" t="s">
        <v>31</v>
      </c>
      <c r="L71" s="210"/>
      <c r="M71" s="211"/>
    </row>
    <row r="72" spans="1:13" x14ac:dyDescent="0.25">
      <c r="A72" s="282">
        <v>15</v>
      </c>
      <c r="B72" s="665"/>
      <c r="C72" s="205" t="s">
        <v>30</v>
      </c>
      <c r="D72" s="205" t="s">
        <v>165</v>
      </c>
      <c r="E72" s="206" t="s">
        <v>538</v>
      </c>
      <c r="F72" s="207">
        <v>2.6</v>
      </c>
      <c r="G72" s="207">
        <v>1</v>
      </c>
      <c r="H72" s="208">
        <v>0.02</v>
      </c>
      <c r="I72" s="209">
        <v>40</v>
      </c>
      <c r="J72" s="525">
        <v>104</v>
      </c>
      <c r="K72" s="185" t="s">
        <v>31</v>
      </c>
      <c r="L72" s="210"/>
      <c r="M72" s="211"/>
    </row>
    <row r="73" spans="1:13" x14ac:dyDescent="0.25">
      <c r="A73" s="1">
        <v>16</v>
      </c>
      <c r="B73" s="665"/>
      <c r="C73" s="205" t="s">
        <v>30</v>
      </c>
      <c r="D73" s="205" t="s">
        <v>165</v>
      </c>
      <c r="E73" s="206" t="s">
        <v>511</v>
      </c>
      <c r="F73" s="207">
        <v>1.1000000000000001</v>
      </c>
      <c r="G73" s="207">
        <v>1</v>
      </c>
      <c r="H73" s="208">
        <v>0.02</v>
      </c>
      <c r="I73" s="209">
        <v>26</v>
      </c>
      <c r="J73" s="525">
        <v>28.6</v>
      </c>
      <c r="K73" s="185" t="s">
        <v>31</v>
      </c>
      <c r="L73" s="210"/>
      <c r="M73" s="211"/>
    </row>
    <row r="74" spans="1:13" x14ac:dyDescent="0.25">
      <c r="A74" s="282">
        <v>17</v>
      </c>
      <c r="B74" s="665"/>
      <c r="C74" s="205" t="s">
        <v>30</v>
      </c>
      <c r="D74" s="205" t="s">
        <v>165</v>
      </c>
      <c r="E74" s="206" t="s">
        <v>552</v>
      </c>
      <c r="F74" s="207">
        <v>2.2999999999999998</v>
      </c>
      <c r="G74" s="207">
        <v>0.6</v>
      </c>
      <c r="H74" s="208">
        <v>0.02</v>
      </c>
      <c r="I74" s="209">
        <v>24</v>
      </c>
      <c r="J74" s="525">
        <v>33.119999999999997</v>
      </c>
      <c r="K74" s="185" t="s">
        <v>31</v>
      </c>
      <c r="L74" s="210"/>
      <c r="M74" s="211"/>
    </row>
    <row r="75" spans="1:13" x14ac:dyDescent="0.25">
      <c r="A75" s="1">
        <v>18</v>
      </c>
      <c r="B75" s="665"/>
      <c r="C75" s="205" t="s">
        <v>30</v>
      </c>
      <c r="D75" s="205" t="s">
        <v>165</v>
      </c>
      <c r="E75" s="206" t="s">
        <v>501</v>
      </c>
      <c r="F75" s="207">
        <v>0.8</v>
      </c>
      <c r="G75" s="207">
        <v>0.6</v>
      </c>
      <c r="H75" s="208">
        <v>0.02</v>
      </c>
      <c r="I75" s="209">
        <v>13</v>
      </c>
      <c r="J75" s="525">
        <v>6.24</v>
      </c>
      <c r="K75" s="185" t="s">
        <v>31</v>
      </c>
      <c r="L75" s="210"/>
      <c r="M75" s="211"/>
    </row>
    <row r="76" spans="1:13" x14ac:dyDescent="0.25">
      <c r="A76" s="282">
        <v>19</v>
      </c>
      <c r="B76" s="665"/>
      <c r="C76" s="205" t="s">
        <v>30</v>
      </c>
      <c r="D76" s="205" t="s">
        <v>165</v>
      </c>
      <c r="E76" s="206" t="s">
        <v>501</v>
      </c>
      <c r="F76" s="207">
        <v>1.6</v>
      </c>
      <c r="G76" s="207">
        <v>0.6</v>
      </c>
      <c r="H76" s="208">
        <v>0.02</v>
      </c>
      <c r="I76" s="209">
        <v>30</v>
      </c>
      <c r="J76" s="525">
        <v>28.799999999999997</v>
      </c>
      <c r="K76" s="185" t="s">
        <v>31</v>
      </c>
      <c r="L76" s="210"/>
      <c r="M76" s="211"/>
    </row>
    <row r="77" spans="1:13" x14ac:dyDescent="0.25">
      <c r="A77" s="1">
        <v>20</v>
      </c>
      <c r="B77" s="665"/>
      <c r="C77" s="205" t="s">
        <v>30</v>
      </c>
      <c r="D77" s="205" t="s">
        <v>15</v>
      </c>
      <c r="E77" s="206" t="s">
        <v>450</v>
      </c>
      <c r="F77" s="207">
        <v>1.5</v>
      </c>
      <c r="G77" s="207">
        <v>0.6</v>
      </c>
      <c r="H77" s="208">
        <v>0.03</v>
      </c>
      <c r="I77" s="209">
        <v>24</v>
      </c>
      <c r="J77" s="525">
        <v>21.599999999999998</v>
      </c>
      <c r="K77" s="185" t="s">
        <v>31</v>
      </c>
      <c r="L77" s="210"/>
      <c r="M77" s="211"/>
    </row>
    <row r="78" spans="1:13" x14ac:dyDescent="0.25">
      <c r="A78" s="282">
        <v>21</v>
      </c>
      <c r="B78" s="665"/>
      <c r="C78" s="205" t="s">
        <v>30</v>
      </c>
      <c r="D78" s="205" t="s">
        <v>165</v>
      </c>
      <c r="E78" s="206" t="s">
        <v>554</v>
      </c>
      <c r="F78" s="207">
        <v>1.1000000000000001</v>
      </c>
      <c r="G78" s="207">
        <v>0.6</v>
      </c>
      <c r="H78" s="208">
        <v>0.02</v>
      </c>
      <c r="I78" s="209">
        <v>17</v>
      </c>
      <c r="J78" s="525">
        <v>11.22</v>
      </c>
      <c r="K78" s="185" t="s">
        <v>31</v>
      </c>
      <c r="L78" s="210"/>
      <c r="M78" s="211"/>
    </row>
    <row r="79" spans="1:13" x14ac:dyDescent="0.25">
      <c r="A79" s="1">
        <v>22</v>
      </c>
      <c r="B79" s="665"/>
      <c r="C79" s="205" t="s">
        <v>30</v>
      </c>
      <c r="D79" s="205" t="s">
        <v>15</v>
      </c>
      <c r="E79" s="206" t="s">
        <v>334</v>
      </c>
      <c r="F79" s="207">
        <v>1</v>
      </c>
      <c r="G79" s="207">
        <v>0.6</v>
      </c>
      <c r="H79" s="208">
        <v>0.03</v>
      </c>
      <c r="I79" s="209">
        <v>32</v>
      </c>
      <c r="J79" s="525">
        <v>19.2</v>
      </c>
      <c r="K79" s="185" t="s">
        <v>31</v>
      </c>
      <c r="L79" s="210"/>
      <c r="M79" s="211"/>
    </row>
    <row r="80" spans="1:13" x14ac:dyDescent="0.25">
      <c r="A80" s="282">
        <v>23</v>
      </c>
      <c r="B80" s="665"/>
      <c r="C80" s="205" t="s">
        <v>30</v>
      </c>
      <c r="D80" s="205" t="s">
        <v>15</v>
      </c>
      <c r="E80" s="206" t="s">
        <v>424</v>
      </c>
      <c r="F80" s="207">
        <v>1.4</v>
      </c>
      <c r="G80" s="207">
        <v>0.6</v>
      </c>
      <c r="H80" s="208">
        <v>0.03</v>
      </c>
      <c r="I80" s="209">
        <v>33</v>
      </c>
      <c r="J80" s="525">
        <v>27.72</v>
      </c>
      <c r="K80" s="185" t="s">
        <v>31</v>
      </c>
      <c r="L80" s="210"/>
      <c r="M80" s="211"/>
    </row>
    <row r="81" spans="1:14" x14ac:dyDescent="0.25">
      <c r="A81" s="1">
        <v>24</v>
      </c>
      <c r="B81" s="665"/>
      <c r="C81" s="205" t="s">
        <v>30</v>
      </c>
      <c r="D81" s="205" t="s">
        <v>15</v>
      </c>
      <c r="E81" s="206" t="s">
        <v>231</v>
      </c>
      <c r="F81" s="207">
        <v>1.3</v>
      </c>
      <c r="G81" s="207">
        <v>0.6</v>
      </c>
      <c r="H81" s="208">
        <v>0.03</v>
      </c>
      <c r="I81" s="209">
        <v>31</v>
      </c>
      <c r="J81" s="525">
        <v>24.18</v>
      </c>
      <c r="K81" s="185" t="s">
        <v>31</v>
      </c>
      <c r="L81" s="210"/>
      <c r="M81" s="211"/>
    </row>
    <row r="82" spans="1:14" x14ac:dyDescent="0.25">
      <c r="A82" s="282">
        <v>25</v>
      </c>
      <c r="B82" s="665"/>
      <c r="C82" s="205" t="s">
        <v>30</v>
      </c>
      <c r="D82" s="205" t="s">
        <v>15</v>
      </c>
      <c r="E82" s="206" t="s">
        <v>406</v>
      </c>
      <c r="F82" s="207">
        <v>1.2</v>
      </c>
      <c r="G82" s="207">
        <v>0.6</v>
      </c>
      <c r="H82" s="208">
        <v>0.03</v>
      </c>
      <c r="I82" s="209">
        <v>28</v>
      </c>
      <c r="J82" s="525">
        <v>20.16</v>
      </c>
      <c r="K82" s="185" t="s">
        <v>31</v>
      </c>
      <c r="L82" s="210"/>
      <c r="M82" s="211"/>
    </row>
    <row r="83" spans="1:14" x14ac:dyDescent="0.25">
      <c r="A83" s="1">
        <v>26</v>
      </c>
      <c r="B83" s="665"/>
      <c r="C83" s="205" t="s">
        <v>30</v>
      </c>
      <c r="D83" s="205" t="s">
        <v>165</v>
      </c>
      <c r="E83" s="206" t="s">
        <v>535</v>
      </c>
      <c r="F83" s="207">
        <v>1.3</v>
      </c>
      <c r="G83" s="207">
        <v>0.6</v>
      </c>
      <c r="H83" s="208">
        <v>0.02</v>
      </c>
      <c r="I83" s="209">
        <v>22</v>
      </c>
      <c r="J83" s="525">
        <v>17.16</v>
      </c>
      <c r="K83" s="185" t="s">
        <v>31</v>
      </c>
      <c r="L83" s="210"/>
      <c r="M83" s="211"/>
    </row>
    <row r="84" spans="1:14" x14ac:dyDescent="0.25">
      <c r="A84" s="282">
        <v>27</v>
      </c>
      <c r="B84" s="665"/>
      <c r="C84" s="205" t="s">
        <v>30</v>
      </c>
      <c r="D84" s="205" t="s">
        <v>165</v>
      </c>
      <c r="E84" s="206" t="s">
        <v>517</v>
      </c>
      <c r="F84" s="207">
        <v>0.8</v>
      </c>
      <c r="G84" s="207">
        <v>0.8</v>
      </c>
      <c r="H84" s="208">
        <v>0.03</v>
      </c>
      <c r="I84" s="209">
        <v>8</v>
      </c>
      <c r="J84" s="525">
        <v>5.120000000000001</v>
      </c>
      <c r="K84" s="185" t="s">
        <v>31</v>
      </c>
      <c r="L84" s="210"/>
      <c r="M84" s="211"/>
    </row>
    <row r="85" spans="1:14" x14ac:dyDescent="0.25">
      <c r="A85" s="1">
        <v>28</v>
      </c>
      <c r="B85" s="665"/>
      <c r="C85" s="205" t="s">
        <v>30</v>
      </c>
      <c r="D85" s="205" t="s">
        <v>165</v>
      </c>
      <c r="E85" s="206" t="s">
        <v>555</v>
      </c>
      <c r="F85" s="207">
        <v>1.4</v>
      </c>
      <c r="G85" s="207">
        <v>0.8</v>
      </c>
      <c r="H85" s="208">
        <v>0.03</v>
      </c>
      <c r="I85" s="209">
        <v>17</v>
      </c>
      <c r="J85" s="525">
        <v>19.04</v>
      </c>
      <c r="K85" s="185" t="s">
        <v>31</v>
      </c>
      <c r="L85" s="210"/>
      <c r="M85" s="211"/>
    </row>
    <row r="86" spans="1:14" x14ac:dyDescent="0.25">
      <c r="A86" s="282">
        <v>29</v>
      </c>
      <c r="B86" s="665">
        <v>44966</v>
      </c>
      <c r="C86" s="205" t="s">
        <v>30</v>
      </c>
      <c r="D86" s="205" t="s">
        <v>165</v>
      </c>
      <c r="E86" s="206" t="s">
        <v>509</v>
      </c>
      <c r="F86" s="207">
        <v>1.3</v>
      </c>
      <c r="G86" s="207">
        <v>0.8</v>
      </c>
      <c r="H86" s="208">
        <v>0.02</v>
      </c>
      <c r="I86" s="209">
        <v>33</v>
      </c>
      <c r="J86" s="525">
        <v>34.32</v>
      </c>
      <c r="K86" s="185" t="s">
        <v>31</v>
      </c>
      <c r="L86" s="210" t="s">
        <v>493</v>
      </c>
      <c r="M86" s="211"/>
    </row>
    <row r="87" spans="1:14" x14ac:dyDescent="0.25">
      <c r="A87" s="1">
        <v>30</v>
      </c>
      <c r="B87" s="665"/>
      <c r="C87" s="205" t="s">
        <v>30</v>
      </c>
      <c r="D87" s="205" t="s">
        <v>165</v>
      </c>
      <c r="E87" s="206" t="s">
        <v>501</v>
      </c>
      <c r="F87" s="207">
        <v>0.8</v>
      </c>
      <c r="G87" s="207">
        <v>0.6</v>
      </c>
      <c r="H87" s="208">
        <v>0.02</v>
      </c>
      <c r="I87" s="209">
        <v>10</v>
      </c>
      <c r="J87" s="525">
        <v>4.8</v>
      </c>
      <c r="K87" s="185" t="s">
        <v>31</v>
      </c>
      <c r="L87" s="210"/>
      <c r="M87" s="211"/>
    </row>
    <row r="88" spans="1:14" x14ac:dyDescent="0.25">
      <c r="A88" s="282">
        <v>31</v>
      </c>
      <c r="B88" s="665"/>
      <c r="C88" s="205" t="s">
        <v>30</v>
      </c>
      <c r="D88" s="205" t="s">
        <v>165</v>
      </c>
      <c r="E88" s="206" t="s">
        <v>501</v>
      </c>
      <c r="F88" s="207">
        <v>1.5</v>
      </c>
      <c r="G88" s="207">
        <v>0.6</v>
      </c>
      <c r="H88" s="208">
        <v>0.02</v>
      </c>
      <c r="I88" s="209">
        <v>19</v>
      </c>
      <c r="J88" s="525">
        <v>17.099999999999998</v>
      </c>
      <c r="K88" s="185" t="s">
        <v>31</v>
      </c>
      <c r="L88" s="210"/>
      <c r="M88" s="211"/>
    </row>
    <row r="89" spans="1:14" x14ac:dyDescent="0.25">
      <c r="A89" s="1">
        <v>32</v>
      </c>
      <c r="B89" s="665"/>
      <c r="C89" s="205" t="s">
        <v>30</v>
      </c>
      <c r="D89" s="205" t="s">
        <v>165</v>
      </c>
      <c r="E89" s="206" t="s">
        <v>556</v>
      </c>
      <c r="F89" s="207">
        <v>0.8</v>
      </c>
      <c r="G89" s="207">
        <v>0.6</v>
      </c>
      <c r="H89" s="208">
        <v>0.02</v>
      </c>
      <c r="I89" s="209">
        <v>10</v>
      </c>
      <c r="J89" s="525">
        <v>4.8</v>
      </c>
      <c r="K89" s="185" t="s">
        <v>31</v>
      </c>
      <c r="L89" s="210"/>
      <c r="M89" s="211"/>
    </row>
    <row r="90" spans="1:14" x14ac:dyDescent="0.25">
      <c r="A90" s="282">
        <v>33</v>
      </c>
      <c r="B90" s="665"/>
      <c r="C90" s="205" t="s">
        <v>30</v>
      </c>
      <c r="D90" s="205" t="s">
        <v>165</v>
      </c>
      <c r="E90" s="206" t="s">
        <v>556</v>
      </c>
      <c r="F90" s="207">
        <v>1.3</v>
      </c>
      <c r="G90" s="207">
        <v>0.6</v>
      </c>
      <c r="H90" s="208">
        <v>0.02</v>
      </c>
      <c r="I90" s="209">
        <v>27</v>
      </c>
      <c r="J90" s="525">
        <v>21.060000000000002</v>
      </c>
      <c r="K90" s="185" t="s">
        <v>31</v>
      </c>
      <c r="L90" s="210"/>
      <c r="M90" s="211"/>
    </row>
    <row r="91" spans="1:14" x14ac:dyDescent="0.25">
      <c r="A91" s="1">
        <v>34</v>
      </c>
      <c r="B91" s="665"/>
      <c r="C91" s="205" t="s">
        <v>30</v>
      </c>
      <c r="D91" s="205" t="s">
        <v>15</v>
      </c>
      <c r="E91" s="681" t="s">
        <v>553</v>
      </c>
      <c r="F91" s="207">
        <v>1.1000000000000001</v>
      </c>
      <c r="G91" s="207">
        <v>0.6</v>
      </c>
      <c r="H91" s="208">
        <v>0.02</v>
      </c>
      <c r="I91" s="209">
        <v>27</v>
      </c>
      <c r="J91" s="525">
        <v>17.82</v>
      </c>
      <c r="K91" s="185" t="s">
        <v>31</v>
      </c>
      <c r="L91" s="210"/>
      <c r="M91" s="211"/>
    </row>
    <row r="92" spans="1:14" x14ac:dyDescent="0.25">
      <c r="A92" s="282">
        <v>35</v>
      </c>
      <c r="B92" s="674"/>
      <c r="C92" s="669" t="s">
        <v>30</v>
      </c>
      <c r="D92" s="669" t="s">
        <v>165</v>
      </c>
      <c r="E92" s="678" t="s">
        <v>507</v>
      </c>
      <c r="F92" s="670">
        <v>1.6</v>
      </c>
      <c r="G92" s="670">
        <v>0.7</v>
      </c>
      <c r="H92" s="671">
        <v>0.02</v>
      </c>
      <c r="I92" s="672">
        <v>41</v>
      </c>
      <c r="J92" s="673">
        <v>45.919999999999995</v>
      </c>
      <c r="K92" s="675" t="s">
        <v>31</v>
      </c>
      <c r="L92" s="676"/>
      <c r="M92" s="677"/>
    </row>
    <row r="93" spans="1:14" x14ac:dyDescent="0.25">
      <c r="A93" s="1">
        <v>36</v>
      </c>
      <c r="B93" s="665">
        <v>44960</v>
      </c>
      <c r="C93" s="205" t="s">
        <v>30</v>
      </c>
      <c r="D93" s="205" t="s">
        <v>15</v>
      </c>
      <c r="E93" s="206" t="s">
        <v>553</v>
      </c>
      <c r="F93" s="207">
        <v>1.2</v>
      </c>
      <c r="G93" s="207">
        <v>0.6</v>
      </c>
      <c r="H93" s="208">
        <v>0.02</v>
      </c>
      <c r="I93" s="209">
        <v>40</v>
      </c>
      <c r="J93" s="525">
        <f t="shared" ref="J93:J133" si="32">F93*G93*I93</f>
        <v>28.799999999999997</v>
      </c>
      <c r="K93" s="185" t="s">
        <v>31</v>
      </c>
      <c r="L93" s="210"/>
      <c r="M93" s="211" t="s">
        <v>529</v>
      </c>
      <c r="N93" s="1" t="s">
        <v>536</v>
      </c>
    </row>
    <row r="94" spans="1:14" x14ac:dyDescent="0.25">
      <c r="A94" s="282">
        <v>37</v>
      </c>
      <c r="B94" s="665">
        <v>44960</v>
      </c>
      <c r="C94" s="205" t="s">
        <v>30</v>
      </c>
      <c r="D94" s="205" t="s">
        <v>15</v>
      </c>
      <c r="E94" s="206" t="s">
        <v>553</v>
      </c>
      <c r="F94" s="207">
        <v>1.2</v>
      </c>
      <c r="G94" s="207">
        <v>0.6</v>
      </c>
      <c r="H94" s="208">
        <v>0.02</v>
      </c>
      <c r="I94" s="209">
        <v>45</v>
      </c>
      <c r="J94" s="525">
        <f t="shared" si="32"/>
        <v>32.4</v>
      </c>
      <c r="K94" s="185" t="s">
        <v>31</v>
      </c>
      <c r="L94" s="210"/>
      <c r="M94" s="211" t="s">
        <v>529</v>
      </c>
      <c r="N94" s="1" t="s">
        <v>536</v>
      </c>
    </row>
    <row r="95" spans="1:14" x14ac:dyDescent="0.55000000000000004">
      <c r="A95" s="1">
        <v>38</v>
      </c>
      <c r="B95" s="665">
        <v>44960</v>
      </c>
      <c r="C95" s="205" t="s">
        <v>30</v>
      </c>
      <c r="D95" s="205" t="s">
        <v>165</v>
      </c>
      <c r="E95" s="205" t="s">
        <v>567</v>
      </c>
      <c r="F95" s="207">
        <v>0.8</v>
      </c>
      <c r="G95" s="207">
        <v>0.6</v>
      </c>
      <c r="H95" s="208">
        <v>0.02</v>
      </c>
      <c r="I95" s="209">
        <v>15</v>
      </c>
      <c r="J95" s="525">
        <f t="shared" si="32"/>
        <v>7.1999999999999993</v>
      </c>
      <c r="K95" s="185" t="s">
        <v>31</v>
      </c>
      <c r="L95" s="210"/>
      <c r="M95" s="211" t="s">
        <v>529</v>
      </c>
      <c r="N95" s="1" t="s">
        <v>63</v>
      </c>
    </row>
    <row r="96" spans="1:14" x14ac:dyDescent="0.55000000000000004">
      <c r="A96" s="282">
        <v>39</v>
      </c>
      <c r="B96" s="665">
        <v>44960</v>
      </c>
      <c r="C96" s="205" t="s">
        <v>30</v>
      </c>
      <c r="D96" s="205" t="s">
        <v>165</v>
      </c>
      <c r="E96" s="205" t="s">
        <v>567</v>
      </c>
      <c r="F96" s="207">
        <v>1.4</v>
      </c>
      <c r="G96" s="207">
        <v>0.6</v>
      </c>
      <c r="H96" s="208">
        <v>0.02</v>
      </c>
      <c r="I96" s="209">
        <v>25</v>
      </c>
      <c r="J96" s="525">
        <f t="shared" si="32"/>
        <v>21</v>
      </c>
      <c r="K96" s="185" t="s">
        <v>31</v>
      </c>
      <c r="L96" s="210"/>
      <c r="M96" s="211" t="s">
        <v>529</v>
      </c>
      <c r="N96" s="1" t="s">
        <v>63</v>
      </c>
    </row>
    <row r="97" spans="1:14" x14ac:dyDescent="0.25">
      <c r="A97" s="1">
        <v>40</v>
      </c>
      <c r="B97" s="665">
        <v>44960</v>
      </c>
      <c r="C97" s="205" t="s">
        <v>30</v>
      </c>
      <c r="D97" s="205" t="s">
        <v>15</v>
      </c>
      <c r="E97" s="681" t="s">
        <v>257</v>
      </c>
      <c r="F97" s="207">
        <v>1.1000000000000001</v>
      </c>
      <c r="G97" s="207">
        <v>0.6</v>
      </c>
      <c r="H97" s="208">
        <v>0.02</v>
      </c>
      <c r="I97" s="209">
        <v>43</v>
      </c>
      <c r="J97" s="525">
        <f t="shared" si="32"/>
        <v>28.380000000000003</v>
      </c>
      <c r="K97" s="185" t="s">
        <v>31</v>
      </c>
      <c r="L97" s="210"/>
      <c r="M97" s="211" t="s">
        <v>529</v>
      </c>
      <c r="N97" s="1" t="s">
        <v>536</v>
      </c>
    </row>
    <row r="98" spans="1:14" x14ac:dyDescent="0.55000000000000004">
      <c r="A98" s="282">
        <v>41</v>
      </c>
      <c r="B98" s="665">
        <v>44960</v>
      </c>
      <c r="C98" s="205" t="s">
        <v>30</v>
      </c>
      <c r="D98" s="205" t="s">
        <v>165</v>
      </c>
      <c r="E98" s="205" t="s">
        <v>568</v>
      </c>
      <c r="F98" s="207">
        <v>0.8</v>
      </c>
      <c r="G98" s="207">
        <v>0.6</v>
      </c>
      <c r="H98" s="208">
        <v>0.02</v>
      </c>
      <c r="I98" s="209">
        <v>28</v>
      </c>
      <c r="J98" s="525">
        <f t="shared" si="32"/>
        <v>13.44</v>
      </c>
      <c r="K98" s="185" t="s">
        <v>31</v>
      </c>
      <c r="L98" s="210"/>
      <c r="M98" s="211" t="s">
        <v>529</v>
      </c>
      <c r="N98" s="1" t="s">
        <v>63</v>
      </c>
    </row>
    <row r="99" spans="1:14" x14ac:dyDescent="0.55000000000000004">
      <c r="A99" s="1">
        <v>42</v>
      </c>
      <c r="B99" s="665">
        <v>44960</v>
      </c>
      <c r="C99" s="205" t="s">
        <v>30</v>
      </c>
      <c r="D99" s="205" t="s">
        <v>165</v>
      </c>
      <c r="E99" s="205" t="s">
        <v>568</v>
      </c>
      <c r="F99" s="207">
        <v>1.3</v>
      </c>
      <c r="G99" s="207">
        <v>0.6</v>
      </c>
      <c r="H99" s="208">
        <v>0.02</v>
      </c>
      <c r="I99" s="209">
        <v>20</v>
      </c>
      <c r="J99" s="525">
        <f t="shared" si="32"/>
        <v>15.600000000000001</v>
      </c>
      <c r="K99" s="185" t="s">
        <v>31</v>
      </c>
      <c r="L99" s="210"/>
      <c r="M99" s="211" t="s">
        <v>529</v>
      </c>
      <c r="N99" s="1" t="s">
        <v>63</v>
      </c>
    </row>
    <row r="100" spans="1:14" x14ac:dyDescent="0.25">
      <c r="A100" s="282">
        <v>43</v>
      </c>
      <c r="B100" s="665">
        <v>44960</v>
      </c>
      <c r="C100" s="205" t="s">
        <v>30</v>
      </c>
      <c r="D100" s="205" t="s">
        <v>15</v>
      </c>
      <c r="E100" s="206" t="s">
        <v>553</v>
      </c>
      <c r="F100" s="207">
        <v>1.1000000000000001</v>
      </c>
      <c r="G100" s="207">
        <v>0.6</v>
      </c>
      <c r="H100" s="208">
        <v>0.05</v>
      </c>
      <c r="I100" s="209">
        <v>16</v>
      </c>
      <c r="J100" s="525">
        <f t="shared" si="32"/>
        <v>10.56</v>
      </c>
      <c r="K100" s="185" t="s">
        <v>31</v>
      </c>
      <c r="L100" s="210" t="s">
        <v>493</v>
      </c>
      <c r="M100" s="211" t="s">
        <v>494</v>
      </c>
      <c r="N100" s="1" t="s">
        <v>536</v>
      </c>
    </row>
    <row r="101" spans="1:14" x14ac:dyDescent="0.25">
      <c r="A101" s="1">
        <v>44</v>
      </c>
      <c r="B101" s="665">
        <v>44960</v>
      </c>
      <c r="C101" s="205" t="s">
        <v>30</v>
      </c>
      <c r="D101" s="205" t="s">
        <v>15</v>
      </c>
      <c r="E101" s="206" t="s">
        <v>553</v>
      </c>
      <c r="F101" s="207">
        <v>2</v>
      </c>
      <c r="G101" s="207">
        <v>0.6</v>
      </c>
      <c r="H101" s="208">
        <v>0.05</v>
      </c>
      <c r="I101" s="209">
        <v>18</v>
      </c>
      <c r="J101" s="525">
        <f t="shared" si="32"/>
        <v>21.599999999999998</v>
      </c>
      <c r="K101" s="185" t="s">
        <v>31</v>
      </c>
      <c r="L101" s="210" t="s">
        <v>493</v>
      </c>
      <c r="M101" s="211" t="s">
        <v>494</v>
      </c>
      <c r="N101" s="1" t="s">
        <v>536</v>
      </c>
    </row>
    <row r="102" spans="1:14" x14ac:dyDescent="0.55000000000000004">
      <c r="A102" s="282">
        <v>45</v>
      </c>
      <c r="B102" s="665">
        <v>44960</v>
      </c>
      <c r="C102" s="205" t="s">
        <v>30</v>
      </c>
      <c r="D102" s="205" t="s">
        <v>165</v>
      </c>
      <c r="E102" s="205" t="s">
        <v>552</v>
      </c>
      <c r="F102" s="207">
        <v>0.8</v>
      </c>
      <c r="G102" s="207">
        <v>0.6</v>
      </c>
      <c r="H102" s="208">
        <v>0.02</v>
      </c>
      <c r="I102" s="209">
        <v>8</v>
      </c>
      <c r="J102" s="525">
        <f t="shared" si="32"/>
        <v>3.84</v>
      </c>
      <c r="K102" s="185" t="s">
        <v>31</v>
      </c>
      <c r="L102" s="210"/>
      <c r="M102" s="211" t="s">
        <v>529</v>
      </c>
      <c r="N102" s="1" t="s">
        <v>63</v>
      </c>
    </row>
    <row r="103" spans="1:14" x14ac:dyDescent="0.55000000000000004">
      <c r="A103" s="1">
        <v>46</v>
      </c>
      <c r="B103" s="665">
        <v>44960</v>
      </c>
      <c r="C103" s="205" t="s">
        <v>30</v>
      </c>
      <c r="D103" s="205" t="s">
        <v>165</v>
      </c>
      <c r="E103" s="205" t="s">
        <v>552</v>
      </c>
      <c r="F103" s="207">
        <v>2.5</v>
      </c>
      <c r="G103" s="207">
        <v>0.6</v>
      </c>
      <c r="H103" s="208">
        <v>0.02</v>
      </c>
      <c r="I103" s="209">
        <v>25</v>
      </c>
      <c r="J103" s="525">
        <f t="shared" si="32"/>
        <v>37.5</v>
      </c>
      <c r="K103" s="185" t="s">
        <v>31</v>
      </c>
      <c r="L103" s="210"/>
      <c r="M103" s="211" t="s">
        <v>529</v>
      </c>
      <c r="N103" s="1" t="s">
        <v>63</v>
      </c>
    </row>
    <row r="104" spans="1:14" x14ac:dyDescent="0.25">
      <c r="A104" s="282">
        <v>47</v>
      </c>
      <c r="B104" s="665">
        <v>44960</v>
      </c>
      <c r="C104" s="205" t="s">
        <v>30</v>
      </c>
      <c r="D104" s="205" t="s">
        <v>15</v>
      </c>
      <c r="E104" s="206" t="s">
        <v>553</v>
      </c>
      <c r="F104" s="207">
        <v>1.3</v>
      </c>
      <c r="G104" s="207">
        <v>0.6</v>
      </c>
      <c r="H104" s="208">
        <v>0.05</v>
      </c>
      <c r="I104" s="209">
        <v>18</v>
      </c>
      <c r="J104" s="525">
        <f t="shared" si="32"/>
        <v>14.040000000000001</v>
      </c>
      <c r="K104" s="185" t="s">
        <v>31</v>
      </c>
      <c r="L104" s="210" t="s">
        <v>493</v>
      </c>
      <c r="M104" s="211" t="s">
        <v>494</v>
      </c>
      <c r="N104" s="1" t="s">
        <v>536</v>
      </c>
    </row>
    <row r="105" spans="1:14" x14ac:dyDescent="0.25">
      <c r="A105" s="1">
        <v>48</v>
      </c>
      <c r="B105" s="665">
        <v>44960</v>
      </c>
      <c r="C105" s="205" t="s">
        <v>30</v>
      </c>
      <c r="D105" s="205" t="s">
        <v>15</v>
      </c>
      <c r="E105" s="206" t="s">
        <v>553</v>
      </c>
      <c r="F105" s="207">
        <v>1</v>
      </c>
      <c r="G105" s="207">
        <v>0.6</v>
      </c>
      <c r="H105" s="208">
        <v>0.05</v>
      </c>
      <c r="I105" s="209">
        <v>3</v>
      </c>
      <c r="J105" s="525">
        <f t="shared" si="32"/>
        <v>1.7999999999999998</v>
      </c>
      <c r="K105" s="185" t="s">
        <v>31</v>
      </c>
      <c r="L105" s="210" t="s">
        <v>493</v>
      </c>
      <c r="M105" s="211" t="s">
        <v>494</v>
      </c>
      <c r="N105" s="1" t="s">
        <v>536</v>
      </c>
    </row>
    <row r="106" spans="1:14" x14ac:dyDescent="0.25">
      <c r="A106" s="282">
        <v>49</v>
      </c>
      <c r="B106" s="665">
        <v>44960</v>
      </c>
      <c r="C106" s="205" t="s">
        <v>30</v>
      </c>
      <c r="D106" s="205" t="s">
        <v>15</v>
      </c>
      <c r="E106" s="206" t="s">
        <v>553</v>
      </c>
      <c r="F106" s="207">
        <v>1.6</v>
      </c>
      <c r="G106" s="207">
        <v>0.6</v>
      </c>
      <c r="H106" s="208">
        <v>0.05</v>
      </c>
      <c r="I106" s="209">
        <v>16</v>
      </c>
      <c r="J106" s="525">
        <f t="shared" si="32"/>
        <v>15.36</v>
      </c>
      <c r="K106" s="185" t="s">
        <v>31</v>
      </c>
      <c r="L106" s="210" t="s">
        <v>493</v>
      </c>
      <c r="M106" s="211" t="s">
        <v>494</v>
      </c>
      <c r="N106" s="1" t="s">
        <v>536</v>
      </c>
    </row>
    <row r="107" spans="1:14" x14ac:dyDescent="0.25">
      <c r="A107" s="1">
        <v>50</v>
      </c>
      <c r="B107" s="665">
        <v>44960</v>
      </c>
      <c r="C107" s="205" t="s">
        <v>30</v>
      </c>
      <c r="D107" s="205" t="s">
        <v>15</v>
      </c>
      <c r="E107" s="206" t="s">
        <v>553</v>
      </c>
      <c r="F107" s="207">
        <v>1.7</v>
      </c>
      <c r="G107" s="207">
        <v>0.6</v>
      </c>
      <c r="H107" s="208">
        <v>0.05</v>
      </c>
      <c r="I107" s="209">
        <v>18</v>
      </c>
      <c r="J107" s="525">
        <f t="shared" ref="J107:J119" si="33">F107*G107*I107</f>
        <v>18.36</v>
      </c>
      <c r="K107" s="185" t="s">
        <v>31</v>
      </c>
      <c r="L107" s="210" t="s">
        <v>493</v>
      </c>
      <c r="M107" s="211" t="s">
        <v>494</v>
      </c>
      <c r="N107" s="1" t="s">
        <v>536</v>
      </c>
    </row>
    <row r="108" spans="1:14" x14ac:dyDescent="0.25">
      <c r="A108" s="282">
        <v>51</v>
      </c>
      <c r="B108" s="665">
        <v>44960</v>
      </c>
      <c r="C108" s="205" t="s">
        <v>30</v>
      </c>
      <c r="D108" s="205" t="s">
        <v>15</v>
      </c>
      <c r="E108" s="206" t="s">
        <v>553</v>
      </c>
      <c r="F108" s="207">
        <v>1.2</v>
      </c>
      <c r="G108" s="207">
        <v>0.6</v>
      </c>
      <c r="H108" s="208">
        <v>0.05</v>
      </c>
      <c r="I108" s="209">
        <v>21</v>
      </c>
      <c r="J108" s="525">
        <f t="shared" si="33"/>
        <v>15.12</v>
      </c>
      <c r="K108" s="185" t="s">
        <v>31</v>
      </c>
      <c r="L108" s="210" t="s">
        <v>493</v>
      </c>
      <c r="M108" s="211" t="s">
        <v>494</v>
      </c>
      <c r="N108" s="1" t="s">
        <v>536</v>
      </c>
    </row>
    <row r="109" spans="1:14" x14ac:dyDescent="0.25">
      <c r="A109" s="1">
        <v>52</v>
      </c>
      <c r="B109" s="665">
        <v>44960</v>
      </c>
      <c r="C109" s="205" t="s">
        <v>30</v>
      </c>
      <c r="D109" s="205" t="s">
        <v>15</v>
      </c>
      <c r="E109" s="206" t="s">
        <v>553</v>
      </c>
      <c r="F109" s="207">
        <v>2.1</v>
      </c>
      <c r="G109" s="207">
        <v>0.6</v>
      </c>
      <c r="H109" s="208">
        <v>0.05</v>
      </c>
      <c r="I109" s="209">
        <v>15</v>
      </c>
      <c r="J109" s="525">
        <f t="shared" si="33"/>
        <v>18.899999999999999</v>
      </c>
      <c r="K109" s="185" t="s">
        <v>31</v>
      </c>
      <c r="L109" s="210" t="s">
        <v>493</v>
      </c>
      <c r="M109" s="211" t="s">
        <v>494</v>
      </c>
      <c r="N109" s="1" t="s">
        <v>536</v>
      </c>
    </row>
    <row r="110" spans="1:14" x14ac:dyDescent="0.25">
      <c r="A110" s="282">
        <v>53</v>
      </c>
      <c r="B110" s="674">
        <v>44960</v>
      </c>
      <c r="C110" s="669" t="s">
        <v>30</v>
      </c>
      <c r="D110" s="669" t="s">
        <v>15</v>
      </c>
      <c r="E110" s="678" t="s">
        <v>553</v>
      </c>
      <c r="F110" s="670">
        <v>2.2000000000000002</v>
      </c>
      <c r="G110" s="670">
        <v>0.6</v>
      </c>
      <c r="H110" s="671">
        <v>0.05</v>
      </c>
      <c r="I110" s="672">
        <v>14</v>
      </c>
      <c r="J110" s="673">
        <f t="shared" si="33"/>
        <v>18.48</v>
      </c>
      <c r="K110" s="675" t="s">
        <v>31</v>
      </c>
      <c r="L110" s="676" t="s">
        <v>493</v>
      </c>
      <c r="M110" s="677" t="s">
        <v>494</v>
      </c>
      <c r="N110" s="1" t="s">
        <v>536</v>
      </c>
    </row>
    <row r="111" spans="1:14" x14ac:dyDescent="0.55000000000000004">
      <c r="A111" s="1">
        <v>54</v>
      </c>
      <c r="B111" s="665">
        <v>44961</v>
      </c>
      <c r="C111" s="205" t="s">
        <v>30</v>
      </c>
      <c r="D111" s="205" t="s">
        <v>165</v>
      </c>
      <c r="E111" s="205" t="s">
        <v>569</v>
      </c>
      <c r="F111" s="207">
        <v>1.1000000000000001</v>
      </c>
      <c r="G111" s="207">
        <v>1</v>
      </c>
      <c r="H111" s="208">
        <v>0.02</v>
      </c>
      <c r="I111" s="209">
        <v>42</v>
      </c>
      <c r="J111" s="525">
        <f t="shared" si="33"/>
        <v>46.2</v>
      </c>
      <c r="K111" s="185" t="s">
        <v>31</v>
      </c>
      <c r="L111" s="210"/>
      <c r="M111" s="211" t="s">
        <v>528</v>
      </c>
      <c r="N111" s="1" t="s">
        <v>63</v>
      </c>
    </row>
    <row r="112" spans="1:14" x14ac:dyDescent="0.25">
      <c r="A112" s="282">
        <v>55</v>
      </c>
      <c r="B112" s="665">
        <v>44961</v>
      </c>
      <c r="C112" s="205" t="s">
        <v>30</v>
      </c>
      <c r="D112" s="205" t="s">
        <v>15</v>
      </c>
      <c r="E112" s="206" t="s">
        <v>553</v>
      </c>
      <c r="F112" s="207">
        <v>1</v>
      </c>
      <c r="G112" s="207">
        <v>0.6</v>
      </c>
      <c r="H112" s="208">
        <v>0.03</v>
      </c>
      <c r="I112" s="209">
        <v>48</v>
      </c>
      <c r="J112" s="525">
        <f t="shared" si="33"/>
        <v>28.799999999999997</v>
      </c>
      <c r="K112" s="185" t="s">
        <v>31</v>
      </c>
      <c r="L112" s="210"/>
      <c r="M112" s="211" t="s">
        <v>529</v>
      </c>
      <c r="N112" s="1" t="s">
        <v>536</v>
      </c>
    </row>
    <row r="113" spans="1:14" x14ac:dyDescent="0.55000000000000004">
      <c r="A113" s="1">
        <v>56</v>
      </c>
      <c r="B113" s="665">
        <v>44961</v>
      </c>
      <c r="C113" s="205" t="s">
        <v>30</v>
      </c>
      <c r="D113" s="205" t="s">
        <v>165</v>
      </c>
      <c r="E113" s="205" t="s">
        <v>497</v>
      </c>
      <c r="F113" s="207">
        <v>2.5</v>
      </c>
      <c r="G113" s="207">
        <v>0.8</v>
      </c>
      <c r="H113" s="208">
        <v>0.03</v>
      </c>
      <c r="I113" s="209">
        <v>27</v>
      </c>
      <c r="J113" s="525">
        <f t="shared" si="33"/>
        <v>54</v>
      </c>
      <c r="K113" s="185" t="s">
        <v>31</v>
      </c>
      <c r="L113" s="210"/>
      <c r="M113" s="211" t="s">
        <v>528</v>
      </c>
      <c r="N113" s="1" t="s">
        <v>536</v>
      </c>
    </row>
    <row r="114" spans="1:14" x14ac:dyDescent="0.55000000000000004">
      <c r="A114" s="282">
        <v>57</v>
      </c>
      <c r="B114" s="665">
        <v>44961</v>
      </c>
      <c r="C114" s="205" t="s">
        <v>30</v>
      </c>
      <c r="D114" s="205" t="s">
        <v>165</v>
      </c>
      <c r="E114" s="205" t="s">
        <v>522</v>
      </c>
      <c r="F114" s="207">
        <v>1.2</v>
      </c>
      <c r="G114" s="207">
        <v>0.6</v>
      </c>
      <c r="H114" s="208">
        <v>0.02</v>
      </c>
      <c r="I114" s="209">
        <v>49</v>
      </c>
      <c r="J114" s="525">
        <f t="shared" si="33"/>
        <v>35.28</v>
      </c>
      <c r="K114" s="185" t="s">
        <v>31</v>
      </c>
      <c r="L114" s="210"/>
      <c r="M114" s="211" t="s">
        <v>529</v>
      </c>
      <c r="N114" s="1" t="s">
        <v>63</v>
      </c>
    </row>
    <row r="115" spans="1:14" x14ac:dyDescent="0.25">
      <c r="A115" s="1">
        <v>58</v>
      </c>
      <c r="B115" s="665">
        <v>44961</v>
      </c>
      <c r="C115" s="205" t="s">
        <v>30</v>
      </c>
      <c r="D115" s="205" t="s">
        <v>15</v>
      </c>
      <c r="E115" s="206" t="s">
        <v>383</v>
      </c>
      <c r="F115" s="207">
        <v>1.2</v>
      </c>
      <c r="G115" s="207">
        <v>0.6</v>
      </c>
      <c r="H115" s="208">
        <v>0.03</v>
      </c>
      <c r="I115" s="209">
        <v>29</v>
      </c>
      <c r="J115" s="525">
        <f t="shared" si="33"/>
        <v>20.88</v>
      </c>
      <c r="K115" s="185" t="s">
        <v>31</v>
      </c>
      <c r="L115" s="210"/>
      <c r="M115" s="211" t="s">
        <v>537</v>
      </c>
      <c r="N115" s="1" t="s">
        <v>536</v>
      </c>
    </row>
    <row r="116" spans="1:14" x14ac:dyDescent="0.25">
      <c r="A116" s="282">
        <v>59</v>
      </c>
      <c r="B116" s="674">
        <v>44961</v>
      </c>
      <c r="C116" s="669" t="s">
        <v>30</v>
      </c>
      <c r="D116" s="669" t="s">
        <v>15</v>
      </c>
      <c r="E116" s="678" t="s">
        <v>553</v>
      </c>
      <c r="F116" s="670">
        <v>1.3</v>
      </c>
      <c r="G116" s="670">
        <v>0.6</v>
      </c>
      <c r="H116" s="671">
        <v>0.03</v>
      </c>
      <c r="I116" s="672">
        <v>24</v>
      </c>
      <c r="J116" s="673">
        <f t="shared" si="33"/>
        <v>18.72</v>
      </c>
      <c r="K116" s="675" t="s">
        <v>31</v>
      </c>
      <c r="L116" s="676"/>
      <c r="M116" s="677" t="s">
        <v>537</v>
      </c>
      <c r="N116" s="1" t="s">
        <v>536</v>
      </c>
    </row>
    <row r="117" spans="1:14" x14ac:dyDescent="0.25">
      <c r="A117" s="1">
        <v>60</v>
      </c>
      <c r="B117" s="665"/>
      <c r="C117" s="205" t="s">
        <v>30</v>
      </c>
      <c r="D117" s="205"/>
      <c r="E117" s="206"/>
      <c r="F117" s="207"/>
      <c r="G117" s="207">
        <v>0.6</v>
      </c>
      <c r="H117" s="208">
        <v>0.02</v>
      </c>
      <c r="I117" s="209"/>
      <c r="J117" s="525">
        <f t="shared" si="33"/>
        <v>0</v>
      </c>
      <c r="K117" s="185" t="s">
        <v>31</v>
      </c>
      <c r="L117" s="210"/>
      <c r="M117" s="211"/>
    </row>
    <row r="118" spans="1:14" x14ac:dyDescent="0.25">
      <c r="A118" s="282">
        <v>61</v>
      </c>
      <c r="B118" s="665"/>
      <c r="C118" s="205" t="s">
        <v>30</v>
      </c>
      <c r="D118" s="205"/>
      <c r="E118" s="681"/>
      <c r="F118" s="207"/>
      <c r="G118" s="207">
        <v>0.6</v>
      </c>
      <c r="H118" s="208">
        <v>0.02</v>
      </c>
      <c r="I118" s="209"/>
      <c r="J118" s="525">
        <f t="shared" si="33"/>
        <v>0</v>
      </c>
      <c r="K118" s="185" t="s">
        <v>31</v>
      </c>
      <c r="L118" s="210"/>
      <c r="M118" s="211"/>
    </row>
    <row r="119" spans="1:14" x14ac:dyDescent="0.25">
      <c r="A119" s="1">
        <v>62</v>
      </c>
      <c r="B119" s="665"/>
      <c r="C119" s="205" t="s">
        <v>30</v>
      </c>
      <c r="D119" s="205"/>
      <c r="E119" s="206"/>
      <c r="F119" s="207"/>
      <c r="G119" s="207">
        <v>0.6</v>
      </c>
      <c r="H119" s="208">
        <v>0.02</v>
      </c>
      <c r="I119" s="209"/>
      <c r="J119" s="525">
        <f t="shared" si="33"/>
        <v>0</v>
      </c>
      <c r="K119" s="185" t="s">
        <v>31</v>
      </c>
      <c r="L119" s="210"/>
      <c r="M119" s="211"/>
    </row>
    <row r="120" spans="1:14" x14ac:dyDescent="0.25">
      <c r="A120" s="1">
        <v>50</v>
      </c>
      <c r="B120" s="665"/>
      <c r="C120" s="205" t="s">
        <v>30</v>
      </c>
      <c r="D120" s="205"/>
      <c r="E120" s="206"/>
      <c r="F120" s="207"/>
      <c r="G120" s="207">
        <v>0.6</v>
      </c>
      <c r="H120" s="208">
        <v>0.02</v>
      </c>
      <c r="I120" s="209"/>
      <c r="J120" s="525">
        <f t="shared" si="32"/>
        <v>0</v>
      </c>
      <c r="K120" s="185" t="s">
        <v>31</v>
      </c>
      <c r="L120" s="210"/>
      <c r="M120" s="211"/>
    </row>
    <row r="121" spans="1:14" x14ac:dyDescent="0.25">
      <c r="A121" s="282">
        <v>51</v>
      </c>
      <c r="B121" s="665"/>
      <c r="C121" s="205" t="s">
        <v>30</v>
      </c>
      <c r="D121" s="205"/>
      <c r="E121" s="206"/>
      <c r="F121" s="207"/>
      <c r="G121" s="207">
        <v>0.6</v>
      </c>
      <c r="H121" s="208">
        <v>0.02</v>
      </c>
      <c r="I121" s="209"/>
      <c r="J121" s="525">
        <f t="shared" si="32"/>
        <v>0</v>
      </c>
      <c r="K121" s="185" t="s">
        <v>31</v>
      </c>
      <c r="L121" s="210"/>
      <c r="M121" s="211"/>
    </row>
    <row r="122" spans="1:14" x14ac:dyDescent="0.25">
      <c r="A122" s="1">
        <v>52</v>
      </c>
      <c r="B122" s="665"/>
      <c r="C122" s="205" t="s">
        <v>30</v>
      </c>
      <c r="D122" s="205"/>
      <c r="E122" s="206"/>
      <c r="F122" s="207"/>
      <c r="G122" s="207">
        <v>0.6</v>
      </c>
      <c r="H122" s="208">
        <v>0.02</v>
      </c>
      <c r="I122" s="209"/>
      <c r="J122" s="525">
        <f t="shared" si="32"/>
        <v>0</v>
      </c>
      <c r="K122" s="185" t="s">
        <v>31</v>
      </c>
      <c r="L122" s="210"/>
      <c r="M122" s="211"/>
    </row>
    <row r="123" spans="1:14" x14ac:dyDescent="0.25">
      <c r="A123" s="282">
        <v>53</v>
      </c>
      <c r="B123" s="665"/>
      <c r="C123" s="205" t="s">
        <v>30</v>
      </c>
      <c r="D123" s="205"/>
      <c r="E123" s="206"/>
      <c r="F123" s="207"/>
      <c r="G123" s="207">
        <v>0.6</v>
      </c>
      <c r="H123" s="208">
        <v>0.02</v>
      </c>
      <c r="I123" s="209"/>
      <c r="J123" s="525">
        <f t="shared" si="32"/>
        <v>0</v>
      </c>
      <c r="K123" s="185" t="s">
        <v>31</v>
      </c>
      <c r="L123" s="210"/>
      <c r="M123" s="211"/>
    </row>
    <row r="124" spans="1:14" x14ac:dyDescent="0.25">
      <c r="A124" s="1">
        <v>54</v>
      </c>
      <c r="B124" s="665"/>
      <c r="C124" s="205" t="s">
        <v>30</v>
      </c>
      <c r="D124" s="205"/>
      <c r="E124" s="206"/>
      <c r="F124" s="207"/>
      <c r="G124" s="207">
        <v>0.6</v>
      </c>
      <c r="H124" s="208">
        <v>0.02</v>
      </c>
      <c r="I124" s="209"/>
      <c r="J124" s="525">
        <f t="shared" si="32"/>
        <v>0</v>
      </c>
      <c r="K124" s="185" t="s">
        <v>31</v>
      </c>
      <c r="L124" s="210"/>
      <c r="M124" s="211"/>
    </row>
    <row r="125" spans="1:14" x14ac:dyDescent="0.25">
      <c r="A125" s="282">
        <v>55</v>
      </c>
      <c r="B125" s="665"/>
      <c r="C125" s="205" t="s">
        <v>30</v>
      </c>
      <c r="D125" s="205"/>
      <c r="E125" s="206"/>
      <c r="F125" s="207"/>
      <c r="G125" s="207">
        <v>0.6</v>
      </c>
      <c r="H125" s="208">
        <v>0.02</v>
      </c>
      <c r="I125" s="209"/>
      <c r="J125" s="525">
        <f t="shared" si="32"/>
        <v>0</v>
      </c>
      <c r="K125" s="185" t="s">
        <v>31</v>
      </c>
      <c r="L125" s="210"/>
      <c r="M125" s="211"/>
    </row>
    <row r="126" spans="1:14" x14ac:dyDescent="0.25">
      <c r="A126" s="1">
        <v>56</v>
      </c>
      <c r="B126" s="665"/>
      <c r="C126" s="205" t="s">
        <v>30</v>
      </c>
      <c r="D126" s="205"/>
      <c r="E126" s="206"/>
      <c r="F126" s="207"/>
      <c r="G126" s="207">
        <v>0.6</v>
      </c>
      <c r="H126" s="208">
        <v>0.02</v>
      </c>
      <c r="I126" s="209"/>
      <c r="J126" s="525">
        <f t="shared" si="32"/>
        <v>0</v>
      </c>
      <c r="K126" s="185" t="s">
        <v>31</v>
      </c>
      <c r="L126" s="210"/>
      <c r="M126" s="211"/>
    </row>
    <row r="127" spans="1:14" x14ac:dyDescent="0.25">
      <c r="A127" s="282">
        <v>57</v>
      </c>
      <c r="B127" s="665"/>
      <c r="C127" s="205" t="s">
        <v>30</v>
      </c>
      <c r="D127" s="205"/>
      <c r="E127" s="206"/>
      <c r="F127" s="207"/>
      <c r="G127" s="207">
        <v>0.6</v>
      </c>
      <c r="H127" s="208">
        <v>0.02</v>
      </c>
      <c r="I127" s="209"/>
      <c r="J127" s="525">
        <f t="shared" si="32"/>
        <v>0</v>
      </c>
      <c r="K127" s="185" t="s">
        <v>31</v>
      </c>
      <c r="L127" s="210"/>
      <c r="M127" s="211"/>
    </row>
    <row r="128" spans="1:14" x14ac:dyDescent="0.25">
      <c r="A128" s="1">
        <v>58</v>
      </c>
      <c r="B128" s="665"/>
      <c r="C128" s="205" t="s">
        <v>30</v>
      </c>
      <c r="D128" s="205"/>
      <c r="E128" s="206"/>
      <c r="F128" s="207"/>
      <c r="G128" s="207">
        <v>0.6</v>
      </c>
      <c r="H128" s="208">
        <v>0.02</v>
      </c>
      <c r="I128" s="209"/>
      <c r="J128" s="525">
        <f t="shared" si="32"/>
        <v>0</v>
      </c>
      <c r="K128" s="185" t="s">
        <v>31</v>
      </c>
      <c r="L128" s="210"/>
      <c r="M128" s="211"/>
    </row>
    <row r="129" spans="1:15" x14ac:dyDescent="0.25">
      <c r="A129" s="282">
        <v>59</v>
      </c>
      <c r="B129" s="665"/>
      <c r="C129" s="205" t="s">
        <v>30</v>
      </c>
      <c r="D129" s="205"/>
      <c r="E129" s="206"/>
      <c r="F129" s="207"/>
      <c r="G129" s="207">
        <v>0.6</v>
      </c>
      <c r="H129" s="208">
        <v>0.02</v>
      </c>
      <c r="I129" s="209"/>
      <c r="J129" s="525">
        <f t="shared" si="32"/>
        <v>0</v>
      </c>
      <c r="K129" s="185" t="s">
        <v>31</v>
      </c>
      <c r="L129" s="210"/>
      <c r="M129" s="211"/>
    </row>
    <row r="130" spans="1:15" x14ac:dyDescent="0.25">
      <c r="A130" s="1">
        <v>60</v>
      </c>
      <c r="B130" s="665"/>
      <c r="C130" s="205" t="s">
        <v>30</v>
      </c>
      <c r="D130" s="205"/>
      <c r="E130" s="206"/>
      <c r="F130" s="207"/>
      <c r="G130" s="207">
        <v>0.6</v>
      </c>
      <c r="H130" s="208">
        <v>0.02</v>
      </c>
      <c r="I130" s="209"/>
      <c r="J130" s="525">
        <f t="shared" si="32"/>
        <v>0</v>
      </c>
      <c r="K130" s="185" t="s">
        <v>31</v>
      </c>
      <c r="L130" s="210"/>
      <c r="M130" s="211"/>
    </row>
    <row r="131" spans="1:15" x14ac:dyDescent="0.25">
      <c r="A131" s="282">
        <v>61</v>
      </c>
      <c r="B131" s="665"/>
      <c r="C131" s="205" t="s">
        <v>30</v>
      </c>
      <c r="D131" s="205"/>
      <c r="E131" s="681"/>
      <c r="F131" s="207"/>
      <c r="G131" s="207">
        <v>0.6</v>
      </c>
      <c r="H131" s="208">
        <v>0.02</v>
      </c>
      <c r="I131" s="209"/>
      <c r="J131" s="525">
        <f t="shared" si="32"/>
        <v>0</v>
      </c>
      <c r="K131" s="185" t="s">
        <v>31</v>
      </c>
      <c r="L131" s="210"/>
      <c r="M131" s="211"/>
    </row>
    <row r="132" spans="1:15" x14ac:dyDescent="0.25">
      <c r="A132" s="1">
        <v>62</v>
      </c>
      <c r="B132" s="665"/>
      <c r="C132" s="205" t="s">
        <v>30</v>
      </c>
      <c r="D132" s="205"/>
      <c r="E132" s="206"/>
      <c r="F132" s="207"/>
      <c r="G132" s="207">
        <v>0.6</v>
      </c>
      <c r="H132" s="208">
        <v>0.02</v>
      </c>
      <c r="I132" s="209"/>
      <c r="J132" s="525">
        <f t="shared" si="32"/>
        <v>0</v>
      </c>
      <c r="K132" s="185" t="s">
        <v>31</v>
      </c>
      <c r="L132" s="210"/>
      <c r="M132" s="211"/>
    </row>
    <row r="133" spans="1:15" ht="16.5" thickBot="1" x14ac:dyDescent="0.3">
      <c r="A133" s="282">
        <v>63</v>
      </c>
      <c r="B133" s="665"/>
      <c r="C133" s="205" t="s">
        <v>30</v>
      </c>
      <c r="D133" s="205"/>
      <c r="E133" s="206"/>
      <c r="F133" s="207"/>
      <c r="G133" s="207">
        <v>0.6</v>
      </c>
      <c r="H133" s="208">
        <v>0.02</v>
      </c>
      <c r="I133" s="209"/>
      <c r="J133" s="525">
        <f t="shared" si="32"/>
        <v>0</v>
      </c>
      <c r="K133" s="185" t="s">
        <v>31</v>
      </c>
      <c r="L133" s="210"/>
      <c r="M133" s="211"/>
    </row>
    <row r="134" spans="1:15" ht="16.5" thickBot="1" x14ac:dyDescent="0.3">
      <c r="A134" s="422"/>
      <c r="B134" s="175"/>
      <c r="C134" s="176"/>
      <c r="D134" s="176"/>
      <c r="E134" s="177"/>
      <c r="F134" s="178"/>
      <c r="G134" s="178"/>
      <c r="H134" s="179"/>
      <c r="I134" s="180"/>
      <c r="J134" s="181"/>
      <c r="K134" s="182"/>
      <c r="L134" s="183"/>
      <c r="M134" s="184"/>
      <c r="N134" s="274"/>
    </row>
    <row r="137" spans="1:15" ht="12.75" x14ac:dyDescent="0.55000000000000004">
      <c r="B137" s="1"/>
      <c r="C137" s="1"/>
      <c r="D137" s="1"/>
      <c r="E137" s="1"/>
      <c r="F137" s="458"/>
      <c r="I137" s="1"/>
      <c r="K137" s="1"/>
      <c r="O137" s="1"/>
    </row>
  </sheetData>
  <autoFilter ref="A57:T133" xr:uid="{00000000-0009-0000-0000-000002000000}"/>
  <mergeCells count="44">
    <mergeCell ref="O11:P11"/>
    <mergeCell ref="O20:P20"/>
    <mergeCell ref="A1:N1"/>
    <mergeCell ref="A2:B2"/>
    <mergeCell ref="E2:F2"/>
    <mergeCell ref="I2:J2"/>
    <mergeCell ref="A3:A6"/>
    <mergeCell ref="E3:E6"/>
    <mergeCell ref="I3:I6"/>
    <mergeCell ref="M16:N17"/>
    <mergeCell ref="A7:A10"/>
    <mergeCell ref="O18:P18"/>
    <mergeCell ref="O19:P19"/>
    <mergeCell ref="L20:L21"/>
    <mergeCell ref="L16:L17"/>
    <mergeCell ref="M19:N19"/>
    <mergeCell ref="B34:D34"/>
    <mergeCell ref="L34:N34"/>
    <mergeCell ref="E7:E10"/>
    <mergeCell ref="I7:I10"/>
    <mergeCell ref="L11:N15"/>
    <mergeCell ref="J12:J15"/>
    <mergeCell ref="J17:J20"/>
    <mergeCell ref="M20:N21"/>
    <mergeCell ref="L27:N30"/>
    <mergeCell ref="B31:D31"/>
    <mergeCell ref="L31:N31"/>
    <mergeCell ref="B32:D32"/>
    <mergeCell ref="L32:N32"/>
    <mergeCell ref="M18:N18"/>
    <mergeCell ref="B33:D33"/>
    <mergeCell ref="L33:N33"/>
    <mergeCell ref="L36:N40"/>
    <mergeCell ref="J37:J40"/>
    <mergeCell ref="L41:L42"/>
    <mergeCell ref="M41:N42"/>
    <mergeCell ref="J42:J45"/>
    <mergeCell ref="L43:L45"/>
    <mergeCell ref="M43:N45"/>
    <mergeCell ref="L48:L50"/>
    <mergeCell ref="M48:N50"/>
    <mergeCell ref="L51:N55"/>
    <mergeCell ref="L46:L47"/>
    <mergeCell ref="M46:N47"/>
  </mergeCells>
  <phoneticPr fontId="35" type="noConversion"/>
  <pageMargins left="0.7" right="0.7" top="0.75" bottom="0.75" header="0.3" footer="0.3"/>
  <pageSetup scale="54" orientation="portrait" horizontalDpi="360" verticalDpi="360" r:id="rId1"/>
  <colBreaks count="1" manualBreakCount="1">
    <brk id="16" max="301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F4401"/>
  <sheetViews>
    <sheetView zoomScale="110" zoomScaleNormal="110" workbookViewId="0">
      <selection activeCell="A8" sqref="A8"/>
    </sheetView>
  </sheetViews>
  <sheetFormatPr defaultColWidth="9.19921875" defaultRowHeight="15.75" x14ac:dyDescent="0.55000000000000004"/>
  <cols>
    <col min="1" max="1" width="11.796875" style="85" bestFit="1" customWidth="1"/>
    <col min="2" max="2" width="8.19921875" style="311" customWidth="1"/>
    <col min="3" max="3" width="10" style="311" bestFit="1" customWidth="1"/>
    <col min="4" max="4" width="9.3984375" style="311" customWidth="1"/>
    <col min="5" max="5" width="7.796875" style="313" customWidth="1"/>
    <col min="6" max="6" width="10" style="76" customWidth="1"/>
    <col min="7" max="7" width="8.796875" style="76" customWidth="1"/>
    <col min="8" max="8" width="10.3984375" style="76" customWidth="1"/>
    <col min="9" max="9" width="10.19921875" style="11" customWidth="1"/>
    <col min="10" max="10" width="8" style="76" customWidth="1"/>
    <col min="11" max="11" width="10.796875" style="11" customWidth="1"/>
    <col min="12" max="12" width="8.796875" style="84" customWidth="1"/>
    <col min="13" max="13" width="9.59765625" style="316" customWidth="1"/>
    <col min="14" max="14" width="7" style="70" customWidth="1"/>
    <col min="15" max="15" width="7.796875" style="401" customWidth="1"/>
    <col min="16" max="16" width="8.3984375" style="283" customWidth="1"/>
    <col min="17" max="17" width="11.796875" style="2" customWidth="1"/>
    <col min="18" max="18" width="10.19921875" style="2" bestFit="1" customWidth="1"/>
    <col min="19" max="25" width="9.19921875" style="2"/>
    <col min="26" max="26" width="5.3984375" style="2" customWidth="1"/>
    <col min="27" max="27" width="10.59765625" style="2" bestFit="1" customWidth="1"/>
    <col min="28" max="29" width="9.19921875" style="2"/>
    <col min="30" max="30" width="9.19921875" style="2" customWidth="1"/>
    <col min="31" max="31" width="12.796875" style="2" customWidth="1"/>
    <col min="32" max="16384" width="9.19921875" style="2"/>
  </cols>
  <sheetData>
    <row r="1" spans="1:32" x14ac:dyDescent="0.55000000000000004">
      <c r="A1" s="806" t="s">
        <v>110</v>
      </c>
      <c r="B1" s="806"/>
      <c r="C1" s="806"/>
      <c r="O1" s="403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</row>
    <row r="2" spans="1:32" ht="26.25" customHeight="1" x14ac:dyDescent="0.55000000000000004">
      <c r="A2" s="782" t="s">
        <v>560</v>
      </c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</row>
    <row r="3" spans="1:32" ht="20.100000000000001" hidden="1" customHeight="1" x14ac:dyDescent="0.55000000000000004">
      <c r="A3" s="819">
        <v>43770</v>
      </c>
      <c r="B3" s="820"/>
      <c r="C3" s="303" t="s">
        <v>44</v>
      </c>
      <c r="D3" s="312"/>
      <c r="E3" s="314"/>
      <c r="F3" s="819">
        <v>43770</v>
      </c>
      <c r="G3" s="820"/>
      <c r="H3" s="69" t="s">
        <v>44</v>
      </c>
      <c r="I3" s="2"/>
      <c r="J3" s="2"/>
      <c r="K3" s="2"/>
      <c r="L3" s="76"/>
      <c r="M3" s="314"/>
      <c r="N3" s="2"/>
      <c r="O3" s="400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</row>
    <row r="4" spans="1:32" ht="20.100000000000001" hidden="1" customHeight="1" x14ac:dyDescent="0.55000000000000004">
      <c r="A4" s="821" t="s">
        <v>45</v>
      </c>
      <c r="B4" s="321" t="s">
        <v>46</v>
      </c>
      <c r="C4" s="304">
        <v>2319.7349999999997</v>
      </c>
      <c r="D4" s="312"/>
      <c r="E4" s="314"/>
      <c r="F4" s="824" t="s">
        <v>47</v>
      </c>
      <c r="G4" s="71" t="s">
        <v>46</v>
      </c>
      <c r="H4" s="193">
        <v>2371.79</v>
      </c>
      <c r="I4" s="2"/>
      <c r="J4" s="2"/>
      <c r="K4" s="2"/>
      <c r="L4" s="76"/>
      <c r="M4" s="314"/>
      <c r="N4" s="2"/>
      <c r="O4" s="400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</row>
    <row r="5" spans="1:32" ht="20.100000000000001" hidden="1" customHeight="1" x14ac:dyDescent="0.55000000000000004">
      <c r="A5" s="822"/>
      <c r="B5" s="322"/>
      <c r="C5" s="304"/>
      <c r="D5" s="312"/>
      <c r="E5" s="314"/>
      <c r="F5" s="825"/>
      <c r="G5" s="73"/>
      <c r="H5" s="72"/>
      <c r="I5" s="2"/>
      <c r="J5" s="2"/>
      <c r="K5" s="2"/>
      <c r="L5" s="76"/>
      <c r="M5" s="314"/>
      <c r="N5" s="2"/>
      <c r="O5" s="400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</row>
    <row r="6" spans="1:32" ht="20.100000000000001" hidden="1" customHeight="1" x14ac:dyDescent="0.55000000000000004">
      <c r="A6" s="822"/>
      <c r="B6" s="322" t="s">
        <v>49</v>
      </c>
      <c r="C6" s="304">
        <f>SUMIFS($L:$L,$D:$D,"A",$N:$N,"O")</f>
        <v>0</v>
      </c>
      <c r="D6" s="312"/>
      <c r="E6" s="314"/>
      <c r="F6" s="825"/>
      <c r="G6" s="73" t="s">
        <v>49</v>
      </c>
      <c r="H6" s="193">
        <f>SUMIFS($L:$L,$D:$D,"B",$N:$N,"O")</f>
        <v>0</v>
      </c>
      <c r="I6" s="2"/>
      <c r="J6" s="2"/>
      <c r="K6" s="2"/>
      <c r="L6" s="76"/>
      <c r="M6" s="314"/>
      <c r="N6" s="2"/>
      <c r="O6" s="400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  <c r="AF6" s="326"/>
    </row>
    <row r="7" spans="1:32" ht="31.5" hidden="1" customHeight="1" x14ac:dyDescent="0.55000000000000004">
      <c r="A7" s="823"/>
      <c r="B7" s="323" t="s">
        <v>50</v>
      </c>
      <c r="C7" s="305">
        <f>C4-C6</f>
        <v>2319.7349999999997</v>
      </c>
      <c r="D7" s="312"/>
      <c r="E7" s="314"/>
      <c r="F7" s="826"/>
      <c r="G7" s="74" t="s">
        <v>50</v>
      </c>
      <c r="H7" s="75">
        <f>H4-H6</f>
        <v>2371.79</v>
      </c>
      <c r="I7" s="2"/>
      <c r="J7" s="2"/>
      <c r="K7" s="2"/>
      <c r="L7" s="76"/>
      <c r="M7" s="314"/>
      <c r="N7" s="2"/>
      <c r="O7" s="400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26"/>
      <c r="AE7" s="326"/>
      <c r="AF7" s="326"/>
    </row>
    <row r="8" spans="1:32" ht="15.75" customHeight="1" x14ac:dyDescent="0.55000000000000004">
      <c r="A8" s="144" t="s">
        <v>0</v>
      </c>
      <c r="B8" s="306">
        <v>1</v>
      </c>
      <c r="C8" s="307">
        <v>2</v>
      </c>
      <c r="D8" s="306">
        <v>3</v>
      </c>
      <c r="E8" s="307">
        <v>4</v>
      </c>
      <c r="F8" s="147">
        <v>5</v>
      </c>
      <c r="G8" s="146">
        <v>6</v>
      </c>
      <c r="H8" s="145">
        <v>7</v>
      </c>
      <c r="I8" s="148"/>
      <c r="J8" s="149"/>
      <c r="K8" s="150" t="s">
        <v>1</v>
      </c>
      <c r="L8" s="721" t="s">
        <v>37</v>
      </c>
      <c r="M8" s="722"/>
      <c r="N8" s="723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26"/>
      <c r="AB8" s="326"/>
      <c r="AC8" s="326"/>
      <c r="AD8" s="326"/>
      <c r="AE8" s="326"/>
      <c r="AF8" s="326"/>
    </row>
    <row r="9" spans="1:32" ht="20.25" customHeight="1" x14ac:dyDescent="0.55000000000000004">
      <c r="A9" s="6" t="s">
        <v>3</v>
      </c>
      <c r="B9" s="308">
        <f>SUMIFS($L$49:$L$4251,$A$49:$A$4251,B8&amp;"-01-2023",$D$49:$D$4251,$A$9,$M$49:$M$4251,"I")</f>
        <v>0</v>
      </c>
      <c r="C9" s="308">
        <f t="shared" ref="C9:I9" si="0">SUMIFS($L$49:$L$4251,$A$49:$A$4251,C8&amp;"-01-2023",$D$49:$D$4251,$A$9,$M$49:$M$4251,"I")</f>
        <v>0</v>
      </c>
      <c r="D9" s="308">
        <f t="shared" si="0"/>
        <v>0</v>
      </c>
      <c r="E9" s="308">
        <f t="shared" si="0"/>
        <v>0</v>
      </c>
      <c r="F9" s="308">
        <f t="shared" si="0"/>
        <v>0</v>
      </c>
      <c r="G9" s="308">
        <f t="shared" si="0"/>
        <v>0</v>
      </c>
      <c r="H9" s="308">
        <f t="shared" si="0"/>
        <v>0</v>
      </c>
      <c r="I9" s="308">
        <f t="shared" si="0"/>
        <v>0</v>
      </c>
      <c r="J9" s="814"/>
      <c r="K9" s="8">
        <f>SUM(B9:I9)</f>
        <v>0</v>
      </c>
      <c r="L9" s="724"/>
      <c r="M9" s="725"/>
      <c r="N9" s="7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26"/>
      <c r="AE9" s="326"/>
      <c r="AF9" s="326"/>
    </row>
    <row r="10" spans="1:32" ht="20.25" customHeight="1" x14ac:dyDescent="0.55000000000000004">
      <c r="A10" s="6" t="s">
        <v>4</v>
      </c>
      <c r="B10" s="308">
        <f>SUMIFS($L$49:$L$4251,$A$49:$A$4251,B8&amp;"-01-2023",$D$49:$D$4251,$A$10,$M$49:$M$4251,"I")</f>
        <v>0</v>
      </c>
      <c r="C10" s="308">
        <f t="shared" ref="C10:I10" si="1">SUMIFS($L$49:$L$4251,$A$49:$A$4251,C8&amp;"-01-2023",$D$49:$D$4251,$A$10,$M$49:$M$4251,"I")</f>
        <v>0</v>
      </c>
      <c r="D10" s="308">
        <f t="shared" si="1"/>
        <v>0</v>
      </c>
      <c r="E10" s="308">
        <f t="shared" si="1"/>
        <v>0</v>
      </c>
      <c r="F10" s="308">
        <f t="shared" si="1"/>
        <v>0</v>
      </c>
      <c r="G10" s="308">
        <f t="shared" si="1"/>
        <v>0</v>
      </c>
      <c r="H10" s="308">
        <f t="shared" si="1"/>
        <v>0</v>
      </c>
      <c r="I10" s="308">
        <f t="shared" si="1"/>
        <v>0</v>
      </c>
      <c r="J10" s="814"/>
      <c r="K10" s="8">
        <f>SUM(B10:I10)</f>
        <v>0</v>
      </c>
      <c r="L10" s="724"/>
      <c r="M10" s="725"/>
      <c r="N10" s="7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C10" s="326"/>
      <c r="AD10" s="326"/>
      <c r="AE10" s="326"/>
      <c r="AF10" s="326"/>
    </row>
    <row r="11" spans="1:32" ht="20.25" customHeight="1" x14ac:dyDescent="0.55000000000000004">
      <c r="A11" s="6" t="s">
        <v>15</v>
      </c>
      <c r="B11" s="308">
        <f>SUMIFS($L$49:$L$4251,$A$49:$A$4251,B7&amp;"-01-2023",$D$49:$D$4251,$A$11,$M$49:$M$4251,"I")</f>
        <v>0</v>
      </c>
      <c r="C11" s="308">
        <f t="shared" ref="C11:I11" si="2">SUMIFS($L$49:$L$4251,$A$49:$A$4251,C7&amp;"-01-2023",$D$49:$D$4251,$A$11,$M$49:$M$4251,"I")</f>
        <v>0</v>
      </c>
      <c r="D11" s="308">
        <f t="shared" si="2"/>
        <v>0</v>
      </c>
      <c r="E11" s="308">
        <f t="shared" si="2"/>
        <v>0</v>
      </c>
      <c r="F11" s="308">
        <f t="shared" si="2"/>
        <v>0</v>
      </c>
      <c r="G11" s="308">
        <f t="shared" si="2"/>
        <v>0</v>
      </c>
      <c r="H11" s="308">
        <f t="shared" si="2"/>
        <v>0</v>
      </c>
      <c r="I11" s="308">
        <f t="shared" si="2"/>
        <v>0</v>
      </c>
      <c r="J11" s="212"/>
      <c r="K11" s="8">
        <f>SUM(B11:I11)</f>
        <v>0</v>
      </c>
      <c r="L11" s="724"/>
      <c r="M11" s="725"/>
      <c r="N11" s="7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</row>
    <row r="12" spans="1:32" ht="20.25" customHeight="1" x14ac:dyDescent="0.55000000000000004">
      <c r="A12" s="6" t="s">
        <v>165</v>
      </c>
      <c r="B12" s="308">
        <f>SUMIFS($L$49:$L$4251,$A$49:$A$4251,B8&amp;"-01-2023",$D$49:$D$4251,$A$12,$M$49:$M$4251,"I")</f>
        <v>0</v>
      </c>
      <c r="C12" s="308">
        <f t="shared" ref="C12:I12" si="3">SUMIFS($L$49:$L$4251,$A$49:$A$4251,C8&amp;"-01-2023",$D$49:$D$4251,$A$12,$M$49:$M$4251,"I")</f>
        <v>0</v>
      </c>
      <c r="D12" s="308">
        <f t="shared" si="3"/>
        <v>0</v>
      </c>
      <c r="E12" s="308">
        <f t="shared" si="3"/>
        <v>0</v>
      </c>
      <c r="F12" s="308">
        <f t="shared" si="3"/>
        <v>0</v>
      </c>
      <c r="G12" s="308">
        <f t="shared" si="3"/>
        <v>0</v>
      </c>
      <c r="H12" s="308">
        <f t="shared" si="3"/>
        <v>0</v>
      </c>
      <c r="I12" s="308">
        <f t="shared" si="3"/>
        <v>0</v>
      </c>
      <c r="J12" s="212"/>
      <c r="K12" s="8">
        <f>SUM(B12:I12)</f>
        <v>0</v>
      </c>
      <c r="L12" s="727"/>
      <c r="M12" s="728"/>
      <c r="N12" s="729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</row>
    <row r="13" spans="1:32" ht="15.75" customHeight="1" x14ac:dyDescent="0.55000000000000004">
      <c r="A13" s="144" t="s">
        <v>0</v>
      </c>
      <c r="B13" s="306">
        <v>8</v>
      </c>
      <c r="C13" s="309">
        <v>9</v>
      </c>
      <c r="D13" s="306">
        <v>10</v>
      </c>
      <c r="E13" s="309">
        <v>11</v>
      </c>
      <c r="F13" s="145">
        <v>12</v>
      </c>
      <c r="G13" s="147">
        <v>13</v>
      </c>
      <c r="H13" s="145">
        <v>14</v>
      </c>
      <c r="I13" s="147">
        <v>15</v>
      </c>
      <c r="J13" s="151"/>
      <c r="K13" s="152" t="s">
        <v>5</v>
      </c>
      <c r="L13" s="812" t="s">
        <v>3</v>
      </c>
      <c r="M13" s="798">
        <f>K9+K14+K19+K23</f>
        <v>0</v>
      </c>
      <c r="N13" s="800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  <c r="AF13" s="326"/>
    </row>
    <row r="14" spans="1:32" ht="19.5" customHeight="1" x14ac:dyDescent="0.55000000000000004">
      <c r="A14" s="6" t="s">
        <v>3</v>
      </c>
      <c r="B14" s="308">
        <f>SUMIFS($L$49:$L$4251,$A$49:$A$4251,B13&amp;"-01-2023",$D$49:$D$4251,$A$14,$M$49:$M$4251,"I")</f>
        <v>0</v>
      </c>
      <c r="C14" s="308">
        <f t="shared" ref="C14:I14" si="4">SUMIFS($L$49:$L$4251,$A$49:$A$4251,C13&amp;"-01-2023",$D$49:$D$4251,$A$14,$M$49:$M$4251,"I")</f>
        <v>0</v>
      </c>
      <c r="D14" s="308">
        <f t="shared" si="4"/>
        <v>0</v>
      </c>
      <c r="E14" s="308">
        <f t="shared" si="4"/>
        <v>0</v>
      </c>
      <c r="F14" s="308">
        <f t="shared" si="4"/>
        <v>0</v>
      </c>
      <c r="G14" s="308">
        <f t="shared" si="4"/>
        <v>0</v>
      </c>
      <c r="H14" s="308">
        <f t="shared" si="4"/>
        <v>0</v>
      </c>
      <c r="I14" s="308">
        <f t="shared" si="4"/>
        <v>0</v>
      </c>
      <c r="J14" s="742"/>
      <c r="K14" s="8">
        <f>SUM(B14:I14)</f>
        <v>0</v>
      </c>
      <c r="L14" s="813"/>
      <c r="M14" s="801"/>
      <c r="N14" s="803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  <c r="AF14" s="326"/>
    </row>
    <row r="15" spans="1:32" ht="18.75" customHeight="1" x14ac:dyDescent="0.55000000000000004">
      <c r="A15" s="462" t="s">
        <v>4</v>
      </c>
      <c r="B15" s="308">
        <f>SUMIFS($L$49:$L$4251,$A$49:$A$4251,B13&amp;"-01-2023",$D$49:$D$4251,$A$15,$M$49:$M$4251,"I")</f>
        <v>0</v>
      </c>
      <c r="C15" s="308">
        <f t="shared" ref="C15:I15" si="5">SUMIFS($L$49:$L$4251,$A$49:$A$4251,C13&amp;"-01-2023",$D$49:$D$4251,$A$15,$M$49:$M$4251,"I")</f>
        <v>0</v>
      </c>
      <c r="D15" s="308">
        <f t="shared" si="5"/>
        <v>0</v>
      </c>
      <c r="E15" s="308">
        <f t="shared" si="5"/>
        <v>0</v>
      </c>
      <c r="F15" s="308">
        <f t="shared" si="5"/>
        <v>0</v>
      </c>
      <c r="G15" s="308">
        <f t="shared" si="5"/>
        <v>0</v>
      </c>
      <c r="H15" s="308">
        <f t="shared" si="5"/>
        <v>0</v>
      </c>
      <c r="I15" s="308">
        <f t="shared" si="5"/>
        <v>0</v>
      </c>
      <c r="J15" s="742"/>
      <c r="K15" s="8">
        <f>SUM(B15:I15)</f>
        <v>0</v>
      </c>
      <c r="L15" s="812" t="s">
        <v>4</v>
      </c>
      <c r="M15" s="798">
        <f>K10+K15+K20+K24</f>
        <v>0</v>
      </c>
      <c r="N15" s="800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  <c r="AF15" s="326"/>
    </row>
    <row r="16" spans="1:32" ht="18.75" customHeight="1" x14ac:dyDescent="0.55000000000000004">
      <c r="A16" s="6" t="s">
        <v>15</v>
      </c>
      <c r="B16" s="308">
        <f>SUMIFS($L$49:$L$4251,$A$49:$A$4251,B13&amp;"-01-2023",$D$49:$D$4251,$A$16,$M$49:$M$4251,"I")</f>
        <v>0</v>
      </c>
      <c r="C16" s="308">
        <f t="shared" ref="C16:I16" si="6">SUMIFS($L$49:$L$4251,$A$49:$A$4251,C13&amp;"-01-2023",$D$49:$D$4251,$A$16,$M$49:$M$4251,"I")</f>
        <v>0</v>
      </c>
      <c r="D16" s="308">
        <f t="shared" si="6"/>
        <v>0</v>
      </c>
      <c r="E16" s="308">
        <f t="shared" si="6"/>
        <v>0</v>
      </c>
      <c r="F16" s="308">
        <f t="shared" si="6"/>
        <v>0</v>
      </c>
      <c r="G16" s="308">
        <f t="shared" si="6"/>
        <v>0</v>
      </c>
      <c r="H16" s="308">
        <f t="shared" si="6"/>
        <v>0</v>
      </c>
      <c r="I16" s="308">
        <f t="shared" si="6"/>
        <v>0</v>
      </c>
      <c r="J16" s="213"/>
      <c r="K16" s="8">
        <f>SUM(B16:I16)</f>
        <v>0</v>
      </c>
      <c r="L16" s="818"/>
      <c r="M16" s="810"/>
      <c r="N16" s="811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</row>
    <row r="17" spans="1:32" ht="18.75" customHeight="1" x14ac:dyDescent="0.55000000000000004">
      <c r="A17" s="6" t="s">
        <v>165</v>
      </c>
      <c r="B17" s="308">
        <f>SUMIFS($L$49:$L$4251,$A$49:$A$4251,B13&amp;"-01-2023",$D$49:$D$4251,$A$17,$M$49:$M$4251,"I")</f>
        <v>0</v>
      </c>
      <c r="C17" s="308">
        <f t="shared" ref="C17:I17" si="7">SUMIFS($L$49:$L$4251,$A$49:$A$4251,C13&amp;"-01-2023",$D$49:$D$4251,$A$17,$M$49:$M$4251,"I")</f>
        <v>0</v>
      </c>
      <c r="D17" s="308">
        <f t="shared" si="7"/>
        <v>0</v>
      </c>
      <c r="E17" s="308">
        <f t="shared" si="7"/>
        <v>0</v>
      </c>
      <c r="F17" s="308">
        <f t="shared" si="7"/>
        <v>0</v>
      </c>
      <c r="G17" s="308">
        <f t="shared" si="7"/>
        <v>0</v>
      </c>
      <c r="H17" s="308">
        <f t="shared" si="7"/>
        <v>0</v>
      </c>
      <c r="I17" s="308">
        <f t="shared" si="7"/>
        <v>0</v>
      </c>
      <c r="J17" s="213"/>
      <c r="K17" s="8">
        <f>SUM(B17:I17)</f>
        <v>0</v>
      </c>
      <c r="L17" s="818"/>
      <c r="M17" s="810"/>
      <c r="N17" s="811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  <c r="AF17" s="326"/>
    </row>
    <row r="18" spans="1:32" ht="15.75" customHeight="1" x14ac:dyDescent="0.55000000000000004">
      <c r="A18" s="144" t="s">
        <v>0</v>
      </c>
      <c r="B18" s="306">
        <v>16</v>
      </c>
      <c r="C18" s="306">
        <v>17</v>
      </c>
      <c r="D18" s="306">
        <v>18</v>
      </c>
      <c r="E18" s="306">
        <v>19</v>
      </c>
      <c r="F18" s="145">
        <v>20</v>
      </c>
      <c r="G18" s="145">
        <v>21</v>
      </c>
      <c r="H18" s="145">
        <v>22</v>
      </c>
      <c r="I18" s="145">
        <v>23</v>
      </c>
      <c r="J18" s="153"/>
      <c r="K18" s="97" t="s">
        <v>6</v>
      </c>
      <c r="L18" s="812" t="s">
        <v>15</v>
      </c>
      <c r="M18" s="798">
        <f>K11+K16+K21+K25</f>
        <v>0</v>
      </c>
      <c r="N18" s="800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  <c r="AF18" s="326"/>
    </row>
    <row r="19" spans="1:32" ht="18.75" customHeight="1" x14ac:dyDescent="0.55000000000000004">
      <c r="A19" s="6" t="s">
        <v>3</v>
      </c>
      <c r="B19" s="308">
        <f>SUMIFS($L$49:$L$4251,$A$49:$A$4251,B18&amp;"-01-2023",$D$49:$D$4251,$A$19,$M$49:$M$4251,"I")</f>
        <v>0</v>
      </c>
      <c r="C19" s="308">
        <f t="shared" ref="C19:I19" si="8">SUMIFS($L$49:$L$4251,$A$49:$A$4251,C18&amp;"-01-2023",$D$49:$D$4251,$A$19,$M$49:$M$4251,"I")</f>
        <v>0</v>
      </c>
      <c r="D19" s="308">
        <f t="shared" si="8"/>
        <v>0</v>
      </c>
      <c r="E19" s="308">
        <f t="shared" si="8"/>
        <v>0</v>
      </c>
      <c r="F19" s="308">
        <f t="shared" si="8"/>
        <v>0</v>
      </c>
      <c r="G19" s="308">
        <f t="shared" si="8"/>
        <v>0</v>
      </c>
      <c r="H19" s="308">
        <f t="shared" si="8"/>
        <v>0</v>
      </c>
      <c r="I19" s="308">
        <f t="shared" si="8"/>
        <v>0</v>
      </c>
      <c r="J19" s="12"/>
      <c r="K19" s="8">
        <f>SUM(B19:I19)</f>
        <v>0</v>
      </c>
      <c r="L19" s="813"/>
      <c r="M19" s="801"/>
      <c r="N19" s="803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326"/>
      <c r="AF19" s="326"/>
    </row>
    <row r="20" spans="1:32" ht="24" customHeight="1" x14ac:dyDescent="0.55000000000000004">
      <c r="A20" s="6" t="s">
        <v>4</v>
      </c>
      <c r="B20" s="308">
        <f>SUMIFS($L$49:$L$4251,$A$49:$A$4251,B18&amp;"-01-2023",$D$49:$D$4251,$A$20,$M$49:$M$4251,"I")</f>
        <v>0</v>
      </c>
      <c r="C20" s="308">
        <f t="shared" ref="C20:I20" si="9">SUMIFS($L$49:$L$4251,$A$49:$A$4251,C18&amp;"-01-2023",$D$49:$D$4251,$A$20,$M$49:$M$4251,"I")</f>
        <v>0</v>
      </c>
      <c r="D20" s="308">
        <f t="shared" si="9"/>
        <v>0</v>
      </c>
      <c r="E20" s="308">
        <f t="shared" si="9"/>
        <v>0</v>
      </c>
      <c r="F20" s="308">
        <f t="shared" si="9"/>
        <v>0</v>
      </c>
      <c r="G20" s="308">
        <f t="shared" si="9"/>
        <v>0</v>
      </c>
      <c r="H20" s="308">
        <f t="shared" si="9"/>
        <v>0</v>
      </c>
      <c r="I20" s="308">
        <f t="shared" si="9"/>
        <v>0</v>
      </c>
      <c r="J20" s="12"/>
      <c r="K20" s="8">
        <f>SUM(B20:I20)</f>
        <v>0</v>
      </c>
      <c r="L20" s="603" t="s">
        <v>165</v>
      </c>
      <c r="M20" s="816">
        <f>K26+K12+K17</f>
        <v>0</v>
      </c>
      <c r="N20" s="817"/>
      <c r="O20" s="404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</row>
    <row r="21" spans="1:32" ht="18.75" customHeight="1" x14ac:dyDescent="0.55000000000000004">
      <c r="A21" s="6" t="s">
        <v>15</v>
      </c>
      <c r="B21" s="308">
        <f>SUMIFS($L$65:$L$4251,$A$65:$A$4251,B18&amp;"-01-2023",$D$65:$D$4251,$A$21,$M$65:$M$4251,"I")</f>
        <v>0</v>
      </c>
      <c r="C21" s="308">
        <f t="shared" ref="C21:I21" si="10">SUMIFS($L$65:$L$4251,$A$65:$A$4251,C18&amp;"-01-2023",$D$65:$D$4251,$A$21,$M$65:$M$4251,"I")</f>
        <v>0</v>
      </c>
      <c r="D21" s="308">
        <f t="shared" si="10"/>
        <v>0</v>
      </c>
      <c r="E21" s="308">
        <f t="shared" si="10"/>
        <v>0</v>
      </c>
      <c r="F21" s="308">
        <f t="shared" si="10"/>
        <v>0</v>
      </c>
      <c r="G21" s="308">
        <f t="shared" si="10"/>
        <v>0</v>
      </c>
      <c r="H21" s="308">
        <f t="shared" si="10"/>
        <v>0</v>
      </c>
      <c r="I21" s="308">
        <f t="shared" si="10"/>
        <v>0</v>
      </c>
      <c r="J21" s="12"/>
      <c r="K21" s="8">
        <f>SUM(B21:I21)</f>
        <v>0</v>
      </c>
      <c r="L21" s="798">
        <f>M18+M15+M13+M20</f>
        <v>0</v>
      </c>
      <c r="M21" s="799"/>
      <c r="N21" s="800"/>
      <c r="O21" s="404"/>
      <c r="P21" s="326"/>
      <c r="Q21" s="326" t="s">
        <v>181</v>
      </c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</row>
    <row r="22" spans="1:32" ht="15.75" customHeight="1" x14ac:dyDescent="0.55000000000000004">
      <c r="A22" s="144" t="s">
        <v>0</v>
      </c>
      <c r="B22" s="306">
        <v>24</v>
      </c>
      <c r="C22" s="306">
        <v>25</v>
      </c>
      <c r="D22" s="306">
        <v>26</v>
      </c>
      <c r="E22" s="306">
        <v>27</v>
      </c>
      <c r="F22" s="145">
        <v>28</v>
      </c>
      <c r="G22" s="145">
        <v>29</v>
      </c>
      <c r="H22" s="145">
        <v>30</v>
      </c>
      <c r="I22" s="94">
        <v>31</v>
      </c>
      <c r="J22" s="153"/>
      <c r="K22" s="148" t="s">
        <v>7</v>
      </c>
      <c r="L22" s="801"/>
      <c r="M22" s="802"/>
      <c r="N22" s="803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</row>
    <row r="23" spans="1:32" ht="18.75" customHeight="1" x14ac:dyDescent="0.55000000000000004">
      <c r="A23" s="6" t="s">
        <v>3</v>
      </c>
      <c r="B23" s="308">
        <f>SUMIFS($L$49:$L$4251,$A$49:$A$4251,B22&amp;"-01-2023",$D$49:$D$4251,$A$23,$M$49:$M$4251,"I")</f>
        <v>0</v>
      </c>
      <c r="C23" s="308">
        <f t="shared" ref="C23:I23" si="11">SUMIFS($L$49:$L$4251,$A$49:$A$4251,C22&amp;"-01-2023",$D$49:$D$4251,$A$23,$M$49:$M$4251,"I")</f>
        <v>0</v>
      </c>
      <c r="D23" s="308">
        <f t="shared" si="11"/>
        <v>0</v>
      </c>
      <c r="E23" s="308">
        <f t="shared" si="11"/>
        <v>0</v>
      </c>
      <c r="F23" s="308">
        <f t="shared" si="11"/>
        <v>0</v>
      </c>
      <c r="G23" s="308">
        <f t="shared" si="11"/>
        <v>0</v>
      </c>
      <c r="H23" s="308">
        <f t="shared" si="11"/>
        <v>0</v>
      </c>
      <c r="I23" s="308">
        <f t="shared" si="11"/>
        <v>0</v>
      </c>
      <c r="J23" s="12"/>
      <c r="K23" s="8">
        <f>SUM(B23:I23)</f>
        <v>0</v>
      </c>
      <c r="L23" s="339"/>
      <c r="M23" s="342"/>
      <c r="N23" s="391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326"/>
      <c r="AF23" s="326"/>
    </row>
    <row r="24" spans="1:32" ht="18.75" customHeight="1" x14ac:dyDescent="0.55000000000000004">
      <c r="A24" s="6" t="s">
        <v>4</v>
      </c>
      <c r="B24" s="308">
        <f>SUMIFS($L$49:$L$4251,$A$49:$A$4251,B22&amp;"-01-2023",$D$49:$D$4251,$A$24,$M$49:$M$4251,"I")</f>
        <v>0</v>
      </c>
      <c r="C24" s="308">
        <f t="shared" ref="C24:I24" si="12">SUMIFS($L$49:$L$4251,$A$49:$A$4251,C22&amp;"-01-2023",$D$49:$D$4251,$A$24,$M$49:$M$4251,"I")</f>
        <v>0</v>
      </c>
      <c r="D24" s="308">
        <f t="shared" si="12"/>
        <v>0</v>
      </c>
      <c r="E24" s="308">
        <f t="shared" si="12"/>
        <v>0</v>
      </c>
      <c r="F24" s="308">
        <f t="shared" si="12"/>
        <v>0</v>
      </c>
      <c r="G24" s="308">
        <f t="shared" si="12"/>
        <v>0</v>
      </c>
      <c r="H24" s="308">
        <f t="shared" si="12"/>
        <v>0</v>
      </c>
      <c r="I24" s="308">
        <f t="shared" si="12"/>
        <v>0</v>
      </c>
      <c r="J24" s="12"/>
      <c r="K24" s="8">
        <f>SUM(B24:I24)</f>
        <v>0</v>
      </c>
      <c r="L24" s="340"/>
      <c r="M24" s="343"/>
      <c r="N24" s="393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  <c r="AF24" s="326"/>
    </row>
    <row r="25" spans="1:32" ht="18.75" customHeight="1" x14ac:dyDescent="0.55000000000000004">
      <c r="A25" s="6" t="s">
        <v>15</v>
      </c>
      <c r="B25" s="308">
        <f>SUMIFS($L$49:$L$4251,$A$49:$A$4251,B21&amp;"-01-2023",$D$49:$D$4251,$A$25,$M$49:$M$4251,"I")</f>
        <v>0</v>
      </c>
      <c r="C25" s="308">
        <f t="shared" ref="C25:I25" si="13">SUMIFS($L$49:$L$4251,$A$49:$A$4251,C21&amp;"-01-2023",$D$49:$D$4251,$A$25,$M$49:$M$4251,"I")</f>
        <v>0</v>
      </c>
      <c r="D25" s="308">
        <f t="shared" si="13"/>
        <v>0</v>
      </c>
      <c r="E25" s="308">
        <f t="shared" si="13"/>
        <v>0</v>
      </c>
      <c r="F25" s="308">
        <f t="shared" si="13"/>
        <v>0</v>
      </c>
      <c r="G25" s="308">
        <f t="shared" si="13"/>
        <v>0</v>
      </c>
      <c r="H25" s="308">
        <f t="shared" si="13"/>
        <v>0</v>
      </c>
      <c r="I25" s="308">
        <f t="shared" si="13"/>
        <v>0</v>
      </c>
      <c r="J25" s="12"/>
      <c r="K25" s="142">
        <f>SUM(B25:I25)</f>
        <v>0</v>
      </c>
      <c r="L25" s="341"/>
      <c r="M25" s="317"/>
      <c r="N25" s="392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  <c r="AF25" s="326"/>
    </row>
    <row r="26" spans="1:32" ht="18.75" customHeight="1" x14ac:dyDescent="0.55000000000000004">
      <c r="A26" s="6" t="s">
        <v>165</v>
      </c>
      <c r="B26" s="308">
        <f>SUMIFS($L$49:$L$4251,$A$49:$A$4251,B22&amp;"-01-2023",$D$49:$D$4251,$A$26,$M$49:$M$4251,"I")</f>
        <v>0</v>
      </c>
      <c r="C26" s="308">
        <f t="shared" ref="C26:I26" si="14">SUMIFS($L$49:$L$4251,$A$49:$A$4251,C22&amp;"-01-2023",$D$49:$D$4251,$A$26,$M$49:$M$4251,"I")</f>
        <v>0</v>
      </c>
      <c r="D26" s="308">
        <f t="shared" si="14"/>
        <v>0</v>
      </c>
      <c r="E26" s="308">
        <f t="shared" si="14"/>
        <v>0</v>
      </c>
      <c r="F26" s="308">
        <f t="shared" si="14"/>
        <v>0</v>
      </c>
      <c r="G26" s="308">
        <f t="shared" si="14"/>
        <v>0</v>
      </c>
      <c r="H26" s="308">
        <f t="shared" si="14"/>
        <v>0</v>
      </c>
      <c r="I26" s="308">
        <f t="shared" si="14"/>
        <v>0</v>
      </c>
      <c r="J26" s="12"/>
      <c r="K26" s="142">
        <f>SUM(B26:I26)</f>
        <v>0</v>
      </c>
      <c r="L26" s="341"/>
      <c r="M26" s="317"/>
      <c r="N26" s="392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  <c r="AF26" s="326"/>
    </row>
    <row r="27" spans="1:32" ht="18.75" customHeight="1" x14ac:dyDescent="0.55000000000000004">
      <c r="A27" s="15"/>
      <c r="B27" s="775" t="s">
        <v>8</v>
      </c>
      <c r="C27" s="815"/>
      <c r="D27" s="776"/>
      <c r="F27" s="17"/>
      <c r="G27" s="16"/>
      <c r="H27" s="16"/>
      <c r="I27" s="16"/>
      <c r="J27" s="17"/>
      <c r="K27" s="15"/>
      <c r="L27" s="775" t="s">
        <v>119</v>
      </c>
      <c r="M27" s="815"/>
      <c r="N27" s="776"/>
      <c r="P27" s="605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</row>
    <row r="28" spans="1:32" ht="18.75" customHeight="1" x14ac:dyDescent="0.55000000000000004">
      <c r="A28" s="15" t="s">
        <v>3</v>
      </c>
      <c r="B28" s="747">
        <v>0</v>
      </c>
      <c r="C28" s="715"/>
      <c r="D28" s="716"/>
      <c r="F28" s="337"/>
      <c r="G28" s="337"/>
      <c r="H28" s="337"/>
      <c r="I28" s="16"/>
      <c r="J28" s="17"/>
      <c r="K28" s="15" t="s">
        <v>3</v>
      </c>
      <c r="L28" s="807">
        <f>M13+B28-M36-O28</f>
        <v>0</v>
      </c>
      <c r="M28" s="808"/>
      <c r="N28" s="809"/>
      <c r="P28" s="605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</row>
    <row r="29" spans="1:32" ht="18.75" customHeight="1" x14ac:dyDescent="0.55000000000000004">
      <c r="A29" s="15" t="s">
        <v>4</v>
      </c>
      <c r="B29" s="747">
        <v>0</v>
      </c>
      <c r="C29" s="715"/>
      <c r="D29" s="716"/>
      <c r="F29" s="337"/>
      <c r="G29" s="337"/>
      <c r="H29" s="337"/>
      <c r="I29" s="16"/>
      <c r="J29" s="17"/>
      <c r="K29" s="15" t="s">
        <v>4</v>
      </c>
      <c r="L29" s="807">
        <f>M15+B29-M38-O29</f>
        <v>0</v>
      </c>
      <c r="M29" s="808"/>
      <c r="N29" s="809"/>
      <c r="P29" s="605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</row>
    <row r="30" spans="1:32" ht="18.75" customHeight="1" x14ac:dyDescent="0.55000000000000004">
      <c r="A30" s="15" t="s">
        <v>15</v>
      </c>
      <c r="B30" s="747">
        <v>0</v>
      </c>
      <c r="C30" s="715"/>
      <c r="D30" s="716"/>
      <c r="F30" s="337"/>
      <c r="G30" s="337"/>
      <c r="H30" s="337"/>
      <c r="I30" s="16"/>
      <c r="J30" s="17"/>
      <c r="K30" s="15" t="s">
        <v>15</v>
      </c>
      <c r="L30" s="807">
        <f>M18+B30-M40-O30</f>
        <v>0</v>
      </c>
      <c r="M30" s="808"/>
      <c r="N30" s="809"/>
      <c r="P30" s="605"/>
      <c r="Q30" s="326"/>
      <c r="R30" s="326"/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  <c r="AF30" s="326"/>
    </row>
    <row r="31" spans="1:32" ht="18.75" customHeight="1" x14ac:dyDescent="0.55000000000000004">
      <c r="A31" s="20"/>
      <c r="B31" s="310"/>
      <c r="C31" s="310"/>
      <c r="D31" s="310"/>
      <c r="F31" s="16"/>
      <c r="G31" s="16"/>
      <c r="H31" s="16"/>
      <c r="I31" s="16"/>
      <c r="J31" s="17"/>
      <c r="K31" s="20"/>
      <c r="L31" s="165"/>
      <c r="M31" s="318"/>
      <c r="N31" s="165"/>
      <c r="P31" s="605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</row>
    <row r="32" spans="1:32" ht="15.75" customHeight="1" x14ac:dyDescent="0.55000000000000004">
      <c r="A32" s="144" t="s">
        <v>9</v>
      </c>
      <c r="B32" s="306">
        <v>1</v>
      </c>
      <c r="C32" s="307">
        <v>2</v>
      </c>
      <c r="D32" s="306">
        <v>3</v>
      </c>
      <c r="E32" s="307">
        <v>4</v>
      </c>
      <c r="F32" s="147">
        <v>5</v>
      </c>
      <c r="G32" s="146">
        <v>6</v>
      </c>
      <c r="H32" s="145">
        <v>7</v>
      </c>
      <c r="I32" s="148"/>
      <c r="J32" s="154"/>
      <c r="K32" s="150" t="s">
        <v>1</v>
      </c>
      <c r="L32" s="721" t="s">
        <v>39</v>
      </c>
      <c r="M32" s="722"/>
      <c r="N32" s="723"/>
      <c r="P32" s="605"/>
      <c r="Q32" s="326"/>
      <c r="R32" s="326"/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  <c r="AF32" s="326"/>
    </row>
    <row r="33" spans="1:32" ht="20.25" customHeight="1" x14ac:dyDescent="0.55000000000000004">
      <c r="A33" s="6" t="s">
        <v>3</v>
      </c>
      <c r="B33" s="308">
        <f>SUMIFS($L$49:$L$4251,$A$49:$A$4251,B32&amp;"-01-2023",$D$49:$D$4251,$A$33,$N$49:$N$4251,"O")</f>
        <v>0</v>
      </c>
      <c r="C33" s="308">
        <f t="shared" ref="C33:I33" si="15">SUMIFS($L$49:$L$4251,$A$49:$A$4251,C32&amp;"-01-2023",$D$49:$D$4251,$A$33,$N$49:$N$4251,"O")</f>
        <v>0</v>
      </c>
      <c r="D33" s="308">
        <f t="shared" si="15"/>
        <v>0</v>
      </c>
      <c r="E33" s="308">
        <f t="shared" si="15"/>
        <v>0</v>
      </c>
      <c r="F33" s="308">
        <f t="shared" si="15"/>
        <v>0</v>
      </c>
      <c r="G33" s="308">
        <f t="shared" si="15"/>
        <v>0</v>
      </c>
      <c r="H33" s="308">
        <f t="shared" si="15"/>
        <v>0</v>
      </c>
      <c r="I33" s="308">
        <f t="shared" si="15"/>
        <v>0</v>
      </c>
      <c r="J33" s="814"/>
      <c r="K33" s="24">
        <f>SUM(B33:I33)</f>
        <v>0</v>
      </c>
      <c r="L33" s="724"/>
      <c r="M33" s="725"/>
      <c r="N33" s="726"/>
      <c r="P33" s="605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</row>
    <row r="34" spans="1:32" ht="20.25" customHeight="1" x14ac:dyDescent="0.55000000000000004">
      <c r="A34" s="6" t="s">
        <v>4</v>
      </c>
      <c r="B34" s="308">
        <f>SUMIFS($L$49:$L$4251,$A$49:$A$4251,B32&amp;"-01-2023",$D$49:$D$4251,$A$34,$N$49:$N$4251,"O")</f>
        <v>0</v>
      </c>
      <c r="C34" s="308">
        <f t="shared" ref="C34:I34" si="16">SUMIFS($L$49:$L$4251,$A$49:$A$4251,C32&amp;"-01-2023",$D$49:$D$4251,$A$34,$N$49:$N$4251,"O")</f>
        <v>0</v>
      </c>
      <c r="D34" s="308">
        <f t="shared" si="16"/>
        <v>0</v>
      </c>
      <c r="E34" s="308">
        <f t="shared" si="16"/>
        <v>0</v>
      </c>
      <c r="F34" s="308">
        <f t="shared" si="16"/>
        <v>0</v>
      </c>
      <c r="G34" s="308">
        <f t="shared" si="16"/>
        <v>0</v>
      </c>
      <c r="H34" s="308">
        <f t="shared" si="16"/>
        <v>0</v>
      </c>
      <c r="I34" s="308">
        <f t="shared" si="16"/>
        <v>0</v>
      </c>
      <c r="J34" s="814"/>
      <c r="K34" s="24">
        <f>SUM(B34:I34)</f>
        <v>0</v>
      </c>
      <c r="L34" s="724"/>
      <c r="M34" s="725"/>
      <c r="N34" s="726"/>
      <c r="P34" s="605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26"/>
      <c r="AF34" s="326"/>
    </row>
    <row r="35" spans="1:32" ht="20.25" customHeight="1" x14ac:dyDescent="0.55000000000000004">
      <c r="A35" s="6" t="s">
        <v>15</v>
      </c>
      <c r="B35" s="308">
        <f>SUMIFS($L$65:$L$4251,$A$65:$A$4251,B32&amp;"-01-2023",$D$65:$D$4251,$A$35,$N$65:$N$4251,"O")</f>
        <v>0</v>
      </c>
      <c r="C35" s="308">
        <f t="shared" ref="C35:I35" si="17">SUMIFS($L$65:$L$4251,$A$65:$A$4251,C32&amp;"-01-2023",$D$65:$D$4251,$A$35,$N$65:$N$4251,"O")</f>
        <v>0</v>
      </c>
      <c r="D35" s="308">
        <f t="shared" si="17"/>
        <v>0</v>
      </c>
      <c r="E35" s="308">
        <f t="shared" si="17"/>
        <v>0</v>
      </c>
      <c r="F35" s="308">
        <f t="shared" si="17"/>
        <v>0</v>
      </c>
      <c r="G35" s="308">
        <f t="shared" si="17"/>
        <v>0</v>
      </c>
      <c r="H35" s="308">
        <f t="shared" si="17"/>
        <v>0</v>
      </c>
      <c r="I35" s="308">
        <f t="shared" si="17"/>
        <v>0</v>
      </c>
      <c r="J35" s="212"/>
      <c r="K35" s="24">
        <f>SUM(B35:I35)</f>
        <v>0</v>
      </c>
      <c r="L35" s="727"/>
      <c r="M35" s="728"/>
      <c r="N35" s="729"/>
      <c r="P35" s="605"/>
      <c r="Q35" s="326"/>
      <c r="R35" s="326"/>
      <c r="S35" s="326"/>
      <c r="T35" s="326"/>
      <c r="U35" s="326"/>
      <c r="V35" s="326"/>
      <c r="W35" s="326"/>
      <c r="X35" s="326"/>
      <c r="Y35" s="326"/>
      <c r="Z35" s="326"/>
      <c r="AA35" s="326"/>
      <c r="AB35" s="326"/>
      <c r="AC35" s="326"/>
      <c r="AD35" s="326"/>
      <c r="AE35" s="326"/>
      <c r="AF35" s="326"/>
    </row>
    <row r="36" spans="1:32" ht="15.75" customHeight="1" x14ac:dyDescent="0.55000000000000004">
      <c r="A36" s="144" t="s">
        <v>9</v>
      </c>
      <c r="B36" s="306">
        <v>8</v>
      </c>
      <c r="C36" s="309">
        <v>9</v>
      </c>
      <c r="D36" s="306">
        <v>10</v>
      </c>
      <c r="E36" s="309">
        <v>11</v>
      </c>
      <c r="F36" s="145">
        <v>12</v>
      </c>
      <c r="G36" s="147">
        <v>13</v>
      </c>
      <c r="H36" s="145">
        <v>14</v>
      </c>
      <c r="I36" s="155">
        <v>15</v>
      </c>
      <c r="J36" s="151"/>
      <c r="K36" s="156" t="s">
        <v>5</v>
      </c>
      <c r="L36" s="804" t="s">
        <v>3</v>
      </c>
      <c r="M36" s="798">
        <f>K33+K37+K41+K45+O36</f>
        <v>0</v>
      </c>
      <c r="N36" s="800"/>
      <c r="P36" s="605"/>
      <c r="Q36" s="326"/>
      <c r="R36" s="326"/>
      <c r="S36" s="326"/>
      <c r="T36" s="326"/>
      <c r="U36" s="326"/>
      <c r="V36" s="326"/>
      <c r="W36" s="326"/>
      <c r="X36" s="326"/>
      <c r="Y36" s="326"/>
      <c r="Z36" s="326"/>
      <c r="AA36" s="326"/>
      <c r="AB36" s="326"/>
      <c r="AC36" s="326"/>
      <c r="AD36" s="326"/>
      <c r="AE36" s="326"/>
      <c r="AF36" s="326"/>
    </row>
    <row r="37" spans="1:32" ht="19.5" customHeight="1" x14ac:dyDescent="0.55000000000000004">
      <c r="A37" s="6" t="s">
        <v>3</v>
      </c>
      <c r="B37" s="308">
        <f>SUMIFS($L$49:$L$4251,$A$49:$A$4251,B36&amp;"-01-2023",$D$49:$D$4251,$A$37,$N$49:$N$4251,"O")</f>
        <v>0</v>
      </c>
      <c r="C37" s="308">
        <f t="shared" ref="C37:I37" si="18">SUMIFS($L$49:$L$4251,$A$49:$A$4251,C36&amp;"-01-2023",$D$49:$D$4251,$A$37,$N$49:$N$4251,"O")</f>
        <v>0</v>
      </c>
      <c r="D37" s="308">
        <f t="shared" si="18"/>
        <v>0</v>
      </c>
      <c r="E37" s="308">
        <f t="shared" si="18"/>
        <v>0</v>
      </c>
      <c r="F37" s="308">
        <f t="shared" si="18"/>
        <v>0</v>
      </c>
      <c r="G37" s="308">
        <f t="shared" si="18"/>
        <v>0</v>
      </c>
      <c r="H37" s="308">
        <f t="shared" si="18"/>
        <v>0</v>
      </c>
      <c r="I37" s="308">
        <f t="shared" si="18"/>
        <v>0</v>
      </c>
      <c r="J37" s="742"/>
      <c r="K37" s="26">
        <f>SUM(B37:I37)</f>
        <v>0</v>
      </c>
      <c r="L37" s="805"/>
      <c r="M37" s="801"/>
      <c r="N37" s="803"/>
      <c r="P37" s="605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6"/>
      <c r="AF37" s="326"/>
    </row>
    <row r="38" spans="1:32" ht="18.75" customHeight="1" x14ac:dyDescent="0.55000000000000004">
      <c r="A38" s="6" t="s">
        <v>4</v>
      </c>
      <c r="B38" s="308">
        <f>SUMIFS($L$49:$L$4251,$A$49:$A$4251,B36&amp;"-01-2023",$D$49:$D$4251,$A$38,$N$49:$N$4251,"O")</f>
        <v>0</v>
      </c>
      <c r="C38" s="308">
        <f t="shared" ref="C38:I38" si="19">SUMIFS($L$49:$L$4251,$A$49:$A$4251,C36&amp;"-01-2023",$D$49:$D$4251,$A$38,$N$49:$N$4251,"O")</f>
        <v>0</v>
      </c>
      <c r="D38" s="308">
        <f t="shared" si="19"/>
        <v>0</v>
      </c>
      <c r="E38" s="308">
        <f t="shared" si="19"/>
        <v>0</v>
      </c>
      <c r="F38" s="308">
        <f t="shared" si="19"/>
        <v>0</v>
      </c>
      <c r="G38" s="308">
        <f t="shared" si="19"/>
        <v>0</v>
      </c>
      <c r="H38" s="308">
        <f t="shared" si="19"/>
        <v>0</v>
      </c>
      <c r="I38" s="308">
        <f t="shared" si="19"/>
        <v>0</v>
      </c>
      <c r="J38" s="742"/>
      <c r="K38" s="26">
        <f>SUM(B38:I38)</f>
        <v>0</v>
      </c>
      <c r="L38" s="804" t="s">
        <v>4</v>
      </c>
      <c r="M38" s="798">
        <f>K34+K38+K42+K47+O38+O41</f>
        <v>0</v>
      </c>
      <c r="N38" s="800"/>
      <c r="P38" s="605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  <c r="AB38" s="326"/>
      <c r="AC38" s="326"/>
      <c r="AD38" s="326"/>
      <c r="AE38" s="326"/>
      <c r="AF38" s="326"/>
    </row>
    <row r="39" spans="1:32" ht="18.75" customHeight="1" x14ac:dyDescent="0.55000000000000004">
      <c r="A39" s="6" t="s">
        <v>15</v>
      </c>
      <c r="B39" s="308">
        <f>SUMIFS($L$65:$L$4251,$A$65:$A$4251,B36&amp;"-01-2023",$D$65:$D$4251,$A$39,$N$65:$N$4251,"O")</f>
        <v>0</v>
      </c>
      <c r="C39" s="308">
        <f t="shared" ref="C39:I39" si="20">SUMIFS($L$65:$L$4251,$A$65:$A$4251,C36&amp;"-01-2023",$D$65:$D$4251,$A$39,$N$65:$N$4251,"O")</f>
        <v>0</v>
      </c>
      <c r="D39" s="308">
        <f t="shared" si="20"/>
        <v>0</v>
      </c>
      <c r="E39" s="308">
        <f t="shared" si="20"/>
        <v>0</v>
      </c>
      <c r="F39" s="308">
        <f t="shared" si="20"/>
        <v>0</v>
      </c>
      <c r="G39" s="308">
        <f t="shared" si="20"/>
        <v>0</v>
      </c>
      <c r="H39" s="308">
        <f t="shared" si="20"/>
        <v>0</v>
      </c>
      <c r="I39" s="308">
        <f t="shared" si="20"/>
        <v>0</v>
      </c>
      <c r="J39" s="213"/>
      <c r="K39" s="26">
        <f>SUM(B39:I39)</f>
        <v>0</v>
      </c>
      <c r="L39" s="827"/>
      <c r="M39" s="810"/>
      <c r="N39" s="811"/>
      <c r="P39" s="605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</row>
    <row r="40" spans="1:32" ht="15.75" customHeight="1" x14ac:dyDescent="0.55000000000000004">
      <c r="A40" s="144" t="s">
        <v>9</v>
      </c>
      <c r="B40" s="306">
        <v>16</v>
      </c>
      <c r="C40" s="306">
        <v>17</v>
      </c>
      <c r="D40" s="306">
        <v>18</v>
      </c>
      <c r="E40" s="306">
        <v>19</v>
      </c>
      <c r="F40" s="145">
        <v>20</v>
      </c>
      <c r="G40" s="145">
        <v>21</v>
      </c>
      <c r="H40" s="145">
        <v>22</v>
      </c>
      <c r="I40" s="145">
        <v>23</v>
      </c>
      <c r="J40" s="153"/>
      <c r="K40" s="157" t="s">
        <v>6</v>
      </c>
      <c r="L40" s="804" t="s">
        <v>15</v>
      </c>
      <c r="M40" s="798">
        <f>K35+K39+K43+K47</f>
        <v>0</v>
      </c>
      <c r="N40" s="800"/>
      <c r="P40" s="605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  <c r="AB40" s="326"/>
      <c r="AC40" s="326"/>
      <c r="AD40" s="326"/>
      <c r="AE40" s="326"/>
      <c r="AF40" s="326"/>
    </row>
    <row r="41" spans="1:32" ht="18.75" customHeight="1" x14ac:dyDescent="0.55000000000000004">
      <c r="A41" s="6" t="s">
        <v>3</v>
      </c>
      <c r="B41" s="308">
        <f>SUMIFS($L$49:$L$4251,$A$49:$A$4251,B40&amp;"-01-2023",$D$49:$D$4251,$A$41,$N$49:$N$4251,"O")</f>
        <v>0</v>
      </c>
      <c r="C41" s="308">
        <f t="shared" ref="C41:I41" si="21">SUMIFS($L$49:$L$4251,$A$49:$A$4251,C40&amp;"-01-2023",$D$49:$D$4251,$A$41,$N$49:$N$4251,"O")</f>
        <v>0</v>
      </c>
      <c r="D41" s="308">
        <f t="shared" si="21"/>
        <v>0</v>
      </c>
      <c r="E41" s="308">
        <f t="shared" si="21"/>
        <v>0</v>
      </c>
      <c r="F41" s="308">
        <f t="shared" si="21"/>
        <v>0</v>
      </c>
      <c r="G41" s="308">
        <f t="shared" si="21"/>
        <v>0</v>
      </c>
      <c r="H41" s="308">
        <f t="shared" si="21"/>
        <v>0</v>
      </c>
      <c r="I41" s="308">
        <f t="shared" si="21"/>
        <v>0</v>
      </c>
      <c r="J41" s="12"/>
      <c r="K41" s="27">
        <f>SUM(B41:J41)</f>
        <v>0</v>
      </c>
      <c r="L41" s="805"/>
      <c r="M41" s="801"/>
      <c r="N41" s="803"/>
      <c r="P41" s="605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  <c r="AB41" s="326"/>
      <c r="AC41" s="326"/>
      <c r="AD41" s="326"/>
      <c r="AE41" s="326"/>
      <c r="AF41" s="326"/>
    </row>
    <row r="42" spans="1:32" ht="18.75" customHeight="1" x14ac:dyDescent="0.55000000000000004">
      <c r="A42" s="6" t="s">
        <v>4</v>
      </c>
      <c r="B42" s="308">
        <f>SUMIFS($L$65:$L$4251,$A$65:$A$4251,B40&amp;"-01-2023",$D$65:$D$4251,$A$42,$N$65:$N$4251,"O")</f>
        <v>0</v>
      </c>
      <c r="C42" s="308">
        <f t="shared" ref="C42:I42" si="22">SUMIFS($L$65:$L$4251,$A$65:$A$4251,C40&amp;"-01-2023",$D$65:$D$4251,$A$42,$N$65:$N$4251,"O")</f>
        <v>0</v>
      </c>
      <c r="D42" s="308">
        <f t="shared" si="22"/>
        <v>0</v>
      </c>
      <c r="E42" s="308">
        <f t="shared" si="22"/>
        <v>0</v>
      </c>
      <c r="F42" s="308">
        <f t="shared" si="22"/>
        <v>0</v>
      </c>
      <c r="G42" s="308">
        <f t="shared" si="22"/>
        <v>0</v>
      </c>
      <c r="H42" s="308">
        <f t="shared" si="22"/>
        <v>0</v>
      </c>
      <c r="I42" s="308">
        <f t="shared" si="22"/>
        <v>0</v>
      </c>
      <c r="J42" s="12"/>
      <c r="K42" s="27">
        <f>SUM(B42:J42)</f>
        <v>0</v>
      </c>
      <c r="L42" s="795" t="s">
        <v>118</v>
      </c>
      <c r="M42" s="796"/>
      <c r="N42" s="797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6"/>
      <c r="AD42" s="326"/>
      <c r="AE42" s="326"/>
      <c r="AF42" s="326"/>
    </row>
    <row r="43" spans="1:32" ht="18.75" customHeight="1" x14ac:dyDescent="0.55000000000000004">
      <c r="A43" s="6" t="s">
        <v>15</v>
      </c>
      <c r="B43" s="308">
        <f>SUMIFS($L$65:$L$4251,$A$65:$A$4251,B40&amp;"-01-2023",$D$65:$D$4251,$A$43,$N$65:$N$4251,"O")</f>
        <v>0</v>
      </c>
      <c r="C43" s="308">
        <f t="shared" ref="C43:I43" si="23">SUMIFS($L$65:$L$4251,$A$65:$A$4251,C40&amp;"-01-2023",$D$65:$D$4251,$A$43,$N$65:$N$4251,"O")</f>
        <v>0</v>
      </c>
      <c r="D43" s="308">
        <f t="shared" si="23"/>
        <v>0</v>
      </c>
      <c r="E43" s="308">
        <f t="shared" si="23"/>
        <v>0</v>
      </c>
      <c r="F43" s="308">
        <f t="shared" si="23"/>
        <v>0</v>
      </c>
      <c r="G43" s="308">
        <f t="shared" si="23"/>
        <v>0</v>
      </c>
      <c r="H43" s="308">
        <f t="shared" si="23"/>
        <v>0</v>
      </c>
      <c r="I43" s="308">
        <f t="shared" si="23"/>
        <v>0</v>
      </c>
      <c r="J43" s="12"/>
      <c r="K43" s="27">
        <f>SUM(B43:J43)</f>
        <v>0</v>
      </c>
      <c r="L43" s="798">
        <f>M36+M38+M40</f>
        <v>0</v>
      </c>
      <c r="M43" s="799"/>
      <c r="N43" s="800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  <c r="AB43" s="326"/>
      <c r="AC43" s="326"/>
      <c r="AD43" s="326"/>
      <c r="AE43" s="326"/>
      <c r="AF43" s="326"/>
    </row>
    <row r="44" spans="1:32" ht="15.75" customHeight="1" x14ac:dyDescent="0.55000000000000004">
      <c r="A44" s="144" t="s">
        <v>9</v>
      </c>
      <c r="B44" s="306">
        <v>24</v>
      </c>
      <c r="C44" s="306">
        <v>25</v>
      </c>
      <c r="D44" s="306">
        <v>26</v>
      </c>
      <c r="E44" s="306">
        <v>27</v>
      </c>
      <c r="F44" s="145">
        <v>28</v>
      </c>
      <c r="G44" s="145">
        <v>29</v>
      </c>
      <c r="H44" s="145">
        <v>30</v>
      </c>
      <c r="I44" s="145">
        <v>31</v>
      </c>
      <c r="J44" s="153"/>
      <c r="K44" s="158" t="s">
        <v>7</v>
      </c>
      <c r="L44" s="801"/>
      <c r="M44" s="802"/>
      <c r="N44" s="803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</row>
    <row r="45" spans="1:32" ht="18.75" customHeight="1" x14ac:dyDescent="0.55000000000000004">
      <c r="A45" s="6" t="s">
        <v>3</v>
      </c>
      <c r="B45" s="308">
        <f>SUMIFS($L$65:$L$4251,$A$65:$A$4251,B44&amp;"-01-2023",$D$65:$D$4251,$A$45,$N$65:$N$4251,"O")</f>
        <v>0</v>
      </c>
      <c r="C45" s="308">
        <f t="shared" ref="C45:I45" si="24">SUMIFS($L$65:$L$4251,$A$65:$A$4251,C44&amp;"-01-2023",$D$65:$D$4251,$A$45,$N$65:$N$4251,"O")</f>
        <v>0</v>
      </c>
      <c r="D45" s="308">
        <f t="shared" si="24"/>
        <v>0</v>
      </c>
      <c r="E45" s="308">
        <f t="shared" si="24"/>
        <v>0</v>
      </c>
      <c r="F45" s="308">
        <f t="shared" si="24"/>
        <v>0</v>
      </c>
      <c r="G45" s="308">
        <f t="shared" si="24"/>
        <v>0</v>
      </c>
      <c r="H45" s="308">
        <f t="shared" si="24"/>
        <v>0</v>
      </c>
      <c r="I45" s="308">
        <f t="shared" si="24"/>
        <v>0</v>
      </c>
      <c r="J45" s="12"/>
      <c r="K45" s="27">
        <f>SUM(B45:J45)</f>
        <v>0</v>
      </c>
      <c r="L45" s="339"/>
      <c r="M45" s="342"/>
      <c r="N45" s="391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  <c r="AB45" s="326"/>
      <c r="AC45" s="326"/>
      <c r="AD45" s="326"/>
      <c r="AE45" s="326"/>
      <c r="AF45" s="326"/>
    </row>
    <row r="46" spans="1:32" ht="18.75" customHeight="1" x14ac:dyDescent="0.55000000000000004">
      <c r="A46" s="6" t="s">
        <v>4</v>
      </c>
      <c r="B46" s="308">
        <f>SUMIFS($L$65:$L$4251,$A$65:$A$4251,B43&amp;"-01-2023",$D$65:$D$4251,$A$47,$N$65:$N$4251,"O")</f>
        <v>0</v>
      </c>
      <c r="C46" s="308">
        <f t="shared" ref="C46:I46" si="25">SUMIFS($L$65:$L$4251,$A$65:$A$4251,C43&amp;"-01-2023",$D$65:$D$4251,$A$47,$N$65:$N$4251,"O")</f>
        <v>0</v>
      </c>
      <c r="D46" s="308">
        <f t="shared" si="25"/>
        <v>0</v>
      </c>
      <c r="E46" s="308">
        <f t="shared" si="25"/>
        <v>0</v>
      </c>
      <c r="F46" s="308">
        <f t="shared" si="25"/>
        <v>0</v>
      </c>
      <c r="G46" s="308">
        <f t="shared" si="25"/>
        <v>0</v>
      </c>
      <c r="H46" s="308">
        <f t="shared" si="25"/>
        <v>0</v>
      </c>
      <c r="I46" s="308">
        <f t="shared" si="25"/>
        <v>0</v>
      </c>
      <c r="J46" s="14"/>
      <c r="K46" s="27">
        <f>SUM(B46:J46)</f>
        <v>0</v>
      </c>
      <c r="L46" s="340"/>
      <c r="M46" s="343"/>
      <c r="N46" s="393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  <c r="AA46" s="326"/>
      <c r="AB46" s="326"/>
      <c r="AC46" s="326"/>
      <c r="AD46" s="326"/>
      <c r="AE46" s="326"/>
      <c r="AF46" s="326"/>
    </row>
    <row r="47" spans="1:32" ht="18.75" customHeight="1" thickBot="1" x14ac:dyDescent="0.6">
      <c r="A47" s="6" t="s">
        <v>15</v>
      </c>
      <c r="B47" s="308">
        <f>SUMIFS($L$65:$L$4251,$A$65:$A$4251,B44&amp;"-01-2023",$D$65:$D$4251,$A$47,$N$65:$N$4251,"O")</f>
        <v>0</v>
      </c>
      <c r="C47" s="308">
        <f t="shared" ref="C47:I47" si="26">SUMIFS($L$65:$L$4251,$A$65:$A$4251,C44&amp;"-01-2023",$D$65:$D$4251,$A$47,$N$65:$N$4251,"O")</f>
        <v>0</v>
      </c>
      <c r="D47" s="308">
        <f t="shared" si="26"/>
        <v>0</v>
      </c>
      <c r="E47" s="308">
        <f t="shared" si="26"/>
        <v>0</v>
      </c>
      <c r="F47" s="308">
        <f t="shared" si="26"/>
        <v>0</v>
      </c>
      <c r="G47" s="308">
        <f t="shared" si="26"/>
        <v>0</v>
      </c>
      <c r="H47" s="308">
        <f t="shared" si="26"/>
        <v>0</v>
      </c>
      <c r="I47" s="308">
        <f t="shared" si="26"/>
        <v>0</v>
      </c>
      <c r="J47" s="14"/>
      <c r="K47" s="27">
        <f>SUM(B47:J47)</f>
        <v>0</v>
      </c>
      <c r="L47" s="344"/>
      <c r="M47" s="345"/>
      <c r="N47" s="394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326"/>
    </row>
    <row r="48" spans="1:32" s="70" customFormat="1" ht="39.75" customHeight="1" thickBot="1" x14ac:dyDescent="0.6">
      <c r="A48" s="423" t="s">
        <v>17</v>
      </c>
      <c r="B48" s="424" t="s">
        <v>51</v>
      </c>
      <c r="C48" s="424" t="s">
        <v>52</v>
      </c>
      <c r="D48" s="424" t="s">
        <v>53</v>
      </c>
      <c r="E48" s="425" t="s">
        <v>54</v>
      </c>
      <c r="F48" s="426" t="s">
        <v>55</v>
      </c>
      <c r="G48" s="427" t="s">
        <v>56</v>
      </c>
      <c r="H48" s="427" t="s">
        <v>57</v>
      </c>
      <c r="I48" s="425" t="s">
        <v>58</v>
      </c>
      <c r="J48" s="427" t="s">
        <v>44</v>
      </c>
      <c r="K48" s="425" t="s">
        <v>59</v>
      </c>
      <c r="L48" s="427" t="s">
        <v>60</v>
      </c>
      <c r="M48" s="424" t="s">
        <v>43</v>
      </c>
      <c r="N48" s="428" t="s">
        <v>49</v>
      </c>
      <c r="O48" s="405" t="s">
        <v>43</v>
      </c>
      <c r="P48" s="168" t="s">
        <v>127</v>
      </c>
      <c r="AF48" s="2"/>
    </row>
    <row r="49" spans="1:14" ht="19.5" customHeight="1" x14ac:dyDescent="0.25">
      <c r="A49" s="452"/>
      <c r="B49" s="455" t="s">
        <v>30</v>
      </c>
      <c r="C49" s="363" t="s">
        <v>61</v>
      </c>
      <c r="D49" s="368"/>
      <c r="E49" s="315"/>
      <c r="F49" s="186"/>
      <c r="G49" s="186">
        <v>0.6</v>
      </c>
      <c r="H49" s="187">
        <v>1.7999999999999999E-2</v>
      </c>
      <c r="I49" s="188"/>
      <c r="J49" s="189">
        <f t="shared" ref="J49:J64" si="27">F49*G49*I49</f>
        <v>0</v>
      </c>
      <c r="K49" s="78">
        <f>SUM(I49:I52)</f>
        <v>0</v>
      </c>
      <c r="L49" s="79">
        <f>SUM(J49:J52)</f>
        <v>0</v>
      </c>
      <c r="M49" s="319" t="s">
        <v>31</v>
      </c>
      <c r="N49" s="398"/>
    </row>
    <row r="50" spans="1:14" ht="19.5" customHeight="1" x14ac:dyDescent="0.25">
      <c r="A50" s="454"/>
      <c r="B50" s="451"/>
      <c r="C50" s="370"/>
      <c r="D50" s="371"/>
      <c r="E50" s="324"/>
      <c r="F50" s="242"/>
      <c r="G50" s="242">
        <v>0.6</v>
      </c>
      <c r="H50" s="243">
        <v>1.7999999999999999E-2</v>
      </c>
      <c r="I50" s="244"/>
      <c r="J50" s="245">
        <f t="shared" ref="J50:J58" si="28">F50*G50*I50</f>
        <v>0</v>
      </c>
      <c r="K50" s="80"/>
      <c r="L50" s="81"/>
      <c r="M50" s="320"/>
      <c r="N50" s="395"/>
    </row>
    <row r="51" spans="1:14" ht="19.5" customHeight="1" x14ac:dyDescent="0.25">
      <c r="A51" s="454"/>
      <c r="B51" s="451"/>
      <c r="C51" s="370"/>
      <c r="D51" s="371"/>
      <c r="E51" s="324"/>
      <c r="F51" s="242"/>
      <c r="G51" s="242">
        <v>0.55000000000000004</v>
      </c>
      <c r="H51" s="243">
        <v>1.7999999999999999E-2</v>
      </c>
      <c r="I51" s="244"/>
      <c r="J51" s="245">
        <f t="shared" si="28"/>
        <v>0</v>
      </c>
      <c r="K51" s="80"/>
      <c r="L51" s="81"/>
      <c r="M51" s="320"/>
      <c r="N51" s="395"/>
    </row>
    <row r="52" spans="1:14" ht="19.5" customHeight="1" thickBot="1" x14ac:dyDescent="0.3">
      <c r="A52" s="454"/>
      <c r="B52" s="451"/>
      <c r="C52" s="370"/>
      <c r="D52" s="371"/>
      <c r="E52" s="324"/>
      <c r="F52" s="242"/>
      <c r="G52" s="242">
        <v>0.6</v>
      </c>
      <c r="H52" s="243">
        <v>1.7999999999999999E-2</v>
      </c>
      <c r="I52" s="244"/>
      <c r="J52" s="245">
        <f t="shared" si="28"/>
        <v>0</v>
      </c>
      <c r="K52" s="80"/>
      <c r="L52" s="81"/>
      <c r="M52" s="320"/>
      <c r="N52" s="395"/>
    </row>
    <row r="53" spans="1:14" ht="19.5" customHeight="1" x14ac:dyDescent="0.25">
      <c r="A53" s="452"/>
      <c r="B53" s="455" t="s">
        <v>30</v>
      </c>
      <c r="C53" s="363" t="s">
        <v>61</v>
      </c>
      <c r="D53" s="368"/>
      <c r="E53" s="315"/>
      <c r="F53" s="186"/>
      <c r="G53" s="186">
        <v>0.6</v>
      </c>
      <c r="H53" s="187">
        <v>1.7999999999999999E-2</v>
      </c>
      <c r="I53" s="188"/>
      <c r="J53" s="189">
        <f t="shared" si="28"/>
        <v>0</v>
      </c>
      <c r="K53" s="78">
        <f>SUM(I53:I58)</f>
        <v>0</v>
      </c>
      <c r="L53" s="79">
        <f>SUM(J53:J58)</f>
        <v>0</v>
      </c>
      <c r="M53" s="319" t="s">
        <v>31</v>
      </c>
      <c r="N53" s="398"/>
    </row>
    <row r="54" spans="1:14" ht="19.5" customHeight="1" x14ac:dyDescent="0.25">
      <c r="A54" s="454"/>
      <c r="B54" s="451"/>
      <c r="C54" s="370"/>
      <c r="D54" s="371"/>
      <c r="E54" s="324"/>
      <c r="F54" s="242"/>
      <c r="G54" s="242">
        <v>0.55000000000000004</v>
      </c>
      <c r="H54" s="243">
        <v>1.7999999999999999E-2</v>
      </c>
      <c r="I54" s="244"/>
      <c r="J54" s="245">
        <f t="shared" si="28"/>
        <v>0</v>
      </c>
      <c r="K54" s="80"/>
      <c r="L54" s="81"/>
      <c r="M54" s="320"/>
      <c r="N54" s="590"/>
    </row>
    <row r="55" spans="1:14" ht="19.5" customHeight="1" x14ac:dyDescent="0.25">
      <c r="A55" s="454"/>
      <c r="B55" s="451"/>
      <c r="C55" s="370"/>
      <c r="D55" s="371"/>
      <c r="E55" s="324"/>
      <c r="F55" s="242"/>
      <c r="G55" s="242">
        <v>0.6</v>
      </c>
      <c r="H55" s="243">
        <v>1.7999999999999999E-2</v>
      </c>
      <c r="I55" s="244"/>
      <c r="J55" s="245">
        <f t="shared" si="28"/>
        <v>0</v>
      </c>
      <c r="K55" s="80"/>
      <c r="L55" s="81"/>
      <c r="M55" s="320"/>
      <c r="N55" s="590"/>
    </row>
    <row r="56" spans="1:14" ht="19.5" customHeight="1" x14ac:dyDescent="0.25">
      <c r="A56" s="454"/>
      <c r="B56" s="451"/>
      <c r="C56" s="370"/>
      <c r="D56" s="371"/>
      <c r="E56" s="324"/>
      <c r="F56" s="242"/>
      <c r="G56" s="242">
        <v>0.55000000000000004</v>
      </c>
      <c r="H56" s="243">
        <v>1.7999999999999999E-2</v>
      </c>
      <c r="I56" s="244"/>
      <c r="J56" s="245">
        <f t="shared" si="28"/>
        <v>0</v>
      </c>
      <c r="K56" s="80"/>
      <c r="L56" s="81"/>
      <c r="M56" s="320"/>
      <c r="N56" s="590"/>
    </row>
    <row r="57" spans="1:14" ht="19.5" customHeight="1" x14ac:dyDescent="0.25">
      <c r="A57" s="454"/>
      <c r="B57" s="451"/>
      <c r="C57" s="370"/>
      <c r="D57" s="371"/>
      <c r="E57" s="324"/>
      <c r="F57" s="242"/>
      <c r="G57" s="242">
        <v>0.6</v>
      </c>
      <c r="H57" s="243">
        <v>1.7999999999999999E-2</v>
      </c>
      <c r="I57" s="244"/>
      <c r="J57" s="245">
        <f t="shared" si="28"/>
        <v>0</v>
      </c>
      <c r="K57" s="80"/>
      <c r="L57" s="81"/>
      <c r="M57" s="320"/>
      <c r="N57" s="590"/>
    </row>
    <row r="58" spans="1:14" ht="19.5" customHeight="1" thickBot="1" x14ac:dyDescent="0.3">
      <c r="A58" s="597"/>
      <c r="B58" s="598"/>
      <c r="C58" s="482"/>
      <c r="D58" s="483"/>
      <c r="E58" s="484"/>
      <c r="F58" s="485"/>
      <c r="G58" s="485">
        <v>0.55000000000000004</v>
      </c>
      <c r="H58" s="486">
        <v>1.7999999999999999E-2</v>
      </c>
      <c r="I58" s="487"/>
      <c r="J58" s="488">
        <f t="shared" si="28"/>
        <v>0</v>
      </c>
      <c r="K58" s="489"/>
      <c r="L58" s="490"/>
      <c r="M58" s="491"/>
      <c r="N58" s="492"/>
    </row>
    <row r="59" spans="1:14" ht="19.5" customHeight="1" x14ac:dyDescent="0.25">
      <c r="A59" s="452"/>
      <c r="B59" s="455" t="s">
        <v>30</v>
      </c>
      <c r="C59" s="363" t="s">
        <v>61</v>
      </c>
      <c r="D59" s="368"/>
      <c r="E59" s="315"/>
      <c r="F59" s="186"/>
      <c r="G59" s="186">
        <v>0.6</v>
      </c>
      <c r="H59" s="187">
        <v>1.7999999999999999E-2</v>
      </c>
      <c r="I59" s="188"/>
      <c r="J59" s="189">
        <f t="shared" si="27"/>
        <v>0</v>
      </c>
      <c r="K59" s="78">
        <f>SUM(I59:I64)</f>
        <v>0</v>
      </c>
      <c r="L59" s="79">
        <f>SUM(J59:J64)</f>
        <v>0</v>
      </c>
      <c r="M59" s="319" t="s">
        <v>31</v>
      </c>
      <c r="N59" s="398"/>
    </row>
    <row r="60" spans="1:14" ht="19.5" customHeight="1" x14ac:dyDescent="0.25">
      <c r="A60" s="454"/>
      <c r="B60" s="451"/>
      <c r="C60" s="370"/>
      <c r="D60" s="371"/>
      <c r="E60" s="324"/>
      <c r="F60" s="242"/>
      <c r="G60" s="242">
        <v>0.55000000000000004</v>
      </c>
      <c r="H60" s="243">
        <v>1.7999999999999999E-2</v>
      </c>
      <c r="I60" s="244"/>
      <c r="J60" s="245">
        <f t="shared" si="27"/>
        <v>0</v>
      </c>
      <c r="K60" s="80"/>
      <c r="L60" s="81"/>
      <c r="M60" s="320"/>
      <c r="N60" s="590"/>
    </row>
    <row r="61" spans="1:14" ht="19.5" customHeight="1" x14ac:dyDescent="0.25">
      <c r="A61" s="454"/>
      <c r="B61" s="451"/>
      <c r="C61" s="370"/>
      <c r="D61" s="371"/>
      <c r="E61" s="324"/>
      <c r="F61" s="242"/>
      <c r="G61" s="242">
        <v>0.6</v>
      </c>
      <c r="H61" s="243">
        <v>1.7999999999999999E-2</v>
      </c>
      <c r="I61" s="244"/>
      <c r="J61" s="245">
        <f t="shared" si="27"/>
        <v>0</v>
      </c>
      <c r="K61" s="80"/>
      <c r="L61" s="81"/>
      <c r="M61" s="320"/>
      <c r="N61" s="590"/>
    </row>
    <row r="62" spans="1:14" ht="19.5" customHeight="1" x14ac:dyDescent="0.25">
      <c r="A62" s="454"/>
      <c r="B62" s="451"/>
      <c r="C62" s="370"/>
      <c r="D62" s="371"/>
      <c r="E62" s="324"/>
      <c r="F62" s="242"/>
      <c r="G62" s="242">
        <v>0.55000000000000004</v>
      </c>
      <c r="H62" s="243">
        <v>1.7999999999999999E-2</v>
      </c>
      <c r="I62" s="244"/>
      <c r="J62" s="245">
        <f t="shared" si="27"/>
        <v>0</v>
      </c>
      <c r="K62" s="80"/>
      <c r="L62" s="81"/>
      <c r="M62" s="320"/>
      <c r="N62" s="590"/>
    </row>
    <row r="63" spans="1:14" ht="19.5" customHeight="1" x14ac:dyDescent="0.25">
      <c r="A63" s="454"/>
      <c r="B63" s="451"/>
      <c r="C63" s="370"/>
      <c r="D63" s="371"/>
      <c r="E63" s="324"/>
      <c r="F63" s="242"/>
      <c r="G63" s="242">
        <v>0.6</v>
      </c>
      <c r="H63" s="243">
        <v>1.7999999999999999E-2</v>
      </c>
      <c r="I63" s="244"/>
      <c r="J63" s="245">
        <f t="shared" ref="J63" si="29">F63*G63*I63</f>
        <v>0</v>
      </c>
      <c r="K63" s="80"/>
      <c r="L63" s="81"/>
      <c r="M63" s="320"/>
      <c r="N63" s="590"/>
    </row>
    <row r="64" spans="1:14" ht="19.5" customHeight="1" thickBot="1" x14ac:dyDescent="0.3">
      <c r="A64" s="597"/>
      <c r="B64" s="598"/>
      <c r="C64" s="482"/>
      <c r="D64" s="483"/>
      <c r="E64" s="484"/>
      <c r="F64" s="485"/>
      <c r="G64" s="485">
        <v>0.55000000000000004</v>
      </c>
      <c r="H64" s="486">
        <v>1.7999999999999999E-2</v>
      </c>
      <c r="I64" s="487"/>
      <c r="J64" s="488">
        <f t="shared" si="27"/>
        <v>0</v>
      </c>
      <c r="K64" s="489"/>
      <c r="L64" s="490"/>
      <c r="M64" s="491"/>
      <c r="N64" s="492"/>
    </row>
    <row r="65" spans="1:17" x14ac:dyDescent="0.55000000000000004">
      <c r="A65" s="406"/>
      <c r="B65" s="407"/>
      <c r="C65" s="407"/>
      <c r="D65" s="407"/>
      <c r="E65" s="408"/>
      <c r="F65" s="82"/>
      <c r="G65" s="82"/>
      <c r="H65" s="82"/>
      <c r="I65" s="409"/>
      <c r="J65" s="82"/>
      <c r="K65" s="409"/>
      <c r="L65" s="410"/>
      <c r="M65" s="411"/>
      <c r="N65" s="412"/>
      <c r="O65" s="414"/>
      <c r="P65" s="415"/>
    </row>
    <row r="66" spans="1:17" x14ac:dyDescent="0.55000000000000004">
      <c r="M66" s="413"/>
      <c r="N66" s="413"/>
      <c r="O66" s="413"/>
      <c r="P66" s="413"/>
      <c r="Q66" s="413"/>
    </row>
    <row r="67" spans="1:17" x14ac:dyDescent="0.55000000000000004">
      <c r="M67" s="413"/>
      <c r="N67" s="413"/>
      <c r="O67" s="413"/>
      <c r="P67" s="413"/>
      <c r="Q67" s="413"/>
    </row>
    <row r="68" spans="1:17" x14ac:dyDescent="0.55000000000000004">
      <c r="M68" s="413"/>
      <c r="N68" s="413"/>
      <c r="O68" s="413"/>
      <c r="P68" s="413"/>
      <c r="Q68" s="413"/>
    </row>
    <row r="69" spans="1:17" x14ac:dyDescent="0.55000000000000004">
      <c r="M69" s="413"/>
      <c r="N69" s="413"/>
      <c r="O69" s="413"/>
      <c r="P69" s="413"/>
      <c r="Q69" s="413"/>
    </row>
    <row r="70" spans="1:17" x14ac:dyDescent="0.55000000000000004">
      <c r="M70" s="413"/>
      <c r="N70" s="413"/>
      <c r="O70" s="413"/>
      <c r="P70" s="413"/>
      <c r="Q70" s="413"/>
    </row>
    <row r="71" spans="1:17" x14ac:dyDescent="0.55000000000000004">
      <c r="M71" s="413"/>
      <c r="N71" s="413"/>
      <c r="O71" s="413"/>
      <c r="P71" s="413"/>
      <c r="Q71" s="413"/>
    </row>
    <row r="72" spans="1:17" x14ac:dyDescent="0.55000000000000004">
      <c r="M72" s="413"/>
      <c r="N72" s="413"/>
      <c r="O72" s="413"/>
      <c r="P72" s="413"/>
      <c r="Q72" s="413"/>
    </row>
    <row r="73" spans="1:17" x14ac:dyDescent="0.55000000000000004">
      <c r="M73" s="413"/>
      <c r="N73" s="413"/>
      <c r="O73" s="413"/>
      <c r="P73" s="413"/>
      <c r="Q73" s="413"/>
    </row>
    <row r="74" spans="1:17" x14ac:dyDescent="0.55000000000000004">
      <c r="M74" s="413"/>
      <c r="N74" s="413"/>
      <c r="O74" s="413"/>
      <c r="P74" s="413"/>
      <c r="Q74" s="413"/>
    </row>
    <row r="75" spans="1:17" x14ac:dyDescent="0.55000000000000004">
      <c r="M75" s="413"/>
      <c r="N75" s="413"/>
      <c r="O75" s="413"/>
      <c r="P75" s="413"/>
      <c r="Q75" s="413"/>
    </row>
    <row r="76" spans="1:17" x14ac:dyDescent="0.55000000000000004">
      <c r="M76" s="413"/>
      <c r="N76" s="413"/>
      <c r="O76" s="413"/>
      <c r="P76" s="413"/>
      <c r="Q76" s="413"/>
    </row>
    <row r="77" spans="1:17" x14ac:dyDescent="0.55000000000000004">
      <c r="M77" s="413"/>
      <c r="N77" s="413"/>
      <c r="O77" s="413"/>
      <c r="P77" s="413"/>
      <c r="Q77" s="413"/>
    </row>
    <row r="78" spans="1:17" x14ac:dyDescent="0.55000000000000004">
      <c r="M78" s="413"/>
      <c r="N78" s="413"/>
      <c r="O78" s="413"/>
      <c r="P78" s="413"/>
      <c r="Q78" s="413"/>
    </row>
    <row r="79" spans="1:17" x14ac:dyDescent="0.55000000000000004">
      <c r="M79" s="413"/>
      <c r="N79" s="413"/>
      <c r="O79" s="413"/>
      <c r="P79" s="413"/>
      <c r="Q79" s="413"/>
    </row>
    <row r="80" spans="1:17" x14ac:dyDescent="0.55000000000000004">
      <c r="M80" s="413"/>
      <c r="N80" s="413"/>
      <c r="O80" s="413"/>
      <c r="P80" s="413"/>
      <c r="Q80" s="413"/>
    </row>
    <row r="81" spans="13:17" x14ac:dyDescent="0.55000000000000004">
      <c r="M81" s="413"/>
      <c r="N81" s="413"/>
      <c r="O81" s="413"/>
      <c r="P81" s="413"/>
      <c r="Q81" s="413"/>
    </row>
    <row r="82" spans="13:17" x14ac:dyDescent="0.55000000000000004">
      <c r="M82" s="413"/>
      <c r="N82" s="413"/>
      <c r="O82" s="413"/>
      <c r="P82" s="413"/>
      <c r="Q82" s="413"/>
    </row>
    <row r="83" spans="13:17" x14ac:dyDescent="0.55000000000000004">
      <c r="M83" s="413"/>
      <c r="N83" s="413"/>
      <c r="O83" s="413"/>
      <c r="P83" s="413"/>
      <c r="Q83" s="413"/>
    </row>
    <row r="84" spans="13:17" x14ac:dyDescent="0.55000000000000004">
      <c r="M84" s="413"/>
      <c r="N84" s="413"/>
      <c r="O84" s="413"/>
      <c r="P84" s="413"/>
      <c r="Q84" s="413"/>
    </row>
    <row r="85" spans="13:17" x14ac:dyDescent="0.55000000000000004">
      <c r="M85" s="413"/>
      <c r="N85" s="413"/>
      <c r="O85" s="413"/>
      <c r="P85" s="413"/>
      <c r="Q85" s="413"/>
    </row>
    <row r="86" spans="13:17" x14ac:dyDescent="0.55000000000000004">
      <c r="M86" s="413"/>
      <c r="N86" s="413"/>
      <c r="O86" s="413"/>
      <c r="P86" s="413"/>
      <c r="Q86" s="413"/>
    </row>
    <row r="87" spans="13:17" x14ac:dyDescent="0.55000000000000004">
      <c r="M87" s="413"/>
      <c r="N87" s="413"/>
      <c r="O87" s="413"/>
      <c r="P87" s="413"/>
      <c r="Q87" s="413"/>
    </row>
    <row r="88" spans="13:17" x14ac:dyDescent="0.55000000000000004">
      <c r="M88" s="413"/>
      <c r="N88" s="413"/>
      <c r="O88" s="413"/>
      <c r="P88" s="413"/>
      <c r="Q88" s="413"/>
    </row>
    <row r="89" spans="13:17" x14ac:dyDescent="0.55000000000000004">
      <c r="M89" s="413"/>
      <c r="N89" s="413"/>
      <c r="O89" s="413"/>
      <c r="P89" s="413"/>
      <c r="Q89" s="413"/>
    </row>
    <row r="90" spans="13:17" x14ac:dyDescent="0.55000000000000004">
      <c r="M90" s="413"/>
      <c r="N90" s="413"/>
      <c r="O90" s="413"/>
      <c r="P90" s="413"/>
      <c r="Q90" s="413"/>
    </row>
    <row r="91" spans="13:17" x14ac:dyDescent="0.55000000000000004">
      <c r="M91" s="413"/>
      <c r="N91" s="413"/>
      <c r="O91" s="413"/>
      <c r="P91" s="413"/>
      <c r="Q91" s="413"/>
    </row>
    <row r="92" spans="13:17" x14ac:dyDescent="0.55000000000000004">
      <c r="M92" s="413"/>
      <c r="N92" s="413"/>
      <c r="O92" s="413"/>
      <c r="P92" s="413"/>
      <c r="Q92" s="413"/>
    </row>
    <row r="93" spans="13:17" x14ac:dyDescent="0.55000000000000004">
      <c r="M93" s="413"/>
      <c r="N93" s="413"/>
      <c r="O93" s="413"/>
      <c r="P93" s="413"/>
      <c r="Q93" s="413"/>
    </row>
    <row r="94" spans="13:17" x14ac:dyDescent="0.55000000000000004">
      <c r="M94" s="413"/>
      <c r="N94" s="413"/>
      <c r="O94" s="413"/>
      <c r="P94" s="413"/>
      <c r="Q94" s="413"/>
    </row>
    <row r="95" spans="13:17" x14ac:dyDescent="0.55000000000000004">
      <c r="M95" s="413"/>
      <c r="N95" s="413"/>
      <c r="O95" s="413"/>
      <c r="P95" s="413"/>
      <c r="Q95" s="413"/>
    </row>
    <row r="96" spans="13:17" x14ac:dyDescent="0.55000000000000004">
      <c r="M96" s="413"/>
      <c r="N96" s="413"/>
      <c r="O96" s="413"/>
      <c r="P96" s="413"/>
      <c r="Q96" s="413"/>
    </row>
    <row r="97" spans="13:17" x14ac:dyDescent="0.55000000000000004">
      <c r="M97" s="413"/>
      <c r="N97" s="413"/>
      <c r="O97" s="413"/>
      <c r="P97" s="413"/>
      <c r="Q97" s="413"/>
    </row>
    <row r="98" spans="13:17" x14ac:dyDescent="0.55000000000000004">
      <c r="M98" s="413"/>
      <c r="N98" s="413"/>
      <c r="O98" s="413"/>
      <c r="P98" s="413"/>
      <c r="Q98" s="413"/>
    </row>
    <row r="99" spans="13:17" x14ac:dyDescent="0.55000000000000004">
      <c r="M99" s="413"/>
      <c r="N99" s="413"/>
      <c r="O99" s="413"/>
      <c r="P99" s="413"/>
      <c r="Q99" s="413"/>
    </row>
    <row r="100" spans="13:17" x14ac:dyDescent="0.55000000000000004">
      <c r="M100" s="413"/>
      <c r="N100" s="413"/>
      <c r="O100" s="413"/>
      <c r="P100" s="413"/>
      <c r="Q100" s="413"/>
    </row>
    <row r="101" spans="13:17" x14ac:dyDescent="0.55000000000000004">
      <c r="M101" s="413"/>
      <c r="N101" s="413"/>
      <c r="O101" s="413"/>
      <c r="P101" s="413"/>
      <c r="Q101" s="413"/>
    </row>
    <row r="102" spans="13:17" x14ac:dyDescent="0.55000000000000004">
      <c r="M102" s="413"/>
      <c r="N102" s="413"/>
      <c r="O102" s="413"/>
      <c r="P102" s="413"/>
      <c r="Q102" s="413"/>
    </row>
    <row r="103" spans="13:17" x14ac:dyDescent="0.55000000000000004">
      <c r="M103" s="413"/>
      <c r="N103" s="413"/>
      <c r="O103" s="413"/>
      <c r="P103" s="413"/>
      <c r="Q103" s="413"/>
    </row>
    <row r="104" spans="13:17" x14ac:dyDescent="0.55000000000000004">
      <c r="M104" s="413"/>
      <c r="N104" s="413"/>
      <c r="O104" s="413"/>
      <c r="P104" s="413"/>
      <c r="Q104" s="413"/>
    </row>
    <row r="105" spans="13:17" x14ac:dyDescent="0.55000000000000004">
      <c r="M105" s="413"/>
      <c r="N105" s="413"/>
      <c r="O105" s="413"/>
      <c r="P105" s="413"/>
      <c r="Q105" s="413"/>
    </row>
    <row r="106" spans="13:17" x14ac:dyDescent="0.55000000000000004">
      <c r="M106" s="413"/>
      <c r="N106" s="413"/>
      <c r="O106" s="413"/>
      <c r="P106" s="413"/>
      <c r="Q106" s="413"/>
    </row>
    <row r="107" spans="13:17" x14ac:dyDescent="0.55000000000000004">
      <c r="M107" s="413"/>
      <c r="N107" s="413"/>
      <c r="O107" s="413"/>
      <c r="P107" s="413"/>
      <c r="Q107" s="413"/>
    </row>
    <row r="108" spans="13:17" x14ac:dyDescent="0.55000000000000004">
      <c r="M108" s="413"/>
      <c r="N108" s="413"/>
      <c r="O108" s="413"/>
      <c r="P108" s="413"/>
      <c r="Q108" s="413"/>
    </row>
    <row r="109" spans="13:17" x14ac:dyDescent="0.55000000000000004">
      <c r="M109" s="413"/>
      <c r="N109" s="413"/>
      <c r="O109" s="413"/>
      <c r="P109" s="413"/>
      <c r="Q109" s="413"/>
    </row>
    <row r="110" spans="13:17" x14ac:dyDescent="0.55000000000000004">
      <c r="M110" s="413"/>
      <c r="N110" s="413"/>
      <c r="O110" s="413"/>
      <c r="P110" s="413"/>
      <c r="Q110" s="413"/>
    </row>
    <row r="111" spans="13:17" x14ac:dyDescent="0.55000000000000004">
      <c r="M111" s="413"/>
      <c r="N111" s="413"/>
      <c r="O111" s="413"/>
      <c r="P111" s="413"/>
      <c r="Q111" s="413"/>
    </row>
    <row r="112" spans="13:17" x14ac:dyDescent="0.55000000000000004">
      <c r="M112" s="413"/>
      <c r="N112" s="413"/>
      <c r="O112" s="413"/>
      <c r="P112" s="413"/>
      <c r="Q112" s="413"/>
    </row>
    <row r="113" spans="13:17" x14ac:dyDescent="0.55000000000000004">
      <c r="M113" s="413"/>
      <c r="N113" s="413"/>
      <c r="O113" s="413"/>
      <c r="P113" s="413"/>
      <c r="Q113" s="413"/>
    </row>
    <row r="114" spans="13:17" x14ac:dyDescent="0.55000000000000004">
      <c r="M114" s="413"/>
      <c r="N114" s="413"/>
      <c r="O114" s="413"/>
      <c r="P114" s="413"/>
      <c r="Q114" s="413"/>
    </row>
    <row r="115" spans="13:17" x14ac:dyDescent="0.55000000000000004">
      <c r="M115" s="413"/>
      <c r="N115" s="413"/>
      <c r="O115" s="413"/>
      <c r="P115" s="413"/>
      <c r="Q115" s="413"/>
    </row>
    <row r="116" spans="13:17" x14ac:dyDescent="0.55000000000000004">
      <c r="M116" s="413"/>
      <c r="N116" s="413"/>
      <c r="O116" s="413"/>
      <c r="P116" s="413"/>
      <c r="Q116" s="413"/>
    </row>
    <row r="117" spans="13:17" x14ac:dyDescent="0.55000000000000004">
      <c r="M117" s="413"/>
      <c r="N117" s="413"/>
      <c r="O117" s="413"/>
      <c r="P117" s="413"/>
      <c r="Q117" s="413"/>
    </row>
    <row r="118" spans="13:17" x14ac:dyDescent="0.55000000000000004">
      <c r="M118" s="413"/>
      <c r="N118" s="413"/>
      <c r="O118" s="413"/>
      <c r="P118" s="413"/>
      <c r="Q118" s="413"/>
    </row>
    <row r="119" spans="13:17" x14ac:dyDescent="0.55000000000000004">
      <c r="M119" s="413"/>
      <c r="N119" s="413"/>
      <c r="O119" s="413"/>
      <c r="P119" s="413"/>
      <c r="Q119" s="413"/>
    </row>
    <row r="120" spans="13:17" x14ac:dyDescent="0.55000000000000004">
      <c r="M120" s="413"/>
      <c r="N120" s="413"/>
      <c r="O120" s="413"/>
      <c r="P120" s="413"/>
      <c r="Q120" s="413"/>
    </row>
    <row r="121" spans="13:17" x14ac:dyDescent="0.55000000000000004">
      <c r="M121" s="413"/>
      <c r="N121" s="413"/>
      <c r="O121" s="413"/>
      <c r="P121" s="413"/>
      <c r="Q121" s="413"/>
    </row>
    <row r="122" spans="13:17" x14ac:dyDescent="0.55000000000000004">
      <c r="M122" s="413"/>
      <c r="N122" s="413"/>
      <c r="O122" s="413"/>
      <c r="P122" s="413"/>
      <c r="Q122" s="413"/>
    </row>
    <row r="123" spans="13:17" x14ac:dyDescent="0.55000000000000004">
      <c r="M123" s="413"/>
      <c r="N123" s="413"/>
      <c r="O123" s="413"/>
      <c r="P123" s="413"/>
      <c r="Q123" s="413"/>
    </row>
    <row r="124" spans="13:17" x14ac:dyDescent="0.55000000000000004">
      <c r="M124" s="413"/>
      <c r="N124" s="413"/>
      <c r="O124" s="413"/>
      <c r="P124" s="413"/>
      <c r="Q124" s="413"/>
    </row>
    <row r="125" spans="13:17" x14ac:dyDescent="0.55000000000000004">
      <c r="M125" s="413"/>
      <c r="N125" s="413"/>
      <c r="O125" s="413"/>
      <c r="P125" s="413"/>
      <c r="Q125" s="413"/>
    </row>
    <row r="126" spans="13:17" x14ac:dyDescent="0.55000000000000004">
      <c r="M126" s="413"/>
      <c r="N126" s="413"/>
      <c r="O126" s="413"/>
      <c r="P126" s="413"/>
      <c r="Q126" s="413"/>
    </row>
    <row r="127" spans="13:17" x14ac:dyDescent="0.55000000000000004">
      <c r="M127" s="413"/>
      <c r="N127" s="413"/>
      <c r="O127" s="413"/>
      <c r="P127" s="413"/>
      <c r="Q127" s="413"/>
    </row>
    <row r="128" spans="13:17" x14ac:dyDescent="0.55000000000000004">
      <c r="M128" s="413"/>
      <c r="N128" s="413"/>
      <c r="O128" s="413"/>
      <c r="P128" s="413"/>
      <c r="Q128" s="413"/>
    </row>
    <row r="129" spans="13:17" x14ac:dyDescent="0.55000000000000004">
      <c r="M129" s="413"/>
      <c r="N129" s="413"/>
      <c r="O129" s="413"/>
      <c r="P129" s="413"/>
      <c r="Q129" s="413"/>
    </row>
    <row r="130" spans="13:17" x14ac:dyDescent="0.55000000000000004">
      <c r="M130" s="413"/>
      <c r="N130" s="413"/>
      <c r="O130" s="413"/>
      <c r="P130" s="413"/>
      <c r="Q130" s="413"/>
    </row>
    <row r="131" spans="13:17" x14ac:dyDescent="0.55000000000000004">
      <c r="M131" s="413"/>
      <c r="N131" s="413"/>
      <c r="O131" s="413"/>
      <c r="P131" s="413"/>
      <c r="Q131" s="413"/>
    </row>
    <row r="132" spans="13:17" x14ac:dyDescent="0.55000000000000004">
      <c r="M132" s="413"/>
      <c r="N132" s="413"/>
      <c r="O132" s="413"/>
      <c r="P132" s="413"/>
      <c r="Q132" s="413"/>
    </row>
    <row r="133" spans="13:17" x14ac:dyDescent="0.55000000000000004">
      <c r="M133" s="413"/>
      <c r="N133" s="413"/>
      <c r="O133" s="413"/>
      <c r="P133" s="413"/>
      <c r="Q133" s="413"/>
    </row>
    <row r="134" spans="13:17" x14ac:dyDescent="0.55000000000000004">
      <c r="M134" s="413"/>
      <c r="N134" s="413"/>
      <c r="O134" s="413"/>
      <c r="P134" s="413"/>
      <c r="Q134" s="413"/>
    </row>
    <row r="135" spans="13:17" x14ac:dyDescent="0.55000000000000004">
      <c r="M135" s="413"/>
      <c r="N135" s="413"/>
      <c r="O135" s="413"/>
      <c r="P135" s="413"/>
      <c r="Q135" s="413"/>
    </row>
    <row r="136" spans="13:17" x14ac:dyDescent="0.55000000000000004">
      <c r="M136" s="413"/>
      <c r="N136" s="413"/>
      <c r="O136" s="413"/>
      <c r="P136" s="413"/>
      <c r="Q136" s="413"/>
    </row>
    <row r="137" spans="13:17" x14ac:dyDescent="0.55000000000000004">
      <c r="M137" s="413"/>
      <c r="N137" s="413"/>
      <c r="O137" s="413"/>
      <c r="P137" s="413"/>
      <c r="Q137" s="413"/>
    </row>
    <row r="138" spans="13:17" x14ac:dyDescent="0.55000000000000004">
      <c r="M138" s="413"/>
      <c r="N138" s="413"/>
      <c r="O138" s="413"/>
      <c r="P138" s="413"/>
      <c r="Q138" s="413"/>
    </row>
    <row r="139" spans="13:17" x14ac:dyDescent="0.55000000000000004">
      <c r="M139" s="413"/>
      <c r="N139" s="413"/>
      <c r="O139" s="413"/>
      <c r="P139" s="413"/>
      <c r="Q139" s="413"/>
    </row>
    <row r="140" spans="13:17" x14ac:dyDescent="0.55000000000000004">
      <c r="M140" s="413"/>
      <c r="N140" s="413"/>
      <c r="O140" s="413"/>
      <c r="P140" s="413"/>
      <c r="Q140" s="413"/>
    </row>
    <row r="141" spans="13:17" x14ac:dyDescent="0.55000000000000004">
      <c r="M141" s="413"/>
      <c r="N141" s="413"/>
      <c r="O141" s="413"/>
      <c r="P141" s="413"/>
      <c r="Q141" s="413"/>
    </row>
    <row r="142" spans="13:17" x14ac:dyDescent="0.55000000000000004">
      <c r="M142" s="413"/>
      <c r="N142" s="413"/>
      <c r="O142" s="413"/>
      <c r="P142" s="413"/>
      <c r="Q142" s="413"/>
    </row>
    <row r="143" spans="13:17" x14ac:dyDescent="0.55000000000000004">
      <c r="M143" s="413"/>
      <c r="N143" s="413"/>
      <c r="O143" s="413"/>
      <c r="P143" s="413"/>
      <c r="Q143" s="413"/>
    </row>
    <row r="144" spans="13:17" x14ac:dyDescent="0.55000000000000004">
      <c r="M144" s="413"/>
      <c r="N144" s="413"/>
      <c r="O144" s="413"/>
      <c r="P144" s="413"/>
      <c r="Q144" s="413"/>
    </row>
    <row r="145" spans="13:17" x14ac:dyDescent="0.55000000000000004">
      <c r="M145" s="413"/>
      <c r="N145" s="413"/>
      <c r="O145" s="413"/>
      <c r="P145" s="413"/>
      <c r="Q145" s="413"/>
    </row>
    <row r="146" spans="13:17" x14ac:dyDescent="0.55000000000000004">
      <c r="M146" s="413"/>
      <c r="N146" s="413"/>
      <c r="O146" s="413"/>
      <c r="P146" s="413"/>
      <c r="Q146" s="413"/>
    </row>
    <row r="147" spans="13:17" x14ac:dyDescent="0.55000000000000004">
      <c r="M147" s="413"/>
      <c r="N147" s="413"/>
      <c r="O147" s="413"/>
      <c r="P147" s="413"/>
      <c r="Q147" s="413"/>
    </row>
    <row r="148" spans="13:17" x14ac:dyDescent="0.55000000000000004">
      <c r="M148" s="413"/>
      <c r="N148" s="413"/>
      <c r="O148" s="413"/>
      <c r="P148" s="413"/>
      <c r="Q148" s="413"/>
    </row>
    <row r="149" spans="13:17" x14ac:dyDescent="0.55000000000000004">
      <c r="M149" s="413"/>
      <c r="N149" s="413"/>
      <c r="O149" s="413"/>
      <c r="P149" s="413"/>
      <c r="Q149" s="413"/>
    </row>
    <row r="150" spans="13:17" x14ac:dyDescent="0.55000000000000004">
      <c r="M150" s="413"/>
      <c r="N150" s="413"/>
      <c r="O150" s="413"/>
      <c r="P150" s="413"/>
      <c r="Q150" s="413"/>
    </row>
    <row r="151" spans="13:17" x14ac:dyDescent="0.55000000000000004">
      <c r="M151" s="413"/>
      <c r="N151" s="413"/>
      <c r="O151" s="413"/>
      <c r="P151" s="413"/>
      <c r="Q151" s="413"/>
    </row>
    <row r="152" spans="13:17" x14ac:dyDescent="0.55000000000000004">
      <c r="M152" s="413"/>
      <c r="N152" s="413"/>
      <c r="O152" s="413"/>
      <c r="P152" s="413"/>
      <c r="Q152" s="413"/>
    </row>
    <row r="153" spans="13:17" x14ac:dyDescent="0.55000000000000004">
      <c r="M153" s="413"/>
      <c r="N153" s="413"/>
      <c r="O153" s="413"/>
      <c r="P153" s="413"/>
      <c r="Q153" s="413"/>
    </row>
    <row r="154" spans="13:17" x14ac:dyDescent="0.55000000000000004">
      <c r="M154" s="413"/>
      <c r="N154" s="413"/>
      <c r="O154" s="413"/>
      <c r="P154" s="413"/>
      <c r="Q154" s="413"/>
    </row>
    <row r="155" spans="13:17" x14ac:dyDescent="0.55000000000000004">
      <c r="M155" s="413"/>
      <c r="N155" s="413"/>
      <c r="O155" s="413"/>
      <c r="P155" s="413"/>
      <c r="Q155" s="413"/>
    </row>
    <row r="156" spans="13:17" x14ac:dyDescent="0.55000000000000004">
      <c r="M156" s="413"/>
      <c r="N156" s="413"/>
      <c r="O156" s="413"/>
      <c r="P156" s="413"/>
      <c r="Q156" s="413"/>
    </row>
    <row r="157" spans="13:17" x14ac:dyDescent="0.55000000000000004">
      <c r="M157" s="413"/>
      <c r="N157" s="413"/>
      <c r="O157" s="413"/>
      <c r="P157" s="413"/>
      <c r="Q157" s="413"/>
    </row>
    <row r="158" spans="13:17" x14ac:dyDescent="0.55000000000000004">
      <c r="M158" s="413"/>
      <c r="N158" s="413"/>
      <c r="O158" s="413"/>
      <c r="P158" s="413"/>
      <c r="Q158" s="413"/>
    </row>
    <row r="159" spans="13:17" x14ac:dyDescent="0.55000000000000004">
      <c r="M159" s="413"/>
      <c r="N159" s="413"/>
      <c r="O159" s="413"/>
      <c r="P159" s="413"/>
      <c r="Q159" s="413"/>
    </row>
    <row r="160" spans="13:17" x14ac:dyDescent="0.55000000000000004">
      <c r="M160" s="413"/>
      <c r="N160" s="413"/>
      <c r="O160" s="413"/>
      <c r="P160" s="413"/>
      <c r="Q160" s="413"/>
    </row>
    <row r="161" spans="13:17" x14ac:dyDescent="0.55000000000000004">
      <c r="M161" s="413"/>
      <c r="N161" s="413"/>
      <c r="O161" s="413"/>
      <c r="P161" s="413"/>
      <c r="Q161" s="413"/>
    </row>
    <row r="162" spans="13:17" x14ac:dyDescent="0.55000000000000004">
      <c r="M162" s="413"/>
      <c r="N162" s="413"/>
      <c r="O162" s="413"/>
      <c r="P162" s="413"/>
      <c r="Q162" s="413"/>
    </row>
    <row r="163" spans="13:17" x14ac:dyDescent="0.55000000000000004">
      <c r="M163" s="413"/>
      <c r="N163" s="413"/>
      <c r="O163" s="413"/>
      <c r="P163" s="413"/>
      <c r="Q163" s="413"/>
    </row>
    <row r="164" spans="13:17" x14ac:dyDescent="0.55000000000000004">
      <c r="M164" s="413"/>
      <c r="N164" s="413"/>
      <c r="O164" s="413"/>
      <c r="P164" s="413"/>
      <c r="Q164" s="413"/>
    </row>
    <row r="165" spans="13:17" x14ac:dyDescent="0.55000000000000004">
      <c r="M165" s="413"/>
      <c r="N165" s="413"/>
      <c r="O165" s="413"/>
      <c r="P165" s="413"/>
      <c r="Q165" s="413"/>
    </row>
    <row r="166" spans="13:17" x14ac:dyDescent="0.55000000000000004">
      <c r="M166" s="413"/>
      <c r="N166" s="413"/>
      <c r="O166" s="413"/>
      <c r="P166" s="413"/>
      <c r="Q166" s="413"/>
    </row>
    <row r="167" spans="13:17" x14ac:dyDescent="0.55000000000000004">
      <c r="M167" s="413"/>
      <c r="N167" s="413"/>
      <c r="O167" s="413"/>
      <c r="P167" s="413"/>
      <c r="Q167" s="413"/>
    </row>
    <row r="168" spans="13:17" x14ac:dyDescent="0.55000000000000004">
      <c r="M168" s="413"/>
      <c r="N168" s="413"/>
      <c r="O168" s="413"/>
      <c r="P168" s="413"/>
      <c r="Q168" s="413"/>
    </row>
    <row r="169" spans="13:17" x14ac:dyDescent="0.55000000000000004">
      <c r="M169" s="413"/>
      <c r="N169" s="413"/>
      <c r="O169" s="413"/>
      <c r="P169" s="413"/>
      <c r="Q169" s="413"/>
    </row>
    <row r="170" spans="13:17" x14ac:dyDescent="0.55000000000000004">
      <c r="M170" s="413"/>
      <c r="N170" s="413"/>
      <c r="O170" s="413"/>
      <c r="P170" s="413"/>
      <c r="Q170" s="413"/>
    </row>
    <row r="171" spans="13:17" x14ac:dyDescent="0.55000000000000004">
      <c r="M171" s="413"/>
      <c r="N171" s="413"/>
      <c r="O171" s="413"/>
      <c r="P171" s="413"/>
      <c r="Q171" s="413"/>
    </row>
    <row r="172" spans="13:17" x14ac:dyDescent="0.55000000000000004">
      <c r="M172" s="413"/>
      <c r="N172" s="413"/>
      <c r="O172" s="413"/>
      <c r="P172" s="413"/>
      <c r="Q172" s="413"/>
    </row>
    <row r="173" spans="13:17" x14ac:dyDescent="0.55000000000000004">
      <c r="M173" s="413"/>
      <c r="N173" s="413"/>
      <c r="O173" s="413"/>
      <c r="P173" s="413"/>
      <c r="Q173" s="413"/>
    </row>
    <row r="174" spans="13:17" x14ac:dyDescent="0.55000000000000004">
      <c r="M174" s="413"/>
      <c r="N174" s="413"/>
      <c r="O174" s="413"/>
      <c r="P174" s="413"/>
      <c r="Q174" s="413"/>
    </row>
    <row r="175" spans="13:17" x14ac:dyDescent="0.55000000000000004">
      <c r="M175" s="413"/>
      <c r="N175" s="413"/>
      <c r="O175" s="413"/>
      <c r="P175" s="413"/>
      <c r="Q175" s="413"/>
    </row>
    <row r="176" spans="13:17" x14ac:dyDescent="0.55000000000000004">
      <c r="M176" s="413"/>
      <c r="N176" s="413"/>
      <c r="O176" s="413"/>
      <c r="P176" s="413"/>
      <c r="Q176" s="413"/>
    </row>
    <row r="177" spans="13:17" x14ac:dyDescent="0.55000000000000004">
      <c r="M177" s="413"/>
      <c r="N177" s="413"/>
      <c r="O177" s="413"/>
      <c r="P177" s="413"/>
      <c r="Q177" s="413"/>
    </row>
    <row r="178" spans="13:17" x14ac:dyDescent="0.55000000000000004">
      <c r="M178" s="413"/>
      <c r="N178" s="413"/>
      <c r="O178" s="413"/>
      <c r="P178" s="413"/>
      <c r="Q178" s="413"/>
    </row>
    <row r="179" spans="13:17" x14ac:dyDescent="0.55000000000000004">
      <c r="M179" s="413"/>
      <c r="N179" s="413"/>
      <c r="O179" s="413"/>
      <c r="P179" s="413"/>
      <c r="Q179" s="413"/>
    </row>
    <row r="180" spans="13:17" x14ac:dyDescent="0.55000000000000004">
      <c r="M180" s="413"/>
      <c r="N180" s="413"/>
      <c r="O180" s="413"/>
      <c r="P180" s="413"/>
      <c r="Q180" s="413"/>
    </row>
    <row r="181" spans="13:17" x14ac:dyDescent="0.55000000000000004">
      <c r="M181" s="413"/>
      <c r="N181" s="413"/>
      <c r="O181" s="413"/>
      <c r="P181" s="413"/>
      <c r="Q181" s="413"/>
    </row>
    <row r="182" spans="13:17" x14ac:dyDescent="0.55000000000000004">
      <c r="M182" s="413"/>
      <c r="N182" s="413"/>
      <c r="O182" s="413"/>
      <c r="P182" s="413"/>
      <c r="Q182" s="413"/>
    </row>
    <row r="183" spans="13:17" x14ac:dyDescent="0.55000000000000004">
      <c r="M183" s="413"/>
      <c r="N183" s="413"/>
      <c r="O183" s="413"/>
      <c r="P183" s="413"/>
      <c r="Q183" s="413"/>
    </row>
    <row r="184" spans="13:17" x14ac:dyDescent="0.55000000000000004">
      <c r="M184" s="413"/>
      <c r="N184" s="413"/>
      <c r="O184" s="413"/>
      <c r="P184" s="413"/>
      <c r="Q184" s="413"/>
    </row>
    <row r="185" spans="13:17" x14ac:dyDescent="0.55000000000000004">
      <c r="M185" s="413"/>
      <c r="N185" s="413"/>
      <c r="O185" s="413"/>
      <c r="P185" s="413"/>
      <c r="Q185" s="413"/>
    </row>
    <row r="186" spans="13:17" x14ac:dyDescent="0.55000000000000004">
      <c r="M186" s="413"/>
      <c r="N186" s="413"/>
      <c r="O186" s="413"/>
      <c r="P186" s="413"/>
      <c r="Q186" s="413"/>
    </row>
    <row r="187" spans="13:17" x14ac:dyDescent="0.55000000000000004">
      <c r="M187" s="413"/>
      <c r="N187" s="413"/>
      <c r="O187" s="413"/>
      <c r="P187" s="413"/>
      <c r="Q187" s="413"/>
    </row>
    <row r="188" spans="13:17" x14ac:dyDescent="0.55000000000000004">
      <c r="M188" s="413"/>
      <c r="N188" s="413"/>
      <c r="O188" s="413"/>
      <c r="P188" s="413"/>
      <c r="Q188" s="413"/>
    </row>
    <row r="189" spans="13:17" x14ac:dyDescent="0.55000000000000004">
      <c r="M189" s="413"/>
      <c r="N189" s="413"/>
      <c r="O189" s="413"/>
      <c r="P189" s="413"/>
      <c r="Q189" s="413"/>
    </row>
    <row r="190" spans="13:17" x14ac:dyDescent="0.55000000000000004">
      <c r="M190" s="413"/>
      <c r="N190" s="413"/>
      <c r="O190" s="413"/>
      <c r="P190" s="413"/>
      <c r="Q190" s="413"/>
    </row>
    <row r="191" spans="13:17" x14ac:dyDescent="0.55000000000000004">
      <c r="M191" s="413"/>
      <c r="N191" s="413"/>
      <c r="O191" s="413"/>
      <c r="P191" s="413"/>
      <c r="Q191" s="413"/>
    </row>
    <row r="192" spans="13:17" x14ac:dyDescent="0.55000000000000004">
      <c r="M192" s="413"/>
      <c r="N192" s="413"/>
      <c r="O192" s="413"/>
      <c r="P192" s="413"/>
      <c r="Q192" s="413"/>
    </row>
    <row r="193" spans="13:17" x14ac:dyDescent="0.55000000000000004">
      <c r="M193" s="413"/>
      <c r="N193" s="413"/>
      <c r="O193" s="413"/>
      <c r="P193" s="413"/>
      <c r="Q193" s="413"/>
    </row>
    <row r="194" spans="13:17" x14ac:dyDescent="0.55000000000000004">
      <c r="M194" s="413"/>
      <c r="N194" s="413"/>
      <c r="O194" s="413"/>
      <c r="P194" s="413"/>
      <c r="Q194" s="413"/>
    </row>
    <row r="195" spans="13:17" x14ac:dyDescent="0.55000000000000004">
      <c r="M195" s="413"/>
      <c r="N195" s="413"/>
      <c r="O195" s="413"/>
      <c r="P195" s="413"/>
      <c r="Q195" s="413"/>
    </row>
    <row r="196" spans="13:17" x14ac:dyDescent="0.55000000000000004">
      <c r="M196" s="413"/>
      <c r="N196" s="413"/>
      <c r="O196" s="413"/>
      <c r="P196" s="413"/>
      <c r="Q196" s="413"/>
    </row>
    <row r="197" spans="13:17" x14ac:dyDescent="0.55000000000000004">
      <c r="M197" s="413"/>
      <c r="N197" s="413"/>
      <c r="O197" s="413"/>
      <c r="P197" s="413"/>
      <c r="Q197" s="413"/>
    </row>
    <row r="198" spans="13:17" x14ac:dyDescent="0.55000000000000004">
      <c r="M198" s="413"/>
      <c r="N198" s="413"/>
      <c r="O198" s="413"/>
      <c r="P198" s="413"/>
      <c r="Q198" s="413"/>
    </row>
    <row r="199" spans="13:17" x14ac:dyDescent="0.55000000000000004">
      <c r="M199" s="413"/>
      <c r="N199" s="413"/>
      <c r="O199" s="413"/>
      <c r="P199" s="413"/>
      <c r="Q199" s="413"/>
    </row>
    <row r="200" spans="13:17" x14ac:dyDescent="0.55000000000000004">
      <c r="M200" s="413"/>
      <c r="N200" s="413"/>
      <c r="O200" s="413"/>
      <c r="P200" s="413"/>
      <c r="Q200" s="413"/>
    </row>
    <row r="201" spans="13:17" x14ac:dyDescent="0.55000000000000004">
      <c r="M201" s="413"/>
      <c r="N201" s="413"/>
      <c r="O201" s="413"/>
      <c r="P201" s="413"/>
      <c r="Q201" s="413"/>
    </row>
    <row r="202" spans="13:17" x14ac:dyDescent="0.55000000000000004">
      <c r="M202" s="413"/>
      <c r="N202" s="413"/>
      <c r="O202" s="413"/>
      <c r="P202" s="413"/>
      <c r="Q202" s="413"/>
    </row>
    <row r="203" spans="13:17" x14ac:dyDescent="0.55000000000000004">
      <c r="M203" s="413"/>
      <c r="N203" s="413"/>
      <c r="O203" s="413"/>
      <c r="P203" s="413"/>
      <c r="Q203" s="413"/>
    </row>
    <row r="204" spans="13:17" x14ac:dyDescent="0.55000000000000004">
      <c r="M204" s="413"/>
      <c r="N204" s="413"/>
      <c r="O204" s="413"/>
      <c r="P204" s="413"/>
      <c r="Q204" s="413"/>
    </row>
    <row r="205" spans="13:17" x14ac:dyDescent="0.55000000000000004">
      <c r="M205" s="413"/>
      <c r="N205" s="413"/>
      <c r="O205" s="413"/>
      <c r="P205" s="413"/>
      <c r="Q205" s="413"/>
    </row>
    <row r="206" spans="13:17" x14ac:dyDescent="0.55000000000000004">
      <c r="M206" s="413"/>
      <c r="N206" s="413"/>
      <c r="O206" s="413"/>
      <c r="P206" s="413"/>
      <c r="Q206" s="413"/>
    </row>
    <row r="207" spans="13:17" x14ac:dyDescent="0.55000000000000004">
      <c r="M207" s="413"/>
      <c r="N207" s="413"/>
      <c r="O207" s="413"/>
      <c r="P207" s="413"/>
      <c r="Q207" s="413"/>
    </row>
    <row r="208" spans="13:17" x14ac:dyDescent="0.55000000000000004">
      <c r="M208" s="413"/>
      <c r="N208" s="413"/>
      <c r="O208" s="413"/>
      <c r="P208" s="413"/>
      <c r="Q208" s="413"/>
    </row>
    <row r="209" spans="13:17" x14ac:dyDescent="0.55000000000000004">
      <c r="M209" s="413"/>
      <c r="N209" s="413"/>
      <c r="O209" s="413"/>
      <c r="P209" s="413"/>
      <c r="Q209" s="413"/>
    </row>
    <row r="210" spans="13:17" x14ac:dyDescent="0.55000000000000004">
      <c r="M210" s="413"/>
      <c r="N210" s="413"/>
      <c r="O210" s="413"/>
      <c r="P210" s="413"/>
      <c r="Q210" s="413"/>
    </row>
    <row r="211" spans="13:17" x14ac:dyDescent="0.55000000000000004">
      <c r="M211" s="413"/>
      <c r="N211" s="413"/>
      <c r="O211" s="413"/>
      <c r="P211" s="413"/>
      <c r="Q211" s="413"/>
    </row>
    <row r="212" spans="13:17" x14ac:dyDescent="0.55000000000000004">
      <c r="M212" s="413"/>
      <c r="N212" s="413"/>
      <c r="O212" s="413"/>
      <c r="P212" s="413"/>
      <c r="Q212" s="413"/>
    </row>
    <row r="213" spans="13:17" x14ac:dyDescent="0.55000000000000004">
      <c r="M213" s="413"/>
      <c r="N213" s="413"/>
      <c r="O213" s="413"/>
      <c r="P213" s="413"/>
      <c r="Q213" s="413"/>
    </row>
    <row r="214" spans="13:17" x14ac:dyDescent="0.55000000000000004">
      <c r="M214" s="413"/>
      <c r="N214" s="413"/>
      <c r="O214" s="413"/>
      <c r="P214" s="413"/>
      <c r="Q214" s="413"/>
    </row>
    <row r="215" spans="13:17" x14ac:dyDescent="0.55000000000000004">
      <c r="M215" s="413"/>
      <c r="N215" s="413"/>
      <c r="O215" s="413"/>
      <c r="P215" s="413"/>
      <c r="Q215" s="413"/>
    </row>
    <row r="216" spans="13:17" x14ac:dyDescent="0.55000000000000004">
      <c r="M216" s="413"/>
      <c r="N216" s="413"/>
      <c r="O216" s="413"/>
      <c r="P216" s="413"/>
      <c r="Q216" s="413"/>
    </row>
    <row r="217" spans="13:17" x14ac:dyDescent="0.55000000000000004">
      <c r="M217" s="413"/>
      <c r="N217" s="413"/>
      <c r="O217" s="413"/>
      <c r="P217" s="413"/>
      <c r="Q217" s="413"/>
    </row>
    <row r="218" spans="13:17" x14ac:dyDescent="0.55000000000000004">
      <c r="M218" s="413"/>
      <c r="N218" s="413"/>
      <c r="O218" s="413"/>
      <c r="P218" s="413"/>
      <c r="Q218" s="413"/>
    </row>
    <row r="219" spans="13:17" x14ac:dyDescent="0.55000000000000004">
      <c r="M219" s="413"/>
      <c r="N219" s="413"/>
      <c r="O219" s="413"/>
      <c r="P219" s="413"/>
      <c r="Q219" s="413"/>
    </row>
    <row r="220" spans="13:17" x14ac:dyDescent="0.55000000000000004">
      <c r="M220" s="413"/>
      <c r="N220" s="413"/>
      <c r="O220" s="413"/>
      <c r="P220" s="413"/>
      <c r="Q220" s="413"/>
    </row>
    <row r="221" spans="13:17" x14ac:dyDescent="0.55000000000000004">
      <c r="M221" s="413"/>
      <c r="N221" s="413"/>
      <c r="O221" s="413"/>
      <c r="P221" s="413"/>
      <c r="Q221" s="413"/>
    </row>
    <row r="222" spans="13:17" x14ac:dyDescent="0.55000000000000004">
      <c r="M222" s="413"/>
      <c r="N222" s="413"/>
      <c r="O222" s="413"/>
      <c r="P222" s="413"/>
      <c r="Q222" s="413"/>
    </row>
    <row r="223" spans="13:17" x14ac:dyDescent="0.55000000000000004">
      <c r="M223" s="413"/>
      <c r="N223" s="413"/>
      <c r="O223" s="413"/>
      <c r="P223" s="413"/>
      <c r="Q223" s="413"/>
    </row>
    <row r="224" spans="13:17" x14ac:dyDescent="0.55000000000000004">
      <c r="M224" s="413"/>
      <c r="N224" s="413"/>
      <c r="O224" s="413"/>
      <c r="P224" s="413"/>
      <c r="Q224" s="413"/>
    </row>
    <row r="225" spans="13:17" x14ac:dyDescent="0.55000000000000004">
      <c r="M225" s="413"/>
      <c r="N225" s="413"/>
      <c r="O225" s="413"/>
      <c r="P225" s="413"/>
      <c r="Q225" s="413"/>
    </row>
    <row r="226" spans="13:17" x14ac:dyDescent="0.55000000000000004">
      <c r="M226" s="413"/>
      <c r="N226" s="413"/>
      <c r="O226" s="413"/>
      <c r="P226" s="413"/>
      <c r="Q226" s="413"/>
    </row>
    <row r="227" spans="13:17" x14ac:dyDescent="0.55000000000000004">
      <c r="M227" s="413"/>
      <c r="N227" s="413"/>
      <c r="O227" s="413"/>
      <c r="P227" s="413"/>
      <c r="Q227" s="413"/>
    </row>
    <row r="228" spans="13:17" x14ac:dyDescent="0.55000000000000004">
      <c r="M228" s="413"/>
      <c r="N228" s="413"/>
      <c r="O228" s="413"/>
      <c r="P228" s="413"/>
      <c r="Q228" s="413"/>
    </row>
    <row r="229" spans="13:17" x14ac:dyDescent="0.55000000000000004">
      <c r="M229" s="413"/>
      <c r="N229" s="413"/>
      <c r="O229" s="413"/>
      <c r="P229" s="413"/>
      <c r="Q229" s="413"/>
    </row>
    <row r="230" spans="13:17" x14ac:dyDescent="0.55000000000000004">
      <c r="M230" s="413"/>
      <c r="N230" s="413"/>
      <c r="O230" s="413"/>
      <c r="P230" s="413"/>
      <c r="Q230" s="413"/>
    </row>
    <row r="231" spans="13:17" x14ac:dyDescent="0.55000000000000004">
      <c r="M231" s="413"/>
      <c r="N231" s="413"/>
      <c r="O231" s="413"/>
      <c r="P231" s="413"/>
      <c r="Q231" s="413"/>
    </row>
    <row r="232" spans="13:17" x14ac:dyDescent="0.55000000000000004">
      <c r="M232" s="413"/>
      <c r="N232" s="413"/>
      <c r="O232" s="413"/>
      <c r="P232" s="413"/>
      <c r="Q232" s="413"/>
    </row>
    <row r="233" spans="13:17" x14ac:dyDescent="0.55000000000000004">
      <c r="M233" s="413"/>
      <c r="N233" s="413"/>
      <c r="O233" s="413"/>
      <c r="P233" s="413"/>
      <c r="Q233" s="413"/>
    </row>
    <row r="234" spans="13:17" x14ac:dyDescent="0.55000000000000004">
      <c r="M234" s="413"/>
      <c r="N234" s="413"/>
      <c r="O234" s="413"/>
      <c r="P234" s="413"/>
      <c r="Q234" s="413"/>
    </row>
    <row r="235" spans="13:17" x14ac:dyDescent="0.55000000000000004">
      <c r="M235" s="413"/>
      <c r="N235" s="413"/>
      <c r="O235" s="413"/>
      <c r="P235" s="413"/>
      <c r="Q235" s="413"/>
    </row>
    <row r="236" spans="13:17" x14ac:dyDescent="0.55000000000000004">
      <c r="M236" s="413"/>
      <c r="N236" s="413"/>
      <c r="O236" s="413"/>
      <c r="P236" s="413"/>
      <c r="Q236" s="413"/>
    </row>
    <row r="237" spans="13:17" x14ac:dyDescent="0.55000000000000004">
      <c r="M237" s="413"/>
      <c r="N237" s="413"/>
      <c r="O237" s="413"/>
      <c r="P237" s="413"/>
      <c r="Q237" s="413"/>
    </row>
    <row r="238" spans="13:17" x14ac:dyDescent="0.55000000000000004">
      <c r="M238" s="413"/>
      <c r="N238" s="413"/>
      <c r="O238" s="413"/>
      <c r="P238" s="413"/>
      <c r="Q238" s="413"/>
    </row>
    <row r="239" spans="13:17" x14ac:dyDescent="0.55000000000000004">
      <c r="M239" s="413"/>
      <c r="N239" s="413"/>
      <c r="O239" s="413"/>
      <c r="P239" s="413"/>
      <c r="Q239" s="413"/>
    </row>
    <row r="240" spans="13:17" x14ac:dyDescent="0.55000000000000004">
      <c r="M240" s="413"/>
      <c r="N240" s="413"/>
      <c r="O240" s="413"/>
      <c r="P240" s="413"/>
      <c r="Q240" s="413"/>
    </row>
    <row r="241" spans="13:17" x14ac:dyDescent="0.55000000000000004">
      <c r="M241" s="413"/>
      <c r="N241" s="413"/>
      <c r="O241" s="413"/>
      <c r="P241" s="413"/>
      <c r="Q241" s="413"/>
    </row>
    <row r="242" spans="13:17" x14ac:dyDescent="0.55000000000000004">
      <c r="M242" s="413"/>
      <c r="N242" s="413"/>
      <c r="O242" s="413"/>
      <c r="P242" s="413"/>
      <c r="Q242" s="413"/>
    </row>
    <row r="243" spans="13:17" x14ac:dyDescent="0.55000000000000004">
      <c r="M243" s="413"/>
      <c r="N243" s="413"/>
      <c r="O243" s="413"/>
      <c r="P243" s="413"/>
      <c r="Q243" s="413"/>
    </row>
    <row r="244" spans="13:17" x14ac:dyDescent="0.55000000000000004">
      <c r="M244" s="413"/>
      <c r="N244" s="413"/>
      <c r="O244" s="413"/>
      <c r="P244" s="413"/>
      <c r="Q244" s="413"/>
    </row>
    <row r="245" spans="13:17" x14ac:dyDescent="0.55000000000000004">
      <c r="M245" s="413"/>
      <c r="N245" s="413"/>
      <c r="O245" s="413"/>
      <c r="P245" s="413"/>
      <c r="Q245" s="413"/>
    </row>
    <row r="246" spans="13:17" x14ac:dyDescent="0.55000000000000004">
      <c r="M246" s="413"/>
      <c r="N246" s="413"/>
      <c r="O246" s="413"/>
      <c r="P246" s="413"/>
      <c r="Q246" s="413"/>
    </row>
    <row r="247" spans="13:17" x14ac:dyDescent="0.55000000000000004">
      <c r="M247" s="413"/>
      <c r="N247" s="413"/>
      <c r="O247" s="413"/>
      <c r="P247" s="413"/>
      <c r="Q247" s="413"/>
    </row>
    <row r="248" spans="13:17" x14ac:dyDescent="0.55000000000000004">
      <c r="M248" s="413"/>
      <c r="N248" s="413"/>
      <c r="O248" s="413"/>
      <c r="P248" s="413"/>
      <c r="Q248" s="413"/>
    </row>
    <row r="249" spans="13:17" x14ac:dyDescent="0.55000000000000004">
      <c r="M249" s="413"/>
      <c r="N249" s="413"/>
      <c r="O249" s="413"/>
      <c r="P249" s="413"/>
      <c r="Q249" s="413"/>
    </row>
    <row r="250" spans="13:17" x14ac:dyDescent="0.55000000000000004">
      <c r="M250" s="413"/>
      <c r="N250" s="413"/>
      <c r="O250" s="413"/>
      <c r="P250" s="413"/>
      <c r="Q250" s="413"/>
    </row>
    <row r="251" spans="13:17" x14ac:dyDescent="0.55000000000000004">
      <c r="M251" s="413"/>
      <c r="N251" s="413"/>
      <c r="O251" s="413"/>
      <c r="P251" s="413"/>
      <c r="Q251" s="413"/>
    </row>
    <row r="252" spans="13:17" x14ac:dyDescent="0.55000000000000004">
      <c r="M252" s="413"/>
      <c r="N252" s="413"/>
      <c r="O252" s="413"/>
      <c r="P252" s="413"/>
      <c r="Q252" s="413"/>
    </row>
    <row r="253" spans="13:17" x14ac:dyDescent="0.55000000000000004">
      <c r="M253" s="413"/>
      <c r="N253" s="413"/>
      <c r="O253" s="413"/>
      <c r="P253" s="413"/>
      <c r="Q253" s="413"/>
    </row>
    <row r="254" spans="13:17" x14ac:dyDescent="0.55000000000000004">
      <c r="M254" s="413"/>
      <c r="N254" s="413"/>
      <c r="O254" s="413"/>
      <c r="P254" s="413"/>
      <c r="Q254" s="413"/>
    </row>
    <row r="255" spans="13:17" x14ac:dyDescent="0.55000000000000004">
      <c r="M255" s="413"/>
      <c r="N255" s="413"/>
      <c r="O255" s="413"/>
      <c r="P255" s="413"/>
      <c r="Q255" s="413"/>
    </row>
    <row r="256" spans="13:17" x14ac:dyDescent="0.55000000000000004">
      <c r="M256" s="413"/>
      <c r="N256" s="413"/>
      <c r="O256" s="413"/>
      <c r="P256" s="413"/>
      <c r="Q256" s="413"/>
    </row>
    <row r="257" spans="13:17" x14ac:dyDescent="0.55000000000000004">
      <c r="M257" s="413"/>
      <c r="N257" s="413"/>
      <c r="O257" s="413"/>
      <c r="P257" s="413"/>
      <c r="Q257" s="413"/>
    </row>
    <row r="258" spans="13:17" x14ac:dyDescent="0.55000000000000004">
      <c r="M258" s="413"/>
      <c r="N258" s="413"/>
      <c r="O258" s="413"/>
      <c r="P258" s="413"/>
      <c r="Q258" s="413"/>
    </row>
    <row r="259" spans="13:17" x14ac:dyDescent="0.55000000000000004">
      <c r="M259" s="413"/>
      <c r="N259" s="413"/>
      <c r="O259" s="413"/>
      <c r="P259" s="413"/>
      <c r="Q259" s="413"/>
    </row>
    <row r="260" spans="13:17" x14ac:dyDescent="0.55000000000000004">
      <c r="M260" s="413"/>
      <c r="N260" s="413"/>
      <c r="O260" s="413"/>
      <c r="P260" s="413"/>
      <c r="Q260" s="413"/>
    </row>
    <row r="261" spans="13:17" x14ac:dyDescent="0.55000000000000004">
      <c r="M261" s="413"/>
      <c r="N261" s="413"/>
      <c r="O261" s="413"/>
      <c r="P261" s="413"/>
      <c r="Q261" s="413"/>
    </row>
    <row r="262" spans="13:17" x14ac:dyDescent="0.55000000000000004">
      <c r="M262" s="413"/>
      <c r="N262" s="413"/>
      <c r="O262" s="413"/>
      <c r="P262" s="413"/>
      <c r="Q262" s="413"/>
    </row>
    <row r="263" spans="13:17" x14ac:dyDescent="0.55000000000000004">
      <c r="M263" s="413"/>
      <c r="N263" s="413"/>
      <c r="O263" s="413"/>
      <c r="P263" s="413"/>
      <c r="Q263" s="413"/>
    </row>
    <row r="264" spans="13:17" x14ac:dyDescent="0.55000000000000004">
      <c r="M264" s="413"/>
      <c r="N264" s="413"/>
      <c r="O264" s="413"/>
      <c r="P264" s="413"/>
      <c r="Q264" s="413"/>
    </row>
    <row r="265" spans="13:17" x14ac:dyDescent="0.55000000000000004">
      <c r="M265" s="413"/>
      <c r="N265" s="413"/>
      <c r="O265" s="413"/>
      <c r="P265" s="413"/>
      <c r="Q265" s="413"/>
    </row>
    <row r="266" spans="13:17" x14ac:dyDescent="0.55000000000000004">
      <c r="M266" s="413"/>
      <c r="N266" s="413"/>
      <c r="O266" s="413"/>
      <c r="P266" s="413"/>
      <c r="Q266" s="413"/>
    </row>
    <row r="267" spans="13:17" x14ac:dyDescent="0.55000000000000004">
      <c r="M267" s="413"/>
      <c r="N267" s="413"/>
      <c r="O267" s="413"/>
      <c r="P267" s="413"/>
      <c r="Q267" s="413"/>
    </row>
    <row r="268" spans="13:17" x14ac:dyDescent="0.55000000000000004">
      <c r="M268" s="413"/>
      <c r="N268" s="413"/>
      <c r="O268" s="413"/>
      <c r="P268" s="413"/>
      <c r="Q268" s="413"/>
    </row>
    <row r="269" spans="13:17" x14ac:dyDescent="0.55000000000000004">
      <c r="M269" s="413"/>
      <c r="N269" s="413"/>
      <c r="O269" s="413"/>
      <c r="P269" s="413"/>
      <c r="Q269" s="413"/>
    </row>
    <row r="270" spans="13:17" x14ac:dyDescent="0.55000000000000004">
      <c r="M270" s="413"/>
      <c r="N270" s="413"/>
      <c r="O270" s="413"/>
      <c r="P270" s="413"/>
      <c r="Q270" s="413"/>
    </row>
    <row r="271" spans="13:17" x14ac:dyDescent="0.55000000000000004">
      <c r="M271" s="413"/>
      <c r="N271" s="413"/>
      <c r="O271" s="413"/>
      <c r="P271" s="413"/>
      <c r="Q271" s="413"/>
    </row>
    <row r="272" spans="13:17" x14ac:dyDescent="0.55000000000000004">
      <c r="M272" s="413"/>
      <c r="N272" s="413"/>
      <c r="O272" s="413"/>
      <c r="P272" s="413"/>
      <c r="Q272" s="413"/>
    </row>
    <row r="273" spans="13:17" x14ac:dyDescent="0.55000000000000004">
      <c r="M273" s="413"/>
      <c r="N273" s="413"/>
      <c r="O273" s="413"/>
      <c r="P273" s="413"/>
      <c r="Q273" s="413"/>
    </row>
    <row r="274" spans="13:17" x14ac:dyDescent="0.55000000000000004">
      <c r="M274" s="413"/>
      <c r="N274" s="413"/>
      <c r="O274" s="413"/>
      <c r="P274" s="413"/>
      <c r="Q274" s="413"/>
    </row>
    <row r="275" spans="13:17" x14ac:dyDescent="0.55000000000000004">
      <c r="M275" s="413"/>
      <c r="N275" s="413"/>
      <c r="O275" s="413"/>
      <c r="P275" s="413"/>
      <c r="Q275" s="413"/>
    </row>
    <row r="276" spans="13:17" x14ac:dyDescent="0.55000000000000004">
      <c r="M276" s="413"/>
      <c r="N276" s="413"/>
      <c r="O276" s="413"/>
      <c r="P276" s="413"/>
      <c r="Q276" s="413"/>
    </row>
    <row r="277" spans="13:17" x14ac:dyDescent="0.55000000000000004">
      <c r="M277" s="413"/>
      <c r="N277" s="413"/>
      <c r="O277" s="413"/>
      <c r="P277" s="413"/>
      <c r="Q277" s="413"/>
    </row>
    <row r="278" spans="13:17" x14ac:dyDescent="0.55000000000000004">
      <c r="M278" s="413"/>
      <c r="N278" s="413"/>
      <c r="O278" s="413"/>
      <c r="P278" s="413"/>
      <c r="Q278" s="413"/>
    </row>
    <row r="279" spans="13:17" x14ac:dyDescent="0.55000000000000004">
      <c r="M279" s="413"/>
      <c r="N279" s="413"/>
      <c r="O279" s="413"/>
      <c r="P279" s="413"/>
      <c r="Q279" s="413"/>
    </row>
    <row r="280" spans="13:17" x14ac:dyDescent="0.55000000000000004">
      <c r="M280" s="413"/>
      <c r="N280" s="413"/>
      <c r="O280" s="413"/>
      <c r="P280" s="413"/>
      <c r="Q280" s="413"/>
    </row>
    <row r="281" spans="13:17" x14ac:dyDescent="0.55000000000000004">
      <c r="M281" s="413"/>
      <c r="N281" s="413"/>
      <c r="O281" s="413"/>
      <c r="P281" s="413"/>
      <c r="Q281" s="413"/>
    </row>
    <row r="282" spans="13:17" x14ac:dyDescent="0.55000000000000004">
      <c r="M282" s="413"/>
      <c r="N282" s="413"/>
      <c r="O282" s="413"/>
      <c r="P282" s="413"/>
      <c r="Q282" s="413"/>
    </row>
    <row r="283" spans="13:17" x14ac:dyDescent="0.55000000000000004">
      <c r="M283" s="413"/>
      <c r="N283" s="413"/>
      <c r="O283" s="413"/>
      <c r="P283" s="413"/>
      <c r="Q283" s="413"/>
    </row>
    <row r="284" spans="13:17" x14ac:dyDescent="0.55000000000000004">
      <c r="M284" s="413"/>
      <c r="N284" s="413"/>
      <c r="O284" s="413"/>
      <c r="P284" s="413"/>
      <c r="Q284" s="413"/>
    </row>
    <row r="285" spans="13:17" x14ac:dyDescent="0.55000000000000004">
      <c r="M285" s="413"/>
      <c r="N285" s="413"/>
      <c r="O285" s="413"/>
      <c r="P285" s="413"/>
      <c r="Q285" s="413"/>
    </row>
    <row r="286" spans="13:17" x14ac:dyDescent="0.55000000000000004">
      <c r="M286" s="413"/>
      <c r="N286" s="413"/>
      <c r="O286" s="413"/>
      <c r="P286" s="413"/>
      <c r="Q286" s="413"/>
    </row>
    <row r="287" spans="13:17" x14ac:dyDescent="0.55000000000000004">
      <c r="M287" s="413"/>
      <c r="N287" s="413"/>
      <c r="O287" s="413"/>
      <c r="P287" s="413"/>
      <c r="Q287" s="413"/>
    </row>
    <row r="288" spans="13:17" x14ac:dyDescent="0.55000000000000004">
      <c r="M288" s="413"/>
      <c r="N288" s="413"/>
      <c r="O288" s="413"/>
      <c r="P288" s="413"/>
      <c r="Q288" s="413"/>
    </row>
    <row r="289" spans="13:17" x14ac:dyDescent="0.55000000000000004">
      <c r="M289" s="413"/>
      <c r="N289" s="413"/>
      <c r="O289" s="413"/>
      <c r="P289" s="413"/>
      <c r="Q289" s="413"/>
    </row>
    <row r="290" spans="13:17" x14ac:dyDescent="0.55000000000000004">
      <c r="M290" s="413"/>
      <c r="N290" s="413"/>
      <c r="O290" s="413"/>
      <c r="P290" s="413"/>
      <c r="Q290" s="413"/>
    </row>
    <row r="291" spans="13:17" x14ac:dyDescent="0.55000000000000004">
      <c r="M291" s="413"/>
      <c r="N291" s="413"/>
      <c r="O291" s="413"/>
      <c r="P291" s="413"/>
      <c r="Q291" s="413"/>
    </row>
    <row r="292" spans="13:17" x14ac:dyDescent="0.55000000000000004">
      <c r="M292" s="413"/>
      <c r="N292" s="413"/>
      <c r="O292" s="413"/>
      <c r="P292" s="413"/>
      <c r="Q292" s="413"/>
    </row>
    <row r="293" spans="13:17" x14ac:dyDescent="0.55000000000000004">
      <c r="M293" s="413"/>
      <c r="N293" s="413"/>
      <c r="O293" s="413"/>
      <c r="P293" s="413"/>
      <c r="Q293" s="413"/>
    </row>
    <row r="294" spans="13:17" x14ac:dyDescent="0.55000000000000004">
      <c r="M294" s="413"/>
      <c r="N294" s="413"/>
      <c r="O294" s="413"/>
      <c r="P294" s="413"/>
      <c r="Q294" s="413"/>
    </row>
    <row r="295" spans="13:17" x14ac:dyDescent="0.55000000000000004">
      <c r="M295" s="413"/>
      <c r="N295" s="413"/>
      <c r="O295" s="413"/>
      <c r="P295" s="413"/>
      <c r="Q295" s="413"/>
    </row>
    <row r="296" spans="13:17" x14ac:dyDescent="0.55000000000000004">
      <c r="M296" s="413"/>
      <c r="N296" s="413"/>
      <c r="O296" s="413"/>
      <c r="P296" s="413"/>
      <c r="Q296" s="413"/>
    </row>
    <row r="297" spans="13:17" x14ac:dyDescent="0.55000000000000004">
      <c r="M297" s="413"/>
      <c r="N297" s="413"/>
      <c r="O297" s="413"/>
      <c r="P297" s="413"/>
      <c r="Q297" s="413"/>
    </row>
    <row r="298" spans="13:17" x14ac:dyDescent="0.55000000000000004">
      <c r="M298" s="413"/>
      <c r="N298" s="413"/>
      <c r="O298" s="413"/>
      <c r="P298" s="413"/>
      <c r="Q298" s="413"/>
    </row>
    <row r="299" spans="13:17" x14ac:dyDescent="0.55000000000000004">
      <c r="M299" s="413"/>
      <c r="N299" s="413"/>
      <c r="O299" s="413"/>
      <c r="P299" s="413"/>
      <c r="Q299" s="413"/>
    </row>
    <row r="300" spans="13:17" x14ac:dyDescent="0.55000000000000004">
      <c r="M300" s="413"/>
      <c r="N300" s="413"/>
      <c r="O300" s="413"/>
      <c r="P300" s="413"/>
      <c r="Q300" s="413"/>
    </row>
    <row r="301" spans="13:17" x14ac:dyDescent="0.55000000000000004">
      <c r="M301" s="413"/>
      <c r="N301" s="413"/>
      <c r="O301" s="413"/>
      <c r="P301" s="413"/>
      <c r="Q301" s="413"/>
    </row>
    <row r="302" spans="13:17" x14ac:dyDescent="0.55000000000000004">
      <c r="M302" s="413"/>
      <c r="N302" s="413"/>
      <c r="O302" s="413"/>
      <c r="P302" s="413"/>
      <c r="Q302" s="413"/>
    </row>
    <row r="303" spans="13:17" x14ac:dyDescent="0.55000000000000004">
      <c r="M303" s="413"/>
      <c r="N303" s="413"/>
      <c r="O303" s="413"/>
      <c r="P303" s="413"/>
      <c r="Q303" s="413"/>
    </row>
    <row r="304" spans="13:17" x14ac:dyDescent="0.55000000000000004">
      <c r="M304" s="413"/>
      <c r="N304" s="413"/>
      <c r="O304" s="413"/>
      <c r="P304" s="413"/>
      <c r="Q304" s="413"/>
    </row>
    <row r="305" spans="13:32" x14ac:dyDescent="0.55000000000000004">
      <c r="M305" s="413"/>
      <c r="N305" s="413"/>
      <c r="O305" s="413"/>
      <c r="P305" s="413"/>
      <c r="Q305" s="413"/>
    </row>
    <row r="306" spans="13:32" x14ac:dyDescent="0.55000000000000004">
      <c r="M306" s="413"/>
      <c r="N306" s="413"/>
      <c r="O306" s="413"/>
      <c r="P306" s="413"/>
      <c r="Q306" s="413"/>
    </row>
    <row r="307" spans="13:32" x14ac:dyDescent="0.55000000000000004">
      <c r="M307" s="413"/>
      <c r="N307" s="413"/>
      <c r="O307" s="413"/>
      <c r="P307" s="413"/>
      <c r="Q307" s="413"/>
    </row>
    <row r="308" spans="13:32" x14ac:dyDescent="0.55000000000000004">
      <c r="M308" s="413"/>
      <c r="N308" s="413"/>
      <c r="O308" s="413"/>
      <c r="P308" s="413"/>
      <c r="Q308" s="413"/>
    </row>
    <row r="309" spans="13:32" x14ac:dyDescent="0.55000000000000004">
      <c r="M309" s="413"/>
      <c r="N309" s="413"/>
      <c r="O309" s="413"/>
      <c r="P309" s="413"/>
      <c r="Q309" s="413"/>
    </row>
    <row r="310" spans="13:32" x14ac:dyDescent="0.55000000000000004">
      <c r="M310" s="413"/>
      <c r="N310" s="413"/>
      <c r="O310" s="413"/>
      <c r="P310" s="413"/>
      <c r="Q310" s="413"/>
    </row>
    <row r="311" spans="13:32" x14ac:dyDescent="0.55000000000000004">
      <c r="M311" s="413"/>
      <c r="N311" s="413"/>
      <c r="O311" s="413"/>
      <c r="P311" s="413"/>
      <c r="Q311" s="413"/>
    </row>
    <row r="312" spans="13:32" x14ac:dyDescent="0.55000000000000004">
      <c r="M312" s="413"/>
      <c r="N312" s="413"/>
      <c r="O312" s="413"/>
      <c r="P312" s="413"/>
      <c r="Q312" s="413"/>
    </row>
    <row r="313" spans="13:32" x14ac:dyDescent="0.55000000000000004">
      <c r="M313" s="413"/>
      <c r="N313" s="413"/>
      <c r="O313" s="413"/>
      <c r="P313" s="413"/>
      <c r="Q313" s="413"/>
    </row>
    <row r="314" spans="13:32" x14ac:dyDescent="0.55000000000000004">
      <c r="M314" s="413"/>
      <c r="N314" s="413"/>
      <c r="O314" s="413"/>
      <c r="P314" s="413"/>
      <c r="Q314" s="413"/>
    </row>
    <row r="315" spans="13:32" x14ac:dyDescent="0.55000000000000004">
      <c r="M315" s="413"/>
      <c r="N315" s="413"/>
      <c r="O315" s="413"/>
      <c r="P315" s="413"/>
      <c r="Q315" s="413"/>
    </row>
    <row r="316" spans="13:32" x14ac:dyDescent="0.55000000000000004">
      <c r="M316" s="413"/>
      <c r="N316" s="413"/>
      <c r="O316" s="413"/>
      <c r="P316" s="413"/>
      <c r="Q316" s="413"/>
    </row>
    <row r="317" spans="13:32" x14ac:dyDescent="0.55000000000000004">
      <c r="M317" s="413"/>
      <c r="N317" s="413"/>
      <c r="O317" s="413"/>
      <c r="P317" s="413"/>
      <c r="Q317" s="413"/>
    </row>
    <row r="318" spans="13:32" x14ac:dyDescent="0.55000000000000004">
      <c r="M318" s="413"/>
      <c r="N318" s="413"/>
      <c r="O318" s="413"/>
      <c r="P318" s="413"/>
      <c r="Q318" s="413"/>
      <c r="AF318" s="85"/>
    </row>
    <row r="319" spans="13:32" x14ac:dyDescent="0.55000000000000004">
      <c r="M319" s="413"/>
      <c r="N319" s="413"/>
      <c r="O319" s="413"/>
      <c r="P319" s="413"/>
      <c r="Q319" s="413"/>
    </row>
    <row r="320" spans="13:32" x14ac:dyDescent="0.55000000000000004">
      <c r="M320" s="413"/>
      <c r="N320" s="413"/>
      <c r="O320" s="413"/>
      <c r="P320" s="413"/>
      <c r="Q320" s="413"/>
    </row>
    <row r="321" spans="2:32" x14ac:dyDescent="0.55000000000000004">
      <c r="M321" s="413"/>
      <c r="N321" s="413"/>
      <c r="O321" s="413"/>
      <c r="P321" s="413"/>
      <c r="Q321" s="413"/>
    </row>
    <row r="322" spans="2:32" x14ac:dyDescent="0.55000000000000004">
      <c r="M322" s="413"/>
      <c r="N322" s="413"/>
      <c r="O322" s="413"/>
      <c r="P322" s="413"/>
      <c r="Q322" s="413"/>
    </row>
    <row r="323" spans="2:32" s="85" customFormat="1" ht="13.35" customHeight="1" x14ac:dyDescent="0.55000000000000004">
      <c r="B323" s="311"/>
      <c r="C323" s="311"/>
      <c r="D323" s="311"/>
      <c r="E323" s="313"/>
      <c r="F323" s="76"/>
      <c r="G323" s="76"/>
      <c r="H323" s="76"/>
      <c r="I323" s="11"/>
      <c r="J323" s="76"/>
      <c r="K323" s="11"/>
      <c r="L323" s="84"/>
      <c r="M323" s="413"/>
      <c r="N323" s="413"/>
      <c r="O323" s="413"/>
      <c r="P323" s="413"/>
      <c r="Q323" s="413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2:32" x14ac:dyDescent="0.55000000000000004">
      <c r="M324" s="413"/>
      <c r="N324" s="413"/>
      <c r="O324" s="413"/>
      <c r="P324" s="413"/>
      <c r="Q324" s="413"/>
    </row>
    <row r="325" spans="2:32" x14ac:dyDescent="0.55000000000000004">
      <c r="M325" s="413"/>
      <c r="N325" s="413"/>
      <c r="O325" s="413"/>
      <c r="P325" s="413"/>
      <c r="Q325" s="413"/>
    </row>
    <row r="326" spans="2:32" x14ac:dyDescent="0.55000000000000004">
      <c r="M326" s="413"/>
      <c r="N326" s="413"/>
      <c r="O326" s="413"/>
      <c r="P326" s="413"/>
      <c r="Q326" s="413"/>
    </row>
    <row r="327" spans="2:32" x14ac:dyDescent="0.55000000000000004">
      <c r="M327" s="413"/>
      <c r="N327" s="413"/>
      <c r="O327" s="413"/>
      <c r="P327" s="413"/>
      <c r="Q327" s="413"/>
    </row>
    <row r="328" spans="2:32" x14ac:dyDescent="0.55000000000000004">
      <c r="M328" s="413"/>
      <c r="N328" s="413"/>
      <c r="O328" s="413"/>
      <c r="P328" s="413"/>
      <c r="Q328" s="413"/>
    </row>
    <row r="329" spans="2:32" x14ac:dyDescent="0.55000000000000004">
      <c r="M329" s="413"/>
      <c r="N329" s="413"/>
      <c r="O329" s="413"/>
      <c r="P329" s="413"/>
      <c r="Q329" s="413"/>
    </row>
    <row r="330" spans="2:32" x14ac:dyDescent="0.55000000000000004">
      <c r="M330" s="413"/>
      <c r="N330" s="413"/>
      <c r="O330" s="413"/>
      <c r="P330" s="413"/>
      <c r="Q330" s="413"/>
    </row>
    <row r="331" spans="2:32" x14ac:dyDescent="0.55000000000000004">
      <c r="M331" s="413"/>
      <c r="N331" s="413"/>
      <c r="O331" s="413"/>
      <c r="P331" s="413"/>
      <c r="Q331" s="413"/>
    </row>
    <row r="332" spans="2:32" x14ac:dyDescent="0.55000000000000004">
      <c r="M332" s="413"/>
      <c r="N332" s="413"/>
      <c r="O332" s="413"/>
      <c r="P332" s="413"/>
      <c r="Q332" s="413"/>
    </row>
    <row r="333" spans="2:32" x14ac:dyDescent="0.55000000000000004">
      <c r="M333" s="413"/>
      <c r="N333" s="413"/>
      <c r="O333" s="413"/>
      <c r="P333" s="413"/>
      <c r="Q333" s="413"/>
    </row>
    <row r="334" spans="2:32" x14ac:dyDescent="0.55000000000000004">
      <c r="M334" s="413"/>
      <c r="N334" s="413"/>
      <c r="O334" s="413"/>
      <c r="P334" s="413"/>
      <c r="Q334" s="413"/>
    </row>
    <row r="335" spans="2:32" x14ac:dyDescent="0.55000000000000004">
      <c r="M335" s="413"/>
      <c r="N335" s="413"/>
      <c r="O335" s="413"/>
      <c r="P335" s="413"/>
      <c r="Q335" s="413"/>
    </row>
    <row r="336" spans="2:32" x14ac:dyDescent="0.55000000000000004">
      <c r="M336" s="413"/>
      <c r="N336" s="413"/>
      <c r="O336" s="413"/>
      <c r="P336" s="413"/>
      <c r="Q336" s="413"/>
    </row>
    <row r="337" spans="13:17" x14ac:dyDescent="0.55000000000000004">
      <c r="M337" s="413"/>
      <c r="N337" s="413"/>
      <c r="O337" s="413"/>
      <c r="P337" s="413"/>
      <c r="Q337" s="413"/>
    </row>
    <row r="338" spans="13:17" x14ac:dyDescent="0.55000000000000004">
      <c r="M338" s="413"/>
      <c r="N338" s="413"/>
      <c r="O338" s="413"/>
      <c r="P338" s="413"/>
      <c r="Q338" s="413"/>
    </row>
    <row r="339" spans="13:17" x14ac:dyDescent="0.55000000000000004">
      <c r="M339" s="413"/>
      <c r="N339" s="413"/>
      <c r="O339" s="413"/>
      <c r="P339" s="413"/>
      <c r="Q339" s="413"/>
    </row>
    <row r="340" spans="13:17" x14ac:dyDescent="0.55000000000000004">
      <c r="M340" s="413"/>
      <c r="N340" s="413"/>
      <c r="O340" s="413"/>
      <c r="P340" s="413"/>
      <c r="Q340" s="413"/>
    </row>
    <row r="341" spans="13:17" x14ac:dyDescent="0.55000000000000004">
      <c r="M341" s="413"/>
      <c r="N341" s="413"/>
      <c r="O341" s="413"/>
      <c r="P341" s="413"/>
      <c r="Q341" s="413"/>
    </row>
    <row r="342" spans="13:17" x14ac:dyDescent="0.55000000000000004">
      <c r="M342" s="413"/>
      <c r="N342" s="413"/>
      <c r="O342" s="413"/>
      <c r="P342" s="413"/>
      <c r="Q342" s="413"/>
    </row>
    <row r="343" spans="13:17" x14ac:dyDescent="0.55000000000000004">
      <c r="M343" s="413"/>
      <c r="N343" s="413"/>
      <c r="O343" s="413"/>
      <c r="P343" s="413"/>
      <c r="Q343" s="413"/>
    </row>
    <row r="344" spans="13:17" x14ac:dyDescent="0.55000000000000004">
      <c r="M344" s="413"/>
      <c r="N344" s="413"/>
      <c r="O344" s="413"/>
      <c r="P344" s="413"/>
      <c r="Q344" s="413"/>
    </row>
    <row r="345" spans="13:17" x14ac:dyDescent="0.55000000000000004">
      <c r="M345" s="413"/>
      <c r="N345" s="413"/>
      <c r="O345" s="413"/>
      <c r="P345" s="413"/>
      <c r="Q345" s="413"/>
    </row>
    <row r="346" spans="13:17" x14ac:dyDescent="0.55000000000000004">
      <c r="M346" s="413"/>
      <c r="N346" s="413"/>
      <c r="O346" s="413"/>
      <c r="P346" s="413"/>
      <c r="Q346" s="413"/>
    </row>
    <row r="347" spans="13:17" x14ac:dyDescent="0.55000000000000004">
      <c r="M347" s="413"/>
      <c r="N347" s="413"/>
      <c r="O347" s="413"/>
      <c r="P347" s="413"/>
      <c r="Q347" s="413"/>
    </row>
    <row r="348" spans="13:17" x14ac:dyDescent="0.55000000000000004">
      <c r="M348" s="413"/>
      <c r="N348" s="413"/>
      <c r="O348" s="413"/>
      <c r="P348" s="413"/>
      <c r="Q348" s="413"/>
    </row>
    <row r="349" spans="13:17" x14ac:dyDescent="0.55000000000000004">
      <c r="M349" s="413"/>
      <c r="N349" s="413"/>
      <c r="O349" s="413"/>
      <c r="P349" s="413"/>
      <c r="Q349" s="413"/>
    </row>
    <row r="350" spans="13:17" x14ac:dyDescent="0.55000000000000004">
      <c r="M350" s="413"/>
      <c r="N350" s="413"/>
      <c r="O350" s="413"/>
      <c r="P350" s="413"/>
      <c r="Q350" s="413"/>
    </row>
    <row r="351" spans="13:17" x14ac:dyDescent="0.55000000000000004">
      <c r="M351" s="413"/>
      <c r="N351" s="413"/>
      <c r="O351" s="413"/>
      <c r="P351" s="413"/>
      <c r="Q351" s="413"/>
    </row>
    <row r="352" spans="13:17" x14ac:dyDescent="0.55000000000000004">
      <c r="M352" s="413"/>
      <c r="N352" s="413"/>
      <c r="O352" s="413"/>
      <c r="P352" s="413"/>
      <c r="Q352" s="413"/>
    </row>
    <row r="353" spans="13:17" x14ac:dyDescent="0.55000000000000004">
      <c r="M353" s="413"/>
      <c r="N353" s="413"/>
      <c r="O353" s="413"/>
      <c r="P353" s="413"/>
      <c r="Q353" s="413"/>
    </row>
    <row r="354" spans="13:17" x14ac:dyDescent="0.55000000000000004">
      <c r="M354" s="413"/>
      <c r="N354" s="413"/>
      <c r="O354" s="413"/>
      <c r="P354" s="413"/>
      <c r="Q354" s="413"/>
    </row>
    <row r="355" spans="13:17" x14ac:dyDescent="0.55000000000000004">
      <c r="M355" s="413"/>
      <c r="N355" s="413"/>
      <c r="O355" s="413"/>
      <c r="P355" s="413"/>
      <c r="Q355" s="413"/>
    </row>
    <row r="356" spans="13:17" x14ac:dyDescent="0.55000000000000004">
      <c r="M356" s="413"/>
      <c r="N356" s="413"/>
      <c r="O356" s="413"/>
      <c r="P356" s="413"/>
      <c r="Q356" s="413"/>
    </row>
    <row r="357" spans="13:17" x14ac:dyDescent="0.55000000000000004">
      <c r="M357" s="413"/>
      <c r="N357" s="413"/>
      <c r="O357" s="413"/>
      <c r="P357" s="413"/>
      <c r="Q357" s="413"/>
    </row>
    <row r="358" spans="13:17" x14ac:dyDescent="0.55000000000000004">
      <c r="M358" s="413"/>
      <c r="N358" s="413"/>
      <c r="O358" s="413"/>
      <c r="P358" s="413"/>
      <c r="Q358" s="413"/>
    </row>
    <row r="359" spans="13:17" x14ac:dyDescent="0.55000000000000004">
      <c r="M359" s="413"/>
      <c r="N359" s="413"/>
      <c r="O359" s="413"/>
      <c r="P359" s="413"/>
      <c r="Q359" s="413"/>
    </row>
    <row r="360" spans="13:17" x14ac:dyDescent="0.55000000000000004">
      <c r="M360" s="413"/>
      <c r="N360" s="413"/>
      <c r="O360" s="413"/>
      <c r="P360" s="413"/>
      <c r="Q360" s="413"/>
    </row>
    <row r="361" spans="13:17" x14ac:dyDescent="0.55000000000000004">
      <c r="M361" s="413"/>
      <c r="N361" s="413"/>
      <c r="O361" s="413"/>
      <c r="P361" s="413"/>
      <c r="Q361" s="413"/>
    </row>
    <row r="362" spans="13:17" x14ac:dyDescent="0.55000000000000004">
      <c r="M362" s="413"/>
      <c r="N362" s="413"/>
      <c r="O362" s="413"/>
      <c r="P362" s="413"/>
      <c r="Q362" s="413"/>
    </row>
    <row r="363" spans="13:17" x14ac:dyDescent="0.55000000000000004">
      <c r="M363" s="413"/>
      <c r="N363" s="413"/>
      <c r="O363" s="413"/>
      <c r="P363" s="413"/>
      <c r="Q363" s="413"/>
    </row>
    <row r="364" spans="13:17" x14ac:dyDescent="0.55000000000000004">
      <c r="M364" s="413"/>
      <c r="N364" s="413"/>
      <c r="O364" s="413"/>
      <c r="P364" s="413"/>
      <c r="Q364" s="413"/>
    </row>
    <row r="365" spans="13:17" x14ac:dyDescent="0.55000000000000004">
      <c r="M365" s="413"/>
      <c r="N365" s="413"/>
      <c r="O365" s="413"/>
      <c r="P365" s="413"/>
      <c r="Q365" s="413"/>
    </row>
    <row r="366" spans="13:17" x14ac:dyDescent="0.55000000000000004">
      <c r="M366" s="413"/>
      <c r="N366" s="413"/>
      <c r="O366" s="413"/>
      <c r="P366" s="413"/>
      <c r="Q366" s="413"/>
    </row>
    <row r="367" spans="13:17" x14ac:dyDescent="0.55000000000000004">
      <c r="M367" s="413"/>
      <c r="N367" s="413"/>
      <c r="O367" s="413"/>
      <c r="P367" s="413"/>
      <c r="Q367" s="413"/>
    </row>
    <row r="368" spans="13:17" x14ac:dyDescent="0.55000000000000004">
      <c r="M368" s="413"/>
      <c r="N368" s="413"/>
      <c r="O368" s="413"/>
      <c r="P368" s="413"/>
      <c r="Q368" s="413"/>
    </row>
    <row r="369" spans="13:17" x14ac:dyDescent="0.55000000000000004">
      <c r="M369" s="413"/>
      <c r="N369" s="413"/>
      <c r="O369" s="413"/>
      <c r="P369" s="413"/>
      <c r="Q369" s="413"/>
    </row>
    <row r="370" spans="13:17" x14ac:dyDescent="0.55000000000000004">
      <c r="M370" s="413"/>
      <c r="N370" s="413"/>
      <c r="O370" s="413"/>
      <c r="P370" s="413"/>
      <c r="Q370" s="413"/>
    </row>
    <row r="371" spans="13:17" x14ac:dyDescent="0.55000000000000004">
      <c r="M371" s="413"/>
      <c r="N371" s="413"/>
      <c r="O371" s="413"/>
      <c r="P371" s="413"/>
      <c r="Q371" s="413"/>
    </row>
    <row r="372" spans="13:17" x14ac:dyDescent="0.55000000000000004">
      <c r="M372" s="413"/>
      <c r="N372" s="413"/>
      <c r="O372" s="413"/>
      <c r="P372" s="413"/>
      <c r="Q372" s="413"/>
    </row>
    <row r="373" spans="13:17" x14ac:dyDescent="0.55000000000000004">
      <c r="M373" s="413"/>
      <c r="N373" s="413"/>
      <c r="O373" s="413"/>
      <c r="P373" s="413"/>
      <c r="Q373" s="413"/>
    </row>
    <row r="374" spans="13:17" x14ac:dyDescent="0.55000000000000004">
      <c r="M374" s="413"/>
      <c r="N374" s="413"/>
      <c r="O374" s="413"/>
      <c r="P374" s="413"/>
      <c r="Q374" s="413"/>
    </row>
    <row r="375" spans="13:17" x14ac:dyDescent="0.55000000000000004">
      <c r="M375" s="413"/>
      <c r="N375" s="413"/>
      <c r="O375" s="413"/>
      <c r="P375" s="413"/>
      <c r="Q375" s="413"/>
    </row>
    <row r="376" spans="13:17" x14ac:dyDescent="0.55000000000000004">
      <c r="M376" s="413"/>
      <c r="N376" s="413"/>
      <c r="O376" s="413"/>
      <c r="P376" s="413"/>
      <c r="Q376" s="413"/>
    </row>
    <row r="377" spans="13:17" x14ac:dyDescent="0.55000000000000004">
      <c r="M377" s="413"/>
      <c r="N377" s="413"/>
      <c r="O377" s="413"/>
      <c r="P377" s="413"/>
      <c r="Q377" s="413"/>
    </row>
    <row r="378" spans="13:17" x14ac:dyDescent="0.55000000000000004">
      <c r="M378" s="413"/>
      <c r="N378" s="413"/>
      <c r="O378" s="413"/>
      <c r="P378" s="413"/>
      <c r="Q378" s="413"/>
    </row>
    <row r="379" spans="13:17" x14ac:dyDescent="0.55000000000000004">
      <c r="M379" s="413"/>
      <c r="N379" s="413"/>
      <c r="O379" s="413"/>
      <c r="P379" s="413"/>
      <c r="Q379" s="413"/>
    </row>
    <row r="380" spans="13:17" x14ac:dyDescent="0.55000000000000004">
      <c r="M380" s="413"/>
      <c r="N380" s="413"/>
      <c r="O380" s="413"/>
      <c r="P380" s="413"/>
      <c r="Q380" s="413"/>
    </row>
    <row r="381" spans="13:17" x14ac:dyDescent="0.55000000000000004">
      <c r="M381" s="413"/>
      <c r="N381" s="413"/>
      <c r="O381" s="413"/>
      <c r="P381" s="413"/>
      <c r="Q381" s="413"/>
    </row>
    <row r="382" spans="13:17" x14ac:dyDescent="0.55000000000000004">
      <c r="M382" s="413"/>
      <c r="N382" s="413"/>
      <c r="O382" s="413"/>
      <c r="P382" s="413"/>
      <c r="Q382" s="413"/>
    </row>
    <row r="383" spans="13:17" x14ac:dyDescent="0.55000000000000004">
      <c r="M383" s="413"/>
      <c r="N383" s="413"/>
      <c r="O383" s="413"/>
      <c r="P383" s="413"/>
      <c r="Q383" s="413"/>
    </row>
    <row r="384" spans="13:17" x14ac:dyDescent="0.55000000000000004">
      <c r="M384" s="413"/>
      <c r="N384" s="413"/>
      <c r="O384" s="413"/>
      <c r="P384" s="413"/>
      <c r="Q384" s="413"/>
    </row>
    <row r="385" spans="13:17" x14ac:dyDescent="0.55000000000000004">
      <c r="M385" s="413"/>
      <c r="N385" s="413"/>
      <c r="O385" s="413"/>
      <c r="P385" s="413"/>
      <c r="Q385" s="413"/>
    </row>
    <row r="386" spans="13:17" x14ac:dyDescent="0.55000000000000004">
      <c r="M386" s="413"/>
      <c r="N386" s="413"/>
      <c r="O386" s="413"/>
      <c r="P386" s="413"/>
      <c r="Q386" s="413"/>
    </row>
    <row r="387" spans="13:17" x14ac:dyDescent="0.55000000000000004">
      <c r="M387" s="413"/>
      <c r="N387" s="413"/>
      <c r="O387" s="413"/>
      <c r="P387" s="413"/>
      <c r="Q387" s="413"/>
    </row>
    <row r="388" spans="13:17" x14ac:dyDescent="0.55000000000000004">
      <c r="M388" s="413"/>
      <c r="N388" s="413"/>
      <c r="O388" s="413"/>
      <c r="P388" s="413"/>
      <c r="Q388" s="413"/>
    </row>
    <row r="389" spans="13:17" x14ac:dyDescent="0.55000000000000004">
      <c r="M389" s="413"/>
      <c r="N389" s="413"/>
      <c r="O389" s="413"/>
      <c r="P389" s="413"/>
      <c r="Q389" s="413"/>
    </row>
    <row r="390" spans="13:17" x14ac:dyDescent="0.55000000000000004">
      <c r="M390" s="413"/>
      <c r="N390" s="413"/>
      <c r="O390" s="413"/>
      <c r="P390" s="413"/>
      <c r="Q390" s="413"/>
    </row>
    <row r="391" spans="13:17" x14ac:dyDescent="0.55000000000000004">
      <c r="M391" s="413"/>
      <c r="N391" s="413"/>
      <c r="O391" s="413"/>
      <c r="P391" s="413"/>
      <c r="Q391" s="413"/>
    </row>
    <row r="392" spans="13:17" x14ac:dyDescent="0.55000000000000004">
      <c r="M392" s="413"/>
      <c r="N392" s="413"/>
      <c r="O392" s="413"/>
      <c r="P392" s="413"/>
      <c r="Q392" s="413"/>
    </row>
    <row r="393" spans="13:17" x14ac:dyDescent="0.55000000000000004">
      <c r="M393" s="413"/>
      <c r="N393" s="413"/>
      <c r="O393" s="413"/>
      <c r="P393" s="413"/>
      <c r="Q393" s="413"/>
    </row>
    <row r="394" spans="13:17" x14ac:dyDescent="0.55000000000000004">
      <c r="M394" s="413"/>
      <c r="N394" s="413"/>
      <c r="O394" s="413"/>
      <c r="P394" s="413"/>
      <c r="Q394" s="413"/>
    </row>
    <row r="395" spans="13:17" x14ac:dyDescent="0.55000000000000004">
      <c r="M395" s="413"/>
      <c r="N395" s="413"/>
      <c r="O395" s="413"/>
      <c r="P395" s="413"/>
      <c r="Q395" s="413"/>
    </row>
    <row r="396" spans="13:17" x14ac:dyDescent="0.55000000000000004">
      <c r="M396" s="413"/>
      <c r="N396" s="413"/>
      <c r="O396" s="413"/>
      <c r="P396" s="413"/>
      <c r="Q396" s="413"/>
    </row>
    <row r="397" spans="13:17" x14ac:dyDescent="0.55000000000000004">
      <c r="M397" s="413"/>
      <c r="N397" s="413"/>
      <c r="O397" s="413"/>
      <c r="P397" s="413"/>
      <c r="Q397" s="413"/>
    </row>
    <row r="398" spans="13:17" x14ac:dyDescent="0.55000000000000004">
      <c r="M398" s="413"/>
      <c r="N398" s="413"/>
      <c r="O398" s="413"/>
      <c r="P398" s="413"/>
      <c r="Q398" s="413"/>
    </row>
    <row r="399" spans="13:17" x14ac:dyDescent="0.55000000000000004">
      <c r="M399" s="413"/>
      <c r="N399" s="413"/>
      <c r="O399" s="413"/>
      <c r="P399" s="413"/>
      <c r="Q399" s="413"/>
    </row>
    <row r="400" spans="13:17" x14ac:dyDescent="0.55000000000000004">
      <c r="M400" s="413"/>
      <c r="N400" s="413"/>
      <c r="O400" s="413"/>
      <c r="P400" s="413"/>
      <c r="Q400" s="413"/>
    </row>
    <row r="401" spans="13:17" x14ac:dyDescent="0.55000000000000004">
      <c r="M401" s="413"/>
      <c r="N401" s="413"/>
      <c r="O401" s="413"/>
      <c r="P401" s="413"/>
      <c r="Q401" s="413"/>
    </row>
    <row r="402" spans="13:17" x14ac:dyDescent="0.55000000000000004">
      <c r="M402" s="413"/>
      <c r="N402" s="413"/>
      <c r="O402" s="413"/>
      <c r="P402" s="413"/>
      <c r="Q402" s="413"/>
    </row>
    <row r="403" spans="13:17" x14ac:dyDescent="0.55000000000000004">
      <c r="M403" s="413"/>
      <c r="N403" s="413"/>
      <c r="O403" s="413"/>
      <c r="P403" s="413"/>
      <c r="Q403" s="413"/>
    </row>
    <row r="404" spans="13:17" x14ac:dyDescent="0.55000000000000004">
      <c r="M404" s="413"/>
      <c r="N404" s="413"/>
      <c r="O404" s="413"/>
      <c r="P404" s="413"/>
      <c r="Q404" s="413"/>
    </row>
    <row r="405" spans="13:17" x14ac:dyDescent="0.55000000000000004">
      <c r="M405" s="413"/>
      <c r="N405" s="413"/>
      <c r="O405" s="413"/>
      <c r="P405" s="413"/>
      <c r="Q405" s="413"/>
    </row>
    <row r="406" spans="13:17" x14ac:dyDescent="0.55000000000000004">
      <c r="M406" s="413"/>
      <c r="N406" s="413"/>
      <c r="O406" s="413"/>
      <c r="P406" s="413"/>
      <c r="Q406" s="413"/>
    </row>
    <row r="407" spans="13:17" x14ac:dyDescent="0.55000000000000004">
      <c r="M407" s="413"/>
      <c r="N407" s="413"/>
      <c r="O407" s="413"/>
      <c r="P407" s="413"/>
      <c r="Q407" s="413"/>
    </row>
    <row r="408" spans="13:17" x14ac:dyDescent="0.55000000000000004">
      <c r="M408" s="413"/>
      <c r="N408" s="413"/>
      <c r="O408" s="413"/>
      <c r="P408" s="413"/>
      <c r="Q408" s="413"/>
    </row>
    <row r="409" spans="13:17" x14ac:dyDescent="0.55000000000000004">
      <c r="M409" s="413"/>
      <c r="N409" s="413"/>
      <c r="O409" s="413"/>
      <c r="P409" s="413"/>
      <c r="Q409" s="413"/>
    </row>
    <row r="410" spans="13:17" x14ac:dyDescent="0.55000000000000004">
      <c r="M410" s="413"/>
      <c r="N410" s="413"/>
      <c r="O410" s="413"/>
      <c r="P410" s="413"/>
      <c r="Q410" s="413"/>
    </row>
    <row r="411" spans="13:17" x14ac:dyDescent="0.55000000000000004">
      <c r="M411" s="413"/>
      <c r="N411" s="413"/>
      <c r="O411" s="413"/>
      <c r="P411" s="413"/>
      <c r="Q411" s="413"/>
    </row>
    <row r="412" spans="13:17" x14ac:dyDescent="0.55000000000000004">
      <c r="M412" s="413"/>
      <c r="N412" s="413"/>
      <c r="O412" s="413"/>
      <c r="P412" s="413"/>
      <c r="Q412" s="413"/>
    </row>
    <row r="413" spans="13:17" x14ac:dyDescent="0.55000000000000004">
      <c r="M413" s="413"/>
      <c r="N413" s="413"/>
      <c r="O413" s="413"/>
      <c r="P413" s="413"/>
      <c r="Q413" s="413"/>
    </row>
    <row r="414" spans="13:17" x14ac:dyDescent="0.55000000000000004">
      <c r="M414" s="413"/>
      <c r="N414" s="413"/>
      <c r="O414" s="413"/>
      <c r="P414" s="413"/>
      <c r="Q414" s="413"/>
    </row>
    <row r="415" spans="13:17" x14ac:dyDescent="0.55000000000000004">
      <c r="M415" s="413"/>
      <c r="N415" s="413"/>
      <c r="O415" s="413"/>
      <c r="P415" s="413"/>
      <c r="Q415" s="413"/>
    </row>
    <row r="416" spans="13:17" x14ac:dyDescent="0.55000000000000004">
      <c r="M416" s="413"/>
      <c r="N416" s="413"/>
      <c r="O416" s="413"/>
      <c r="P416" s="413"/>
      <c r="Q416" s="413"/>
    </row>
    <row r="417" spans="13:17" x14ac:dyDescent="0.55000000000000004">
      <c r="M417" s="413"/>
      <c r="N417" s="413"/>
      <c r="O417" s="413"/>
      <c r="P417" s="413"/>
      <c r="Q417" s="413"/>
    </row>
    <row r="418" spans="13:17" x14ac:dyDescent="0.55000000000000004">
      <c r="M418" s="413"/>
      <c r="N418" s="413"/>
      <c r="O418" s="413"/>
      <c r="P418" s="413"/>
      <c r="Q418" s="413"/>
    </row>
    <row r="419" spans="13:17" x14ac:dyDescent="0.55000000000000004">
      <c r="M419" s="413"/>
      <c r="N419" s="413"/>
      <c r="O419" s="413"/>
      <c r="P419" s="413"/>
      <c r="Q419" s="413"/>
    </row>
    <row r="420" spans="13:17" x14ac:dyDescent="0.55000000000000004">
      <c r="M420" s="413"/>
      <c r="N420" s="413"/>
      <c r="O420" s="413"/>
      <c r="P420" s="413"/>
      <c r="Q420" s="413"/>
    </row>
    <row r="421" spans="13:17" x14ac:dyDescent="0.55000000000000004">
      <c r="M421" s="413"/>
      <c r="N421" s="413"/>
      <c r="O421" s="413"/>
      <c r="P421" s="413"/>
      <c r="Q421" s="413"/>
    </row>
    <row r="422" spans="13:17" x14ac:dyDescent="0.55000000000000004">
      <c r="M422" s="413"/>
      <c r="N422" s="413"/>
      <c r="O422" s="413"/>
      <c r="P422" s="413"/>
      <c r="Q422" s="413"/>
    </row>
    <row r="423" spans="13:17" x14ac:dyDescent="0.55000000000000004">
      <c r="M423" s="413"/>
      <c r="N423" s="413"/>
      <c r="O423" s="413"/>
      <c r="P423" s="413"/>
      <c r="Q423" s="413"/>
    </row>
    <row r="424" spans="13:17" x14ac:dyDescent="0.55000000000000004">
      <c r="M424" s="413"/>
      <c r="N424" s="413"/>
      <c r="O424" s="413"/>
      <c r="P424" s="413"/>
      <c r="Q424" s="413"/>
    </row>
    <row r="425" spans="13:17" x14ac:dyDescent="0.55000000000000004">
      <c r="M425" s="413"/>
      <c r="N425" s="413"/>
      <c r="O425" s="413"/>
      <c r="P425" s="413"/>
      <c r="Q425" s="413"/>
    </row>
    <row r="426" spans="13:17" x14ac:dyDescent="0.55000000000000004">
      <c r="M426" s="413"/>
      <c r="N426" s="413"/>
      <c r="O426" s="413"/>
      <c r="P426" s="413"/>
      <c r="Q426" s="413"/>
    </row>
    <row r="427" spans="13:17" x14ac:dyDescent="0.55000000000000004">
      <c r="M427" s="413"/>
      <c r="N427" s="413"/>
      <c r="O427" s="413"/>
      <c r="P427" s="413"/>
      <c r="Q427" s="413"/>
    </row>
    <row r="428" spans="13:17" x14ac:dyDescent="0.55000000000000004">
      <c r="M428" s="413"/>
      <c r="N428" s="413"/>
      <c r="O428" s="413"/>
      <c r="P428" s="413"/>
      <c r="Q428" s="413"/>
    </row>
    <row r="429" spans="13:17" x14ac:dyDescent="0.55000000000000004">
      <c r="M429" s="413"/>
      <c r="N429" s="413"/>
      <c r="O429" s="413"/>
      <c r="P429" s="413"/>
      <c r="Q429" s="413"/>
    </row>
    <row r="430" spans="13:17" x14ac:dyDescent="0.55000000000000004">
      <c r="M430" s="413"/>
      <c r="N430" s="413"/>
      <c r="O430" s="413"/>
      <c r="P430" s="413"/>
      <c r="Q430" s="413"/>
    </row>
    <row r="431" spans="13:17" x14ac:dyDescent="0.55000000000000004">
      <c r="M431" s="413"/>
      <c r="N431" s="413"/>
      <c r="O431" s="413"/>
      <c r="P431" s="413"/>
      <c r="Q431" s="413"/>
    </row>
    <row r="432" spans="13:17" x14ac:dyDescent="0.55000000000000004">
      <c r="M432" s="413"/>
      <c r="N432" s="413"/>
      <c r="O432" s="413"/>
      <c r="P432" s="413"/>
      <c r="Q432" s="413"/>
    </row>
    <row r="433" spans="13:17" x14ac:dyDescent="0.55000000000000004">
      <c r="M433" s="413"/>
      <c r="N433" s="413"/>
      <c r="O433" s="413"/>
      <c r="P433" s="413"/>
      <c r="Q433" s="413"/>
    </row>
    <row r="434" spans="13:17" x14ac:dyDescent="0.55000000000000004">
      <c r="M434" s="413"/>
      <c r="N434" s="413"/>
      <c r="O434" s="413"/>
      <c r="P434" s="413"/>
      <c r="Q434" s="413"/>
    </row>
    <row r="435" spans="13:17" x14ac:dyDescent="0.55000000000000004">
      <c r="M435" s="413"/>
      <c r="N435" s="413"/>
      <c r="O435" s="413"/>
      <c r="P435" s="413"/>
      <c r="Q435" s="413"/>
    </row>
    <row r="436" spans="13:17" x14ac:dyDescent="0.55000000000000004">
      <c r="M436" s="413"/>
      <c r="N436" s="413"/>
      <c r="O436" s="413"/>
      <c r="P436" s="413"/>
      <c r="Q436" s="413"/>
    </row>
    <row r="437" spans="13:17" x14ac:dyDescent="0.55000000000000004">
      <c r="M437" s="413"/>
      <c r="N437" s="413"/>
      <c r="O437" s="413"/>
      <c r="P437" s="413"/>
      <c r="Q437" s="413"/>
    </row>
    <row r="438" spans="13:17" x14ac:dyDescent="0.55000000000000004">
      <c r="M438" s="413"/>
      <c r="N438" s="413"/>
      <c r="O438" s="413"/>
      <c r="P438" s="413"/>
      <c r="Q438" s="413"/>
    </row>
    <row r="439" spans="13:17" x14ac:dyDescent="0.55000000000000004">
      <c r="M439" s="413"/>
      <c r="N439" s="413"/>
      <c r="O439" s="413"/>
      <c r="P439" s="413"/>
      <c r="Q439" s="413"/>
    </row>
    <row r="440" spans="13:17" x14ac:dyDescent="0.55000000000000004">
      <c r="M440" s="413"/>
      <c r="N440" s="413"/>
      <c r="O440" s="413"/>
      <c r="P440" s="413"/>
      <c r="Q440" s="413"/>
    </row>
    <row r="441" spans="13:17" x14ac:dyDescent="0.55000000000000004">
      <c r="M441" s="413"/>
      <c r="N441" s="413"/>
      <c r="O441" s="413"/>
      <c r="P441" s="413"/>
      <c r="Q441" s="413"/>
    </row>
    <row r="442" spans="13:17" x14ac:dyDescent="0.55000000000000004">
      <c r="M442" s="413"/>
      <c r="N442" s="413"/>
      <c r="O442" s="413"/>
      <c r="P442" s="413"/>
      <c r="Q442" s="413"/>
    </row>
    <row r="443" spans="13:17" x14ac:dyDescent="0.55000000000000004">
      <c r="M443" s="413"/>
      <c r="N443" s="413"/>
      <c r="O443" s="413"/>
      <c r="P443" s="413"/>
      <c r="Q443" s="413"/>
    </row>
    <row r="444" spans="13:17" x14ac:dyDescent="0.55000000000000004">
      <c r="M444" s="413"/>
      <c r="N444" s="413"/>
      <c r="O444" s="413"/>
      <c r="P444" s="413"/>
      <c r="Q444" s="413"/>
    </row>
    <row r="445" spans="13:17" x14ac:dyDescent="0.55000000000000004">
      <c r="M445" s="413"/>
      <c r="N445" s="413"/>
      <c r="O445" s="413"/>
      <c r="P445" s="413"/>
      <c r="Q445" s="413"/>
    </row>
    <row r="446" spans="13:17" x14ac:dyDescent="0.55000000000000004">
      <c r="M446" s="413"/>
      <c r="N446" s="413"/>
      <c r="O446" s="413"/>
      <c r="P446" s="413"/>
      <c r="Q446" s="413"/>
    </row>
    <row r="447" spans="13:17" x14ac:dyDescent="0.55000000000000004">
      <c r="M447" s="413"/>
      <c r="N447" s="413"/>
      <c r="O447" s="413"/>
      <c r="P447" s="413"/>
      <c r="Q447" s="413"/>
    </row>
    <row r="448" spans="13:17" x14ac:dyDescent="0.55000000000000004">
      <c r="M448" s="413"/>
      <c r="N448" s="413"/>
      <c r="O448" s="413"/>
      <c r="P448" s="413"/>
      <c r="Q448" s="413"/>
    </row>
    <row r="449" spans="13:17" x14ac:dyDescent="0.55000000000000004">
      <c r="M449" s="413"/>
      <c r="N449" s="413"/>
      <c r="O449" s="413"/>
      <c r="P449" s="413"/>
      <c r="Q449" s="413"/>
    </row>
    <row r="450" spans="13:17" x14ac:dyDescent="0.55000000000000004">
      <c r="M450" s="413"/>
      <c r="N450" s="413"/>
      <c r="O450" s="413"/>
      <c r="P450" s="413"/>
      <c r="Q450" s="413"/>
    </row>
    <row r="451" spans="13:17" x14ac:dyDescent="0.55000000000000004">
      <c r="M451" s="413"/>
      <c r="N451" s="413"/>
      <c r="O451" s="413"/>
      <c r="P451" s="413"/>
      <c r="Q451" s="413"/>
    </row>
    <row r="452" spans="13:17" x14ac:dyDescent="0.55000000000000004">
      <c r="M452" s="413"/>
      <c r="N452" s="413"/>
      <c r="O452" s="413"/>
      <c r="P452" s="413"/>
      <c r="Q452" s="413"/>
    </row>
    <row r="453" spans="13:17" x14ac:dyDescent="0.55000000000000004">
      <c r="M453" s="413"/>
      <c r="N453" s="413"/>
      <c r="O453" s="413"/>
      <c r="P453" s="413"/>
      <c r="Q453" s="413"/>
    </row>
    <row r="454" spans="13:17" x14ac:dyDescent="0.55000000000000004">
      <c r="M454" s="413"/>
      <c r="N454" s="413"/>
      <c r="O454" s="413"/>
      <c r="P454" s="413"/>
      <c r="Q454" s="413"/>
    </row>
    <row r="455" spans="13:17" x14ac:dyDescent="0.55000000000000004">
      <c r="M455" s="413"/>
      <c r="N455" s="413"/>
      <c r="O455" s="413"/>
      <c r="P455" s="413"/>
      <c r="Q455" s="413"/>
    </row>
    <row r="456" spans="13:17" x14ac:dyDescent="0.55000000000000004">
      <c r="M456" s="413"/>
      <c r="N456" s="413"/>
      <c r="O456" s="413"/>
      <c r="P456" s="413"/>
      <c r="Q456" s="413"/>
    </row>
    <row r="457" spans="13:17" x14ac:dyDescent="0.55000000000000004">
      <c r="M457" s="413"/>
      <c r="N457" s="413"/>
      <c r="O457" s="413"/>
      <c r="P457" s="413"/>
      <c r="Q457" s="413"/>
    </row>
    <row r="458" spans="13:17" x14ac:dyDescent="0.55000000000000004">
      <c r="M458" s="413"/>
      <c r="N458" s="413"/>
      <c r="O458" s="413"/>
      <c r="P458" s="413"/>
      <c r="Q458" s="413"/>
    </row>
    <row r="459" spans="13:17" x14ac:dyDescent="0.55000000000000004">
      <c r="M459" s="413"/>
      <c r="N459" s="413"/>
      <c r="O459" s="413"/>
      <c r="P459" s="413"/>
      <c r="Q459" s="413"/>
    </row>
    <row r="460" spans="13:17" x14ac:dyDescent="0.55000000000000004">
      <c r="M460" s="413"/>
      <c r="N460" s="413"/>
      <c r="O460" s="413"/>
      <c r="P460" s="413"/>
      <c r="Q460" s="413"/>
    </row>
    <row r="461" spans="13:17" x14ac:dyDescent="0.55000000000000004">
      <c r="M461" s="413"/>
      <c r="N461" s="413"/>
      <c r="O461" s="413"/>
      <c r="P461" s="413"/>
      <c r="Q461" s="413"/>
    </row>
    <row r="462" spans="13:17" x14ac:dyDescent="0.55000000000000004">
      <c r="M462" s="413"/>
      <c r="N462" s="413"/>
      <c r="O462" s="413"/>
      <c r="P462" s="413"/>
      <c r="Q462" s="413"/>
    </row>
    <row r="463" spans="13:17" x14ac:dyDescent="0.55000000000000004">
      <c r="M463" s="413"/>
      <c r="N463" s="413"/>
      <c r="O463" s="413"/>
      <c r="P463" s="413"/>
      <c r="Q463" s="413"/>
    </row>
    <row r="464" spans="13:17" x14ac:dyDescent="0.55000000000000004">
      <c r="M464" s="413"/>
      <c r="N464" s="413"/>
      <c r="O464" s="413"/>
      <c r="P464" s="413"/>
      <c r="Q464" s="413"/>
    </row>
    <row r="465" spans="13:17" x14ac:dyDescent="0.55000000000000004">
      <c r="M465" s="413"/>
      <c r="N465" s="413"/>
      <c r="O465" s="413"/>
      <c r="P465" s="413"/>
      <c r="Q465" s="413"/>
    </row>
    <row r="466" spans="13:17" x14ac:dyDescent="0.55000000000000004">
      <c r="M466" s="413"/>
      <c r="N466" s="413"/>
      <c r="O466" s="413"/>
      <c r="P466" s="413"/>
      <c r="Q466" s="413"/>
    </row>
    <row r="467" spans="13:17" x14ac:dyDescent="0.55000000000000004">
      <c r="M467" s="413"/>
      <c r="N467" s="413"/>
      <c r="O467" s="413"/>
      <c r="P467" s="413"/>
      <c r="Q467" s="413"/>
    </row>
    <row r="468" spans="13:17" x14ac:dyDescent="0.55000000000000004">
      <c r="M468" s="413"/>
      <c r="N468" s="413"/>
      <c r="O468" s="413"/>
      <c r="P468" s="413"/>
      <c r="Q468" s="413"/>
    </row>
    <row r="469" spans="13:17" x14ac:dyDescent="0.55000000000000004">
      <c r="M469" s="413"/>
      <c r="N469" s="413"/>
      <c r="O469" s="413"/>
      <c r="P469" s="413"/>
      <c r="Q469" s="413"/>
    </row>
    <row r="470" spans="13:17" x14ac:dyDescent="0.55000000000000004">
      <c r="M470" s="413"/>
      <c r="N470" s="413"/>
      <c r="O470" s="413"/>
      <c r="P470" s="413"/>
      <c r="Q470" s="413"/>
    </row>
    <row r="471" spans="13:17" x14ac:dyDescent="0.55000000000000004">
      <c r="M471" s="413"/>
      <c r="N471" s="413"/>
      <c r="O471" s="413"/>
      <c r="P471" s="413"/>
      <c r="Q471" s="413"/>
    </row>
    <row r="472" spans="13:17" x14ac:dyDescent="0.55000000000000004">
      <c r="M472" s="413"/>
      <c r="N472" s="413"/>
      <c r="O472" s="413"/>
      <c r="P472" s="413"/>
      <c r="Q472" s="413"/>
    </row>
    <row r="473" spans="13:17" x14ac:dyDescent="0.55000000000000004">
      <c r="M473" s="413"/>
      <c r="N473" s="413"/>
      <c r="O473" s="413"/>
      <c r="P473" s="413"/>
      <c r="Q473" s="413"/>
    </row>
    <row r="474" spans="13:17" x14ac:dyDescent="0.55000000000000004">
      <c r="M474" s="413"/>
      <c r="N474" s="413"/>
      <c r="O474" s="413"/>
      <c r="P474" s="413"/>
      <c r="Q474" s="413"/>
    </row>
    <row r="475" spans="13:17" x14ac:dyDescent="0.55000000000000004">
      <c r="M475" s="413"/>
      <c r="N475" s="413"/>
      <c r="O475" s="413"/>
      <c r="P475" s="413"/>
      <c r="Q475" s="413"/>
    </row>
    <row r="476" spans="13:17" x14ac:dyDescent="0.55000000000000004">
      <c r="M476" s="413"/>
      <c r="N476" s="413"/>
      <c r="O476" s="413"/>
      <c r="P476" s="413"/>
      <c r="Q476" s="413"/>
    </row>
    <row r="477" spans="13:17" x14ac:dyDescent="0.55000000000000004">
      <c r="M477" s="413"/>
      <c r="N477" s="413"/>
      <c r="O477" s="413"/>
      <c r="P477" s="413"/>
      <c r="Q477" s="413"/>
    </row>
    <row r="478" spans="13:17" x14ac:dyDescent="0.55000000000000004">
      <c r="M478" s="413"/>
      <c r="N478" s="413"/>
      <c r="O478" s="413"/>
      <c r="P478" s="413"/>
      <c r="Q478" s="413"/>
    </row>
    <row r="479" spans="13:17" x14ac:dyDescent="0.55000000000000004">
      <c r="M479" s="413"/>
      <c r="N479" s="413"/>
      <c r="O479" s="413"/>
      <c r="P479" s="413"/>
      <c r="Q479" s="413"/>
    </row>
    <row r="480" spans="13:17" x14ac:dyDescent="0.55000000000000004">
      <c r="M480" s="413"/>
      <c r="N480" s="413"/>
      <c r="O480" s="413"/>
      <c r="P480" s="413"/>
      <c r="Q480" s="413"/>
    </row>
    <row r="481" spans="13:17" x14ac:dyDescent="0.55000000000000004">
      <c r="M481" s="413"/>
      <c r="N481" s="413"/>
      <c r="O481" s="413"/>
      <c r="P481" s="413"/>
      <c r="Q481" s="413"/>
    </row>
    <row r="482" spans="13:17" x14ac:dyDescent="0.55000000000000004">
      <c r="M482" s="413"/>
      <c r="N482" s="413"/>
      <c r="O482" s="413"/>
      <c r="P482" s="413"/>
      <c r="Q482" s="413"/>
    </row>
    <row r="483" spans="13:17" x14ac:dyDescent="0.55000000000000004">
      <c r="M483" s="413"/>
      <c r="N483" s="413"/>
      <c r="O483" s="413"/>
      <c r="P483" s="413"/>
      <c r="Q483" s="413"/>
    </row>
    <row r="484" spans="13:17" x14ac:dyDescent="0.55000000000000004">
      <c r="M484" s="413"/>
      <c r="N484" s="413"/>
      <c r="O484" s="413"/>
      <c r="P484" s="413"/>
      <c r="Q484" s="413"/>
    </row>
    <row r="485" spans="13:17" x14ac:dyDescent="0.55000000000000004">
      <c r="M485" s="413"/>
      <c r="N485" s="413"/>
      <c r="O485" s="413"/>
      <c r="P485" s="413"/>
      <c r="Q485" s="413"/>
    </row>
    <row r="486" spans="13:17" x14ac:dyDescent="0.55000000000000004">
      <c r="M486" s="413"/>
      <c r="N486" s="413"/>
      <c r="O486" s="413"/>
      <c r="P486" s="413"/>
      <c r="Q486" s="413"/>
    </row>
    <row r="487" spans="13:17" x14ac:dyDescent="0.55000000000000004">
      <c r="M487" s="413"/>
      <c r="N487" s="413"/>
      <c r="O487" s="413"/>
      <c r="P487" s="413"/>
      <c r="Q487" s="413"/>
    </row>
    <row r="488" spans="13:17" x14ac:dyDescent="0.55000000000000004">
      <c r="M488" s="413"/>
      <c r="N488" s="413"/>
      <c r="O488" s="413"/>
      <c r="P488" s="413"/>
      <c r="Q488" s="413"/>
    </row>
    <row r="489" spans="13:17" x14ac:dyDescent="0.55000000000000004">
      <c r="M489" s="413"/>
      <c r="N489" s="413"/>
      <c r="O489" s="413"/>
      <c r="P489" s="413"/>
      <c r="Q489" s="413"/>
    </row>
    <row r="490" spans="13:17" x14ac:dyDescent="0.55000000000000004">
      <c r="M490" s="413"/>
      <c r="N490" s="413"/>
      <c r="O490" s="413"/>
      <c r="P490" s="413"/>
      <c r="Q490" s="413"/>
    </row>
    <row r="491" spans="13:17" x14ac:dyDescent="0.55000000000000004">
      <c r="M491" s="413"/>
      <c r="N491" s="413"/>
      <c r="O491" s="413"/>
      <c r="P491" s="413"/>
      <c r="Q491" s="413"/>
    </row>
    <row r="492" spans="13:17" x14ac:dyDescent="0.55000000000000004">
      <c r="M492" s="413"/>
      <c r="N492" s="413"/>
      <c r="O492" s="413"/>
      <c r="P492" s="413"/>
      <c r="Q492" s="413"/>
    </row>
    <row r="493" spans="13:17" x14ac:dyDescent="0.55000000000000004">
      <c r="M493" s="413"/>
      <c r="N493" s="413"/>
      <c r="O493" s="413"/>
      <c r="P493" s="413"/>
      <c r="Q493" s="413"/>
    </row>
    <row r="494" spans="13:17" x14ac:dyDescent="0.55000000000000004">
      <c r="M494" s="413"/>
      <c r="N494" s="413"/>
      <c r="O494" s="413"/>
      <c r="P494" s="413"/>
      <c r="Q494" s="413"/>
    </row>
    <row r="495" spans="13:17" x14ac:dyDescent="0.55000000000000004">
      <c r="M495" s="413"/>
      <c r="N495" s="413"/>
      <c r="O495" s="413"/>
      <c r="P495" s="413"/>
      <c r="Q495" s="413"/>
    </row>
    <row r="496" spans="13:17" x14ac:dyDescent="0.55000000000000004">
      <c r="M496" s="413"/>
      <c r="N496" s="413"/>
      <c r="O496" s="413"/>
      <c r="P496" s="413"/>
      <c r="Q496" s="413"/>
    </row>
    <row r="497" spans="13:17" x14ac:dyDescent="0.55000000000000004">
      <c r="M497" s="413"/>
      <c r="N497" s="413"/>
      <c r="O497" s="413"/>
      <c r="P497" s="413"/>
      <c r="Q497" s="413"/>
    </row>
    <row r="498" spans="13:17" x14ac:dyDescent="0.55000000000000004">
      <c r="M498" s="413"/>
      <c r="N498" s="413"/>
      <c r="O498" s="413"/>
      <c r="P498" s="413"/>
      <c r="Q498" s="413"/>
    </row>
    <row r="499" spans="13:17" x14ac:dyDescent="0.55000000000000004">
      <c r="M499" s="413"/>
      <c r="N499" s="413"/>
      <c r="O499" s="413"/>
      <c r="P499" s="413"/>
      <c r="Q499" s="413"/>
    </row>
    <row r="500" spans="13:17" x14ac:dyDescent="0.55000000000000004">
      <c r="M500" s="413"/>
      <c r="N500" s="413"/>
      <c r="O500" s="413"/>
      <c r="P500" s="413"/>
      <c r="Q500" s="413"/>
    </row>
    <row r="501" spans="13:17" x14ac:dyDescent="0.55000000000000004">
      <c r="M501" s="413"/>
      <c r="N501" s="413"/>
      <c r="O501" s="413"/>
      <c r="P501" s="413"/>
      <c r="Q501" s="413"/>
    </row>
    <row r="502" spans="13:17" x14ac:dyDescent="0.55000000000000004">
      <c r="M502" s="413"/>
      <c r="N502" s="413"/>
      <c r="O502" s="413"/>
      <c r="P502" s="413"/>
      <c r="Q502" s="413"/>
    </row>
    <row r="503" spans="13:17" x14ac:dyDescent="0.55000000000000004">
      <c r="M503" s="413"/>
      <c r="N503" s="413"/>
      <c r="O503" s="413"/>
      <c r="P503" s="413"/>
      <c r="Q503" s="413"/>
    </row>
    <row r="504" spans="13:17" x14ac:dyDescent="0.55000000000000004">
      <c r="M504" s="413"/>
      <c r="N504" s="413"/>
      <c r="O504" s="413"/>
      <c r="P504" s="413"/>
      <c r="Q504" s="413"/>
    </row>
    <row r="505" spans="13:17" x14ac:dyDescent="0.55000000000000004">
      <c r="M505" s="413"/>
      <c r="N505" s="413"/>
      <c r="O505" s="413"/>
      <c r="P505" s="413"/>
      <c r="Q505" s="413"/>
    </row>
    <row r="506" spans="13:17" x14ac:dyDescent="0.55000000000000004">
      <c r="M506" s="413"/>
      <c r="N506" s="413"/>
      <c r="O506" s="413"/>
      <c r="P506" s="413"/>
      <c r="Q506" s="413"/>
    </row>
    <row r="507" spans="13:17" x14ac:dyDescent="0.55000000000000004">
      <c r="M507" s="413"/>
      <c r="N507" s="413"/>
      <c r="O507" s="413"/>
      <c r="P507" s="413"/>
      <c r="Q507" s="413"/>
    </row>
    <row r="508" spans="13:17" x14ac:dyDescent="0.55000000000000004">
      <c r="M508" s="413"/>
      <c r="N508" s="413"/>
      <c r="O508" s="413"/>
      <c r="P508" s="413"/>
      <c r="Q508" s="413"/>
    </row>
    <row r="509" spans="13:17" x14ac:dyDescent="0.55000000000000004">
      <c r="M509" s="413"/>
      <c r="N509" s="413"/>
      <c r="O509" s="413"/>
      <c r="P509" s="413"/>
      <c r="Q509" s="413"/>
    </row>
    <row r="510" spans="13:17" x14ac:dyDescent="0.55000000000000004">
      <c r="M510" s="413"/>
      <c r="N510" s="413"/>
      <c r="O510" s="413"/>
      <c r="P510" s="413"/>
      <c r="Q510" s="413"/>
    </row>
    <row r="511" spans="13:17" x14ac:dyDescent="0.55000000000000004">
      <c r="M511" s="413"/>
      <c r="N511" s="413"/>
      <c r="O511" s="413"/>
      <c r="P511" s="413"/>
      <c r="Q511" s="413"/>
    </row>
    <row r="512" spans="13:17" x14ac:dyDescent="0.55000000000000004">
      <c r="M512" s="413"/>
      <c r="N512" s="413"/>
      <c r="O512" s="413"/>
      <c r="P512" s="413"/>
      <c r="Q512" s="413"/>
    </row>
    <row r="513" spans="13:17" x14ac:dyDescent="0.55000000000000004">
      <c r="M513" s="413"/>
      <c r="N513" s="413"/>
      <c r="O513" s="413"/>
      <c r="P513" s="413"/>
      <c r="Q513" s="413"/>
    </row>
    <row r="514" spans="13:17" x14ac:dyDescent="0.55000000000000004">
      <c r="M514" s="413"/>
      <c r="N514" s="413"/>
      <c r="O514" s="413"/>
      <c r="P514" s="413"/>
      <c r="Q514" s="413"/>
    </row>
    <row r="515" spans="13:17" x14ac:dyDescent="0.55000000000000004">
      <c r="M515" s="413"/>
      <c r="N515" s="413"/>
      <c r="O515" s="413"/>
      <c r="P515" s="413"/>
      <c r="Q515" s="413"/>
    </row>
    <row r="516" spans="13:17" x14ac:dyDescent="0.55000000000000004">
      <c r="M516" s="413"/>
      <c r="N516" s="413"/>
      <c r="O516" s="413"/>
      <c r="P516" s="413"/>
      <c r="Q516" s="413"/>
    </row>
    <row r="517" spans="13:17" x14ac:dyDescent="0.55000000000000004">
      <c r="M517" s="413"/>
      <c r="N517" s="413"/>
      <c r="O517" s="413"/>
      <c r="P517" s="413"/>
      <c r="Q517" s="413"/>
    </row>
    <row r="518" spans="13:17" x14ac:dyDescent="0.55000000000000004">
      <c r="M518" s="413"/>
      <c r="N518" s="413"/>
      <c r="O518" s="413"/>
      <c r="P518" s="413"/>
      <c r="Q518" s="413"/>
    </row>
    <row r="519" spans="13:17" x14ac:dyDescent="0.55000000000000004">
      <c r="M519" s="413"/>
      <c r="N519" s="413"/>
      <c r="O519" s="413"/>
      <c r="P519" s="413"/>
      <c r="Q519" s="413"/>
    </row>
    <row r="520" spans="13:17" x14ac:dyDescent="0.55000000000000004">
      <c r="M520" s="413"/>
      <c r="N520" s="413"/>
      <c r="O520" s="413"/>
      <c r="P520" s="413"/>
      <c r="Q520" s="413"/>
    </row>
    <row r="521" spans="13:17" x14ac:dyDescent="0.55000000000000004">
      <c r="M521" s="413"/>
      <c r="N521" s="413"/>
      <c r="O521" s="413"/>
      <c r="P521" s="413"/>
      <c r="Q521" s="413"/>
    </row>
    <row r="522" spans="13:17" x14ac:dyDescent="0.55000000000000004">
      <c r="M522" s="413"/>
      <c r="N522" s="413"/>
      <c r="O522" s="413"/>
      <c r="P522" s="413"/>
      <c r="Q522" s="413"/>
    </row>
    <row r="523" spans="13:17" x14ac:dyDescent="0.55000000000000004">
      <c r="M523" s="413"/>
      <c r="N523" s="413"/>
      <c r="O523" s="413"/>
      <c r="P523" s="413"/>
      <c r="Q523" s="413"/>
    </row>
    <row r="524" spans="13:17" x14ac:dyDescent="0.55000000000000004">
      <c r="M524" s="413"/>
      <c r="N524" s="413"/>
      <c r="O524" s="413"/>
      <c r="P524" s="413"/>
      <c r="Q524" s="413"/>
    </row>
    <row r="525" spans="13:17" x14ac:dyDescent="0.55000000000000004">
      <c r="M525" s="413"/>
      <c r="N525" s="413"/>
      <c r="O525" s="413"/>
      <c r="P525" s="413"/>
      <c r="Q525" s="413"/>
    </row>
    <row r="526" spans="13:17" x14ac:dyDescent="0.55000000000000004">
      <c r="M526" s="413"/>
      <c r="N526" s="413"/>
      <c r="O526" s="413"/>
      <c r="P526" s="413"/>
      <c r="Q526" s="413"/>
    </row>
    <row r="527" spans="13:17" x14ac:dyDescent="0.55000000000000004">
      <c r="M527" s="413"/>
      <c r="N527" s="413"/>
      <c r="O527" s="413"/>
      <c r="P527" s="413"/>
      <c r="Q527" s="413"/>
    </row>
    <row r="528" spans="13:17" x14ac:dyDescent="0.55000000000000004">
      <c r="M528" s="413"/>
      <c r="N528" s="413"/>
      <c r="O528" s="413"/>
      <c r="P528" s="413"/>
      <c r="Q528" s="413"/>
    </row>
    <row r="529" spans="13:17" x14ac:dyDescent="0.55000000000000004">
      <c r="M529" s="413"/>
      <c r="N529" s="413"/>
      <c r="O529" s="413"/>
      <c r="P529" s="413"/>
      <c r="Q529" s="413"/>
    </row>
    <row r="530" spans="13:17" x14ac:dyDescent="0.55000000000000004">
      <c r="M530" s="413"/>
      <c r="N530" s="413"/>
      <c r="O530" s="413"/>
      <c r="P530" s="413"/>
      <c r="Q530" s="413"/>
    </row>
    <row r="531" spans="13:17" x14ac:dyDescent="0.55000000000000004">
      <c r="M531" s="413"/>
      <c r="N531" s="413"/>
      <c r="O531" s="413"/>
      <c r="P531" s="413"/>
      <c r="Q531" s="413"/>
    </row>
    <row r="532" spans="13:17" x14ac:dyDescent="0.55000000000000004">
      <c r="M532" s="413"/>
      <c r="N532" s="413"/>
      <c r="O532" s="413"/>
      <c r="P532" s="413"/>
      <c r="Q532" s="413"/>
    </row>
    <row r="533" spans="13:17" x14ac:dyDescent="0.55000000000000004">
      <c r="M533" s="413"/>
      <c r="N533" s="413"/>
      <c r="O533" s="413"/>
      <c r="P533" s="413"/>
      <c r="Q533" s="413"/>
    </row>
    <row r="534" spans="13:17" x14ac:dyDescent="0.55000000000000004">
      <c r="M534" s="413"/>
      <c r="N534" s="413"/>
      <c r="O534" s="413"/>
      <c r="P534" s="413"/>
      <c r="Q534" s="413"/>
    </row>
    <row r="535" spans="13:17" x14ac:dyDescent="0.55000000000000004">
      <c r="M535" s="413"/>
      <c r="N535" s="413"/>
      <c r="O535" s="413"/>
      <c r="P535" s="413"/>
      <c r="Q535" s="413"/>
    </row>
    <row r="536" spans="13:17" x14ac:dyDescent="0.55000000000000004">
      <c r="M536" s="413"/>
      <c r="N536" s="413"/>
      <c r="O536" s="413"/>
      <c r="P536" s="413"/>
      <c r="Q536" s="413"/>
    </row>
    <row r="537" spans="13:17" x14ac:dyDescent="0.55000000000000004">
      <c r="M537" s="413"/>
      <c r="N537" s="413"/>
      <c r="O537" s="413"/>
      <c r="P537" s="413"/>
      <c r="Q537" s="413"/>
    </row>
    <row r="538" spans="13:17" x14ac:dyDescent="0.55000000000000004">
      <c r="M538" s="413"/>
      <c r="N538" s="413"/>
      <c r="O538" s="413"/>
      <c r="P538" s="413"/>
      <c r="Q538" s="413"/>
    </row>
    <row r="539" spans="13:17" x14ac:dyDescent="0.55000000000000004">
      <c r="M539" s="413"/>
      <c r="N539" s="413"/>
      <c r="O539" s="413"/>
      <c r="P539" s="413"/>
      <c r="Q539" s="413"/>
    </row>
    <row r="540" spans="13:17" x14ac:dyDescent="0.55000000000000004">
      <c r="M540" s="413"/>
      <c r="N540" s="413"/>
      <c r="O540" s="413"/>
      <c r="P540" s="413"/>
      <c r="Q540" s="413"/>
    </row>
    <row r="541" spans="13:17" x14ac:dyDescent="0.55000000000000004">
      <c r="M541" s="413"/>
      <c r="N541" s="413"/>
      <c r="O541" s="413"/>
      <c r="P541" s="413"/>
      <c r="Q541" s="413"/>
    </row>
    <row r="542" spans="13:17" x14ac:dyDescent="0.55000000000000004">
      <c r="M542" s="413"/>
      <c r="N542" s="413"/>
      <c r="O542" s="413"/>
      <c r="P542" s="413"/>
      <c r="Q542" s="413"/>
    </row>
    <row r="543" spans="13:17" x14ac:dyDescent="0.55000000000000004">
      <c r="M543" s="413"/>
      <c r="N543" s="413"/>
      <c r="O543" s="413"/>
      <c r="P543" s="413"/>
      <c r="Q543" s="413"/>
    </row>
    <row r="544" spans="13:17" x14ac:dyDescent="0.55000000000000004">
      <c r="M544" s="413"/>
      <c r="N544" s="413"/>
      <c r="O544" s="413"/>
      <c r="P544" s="413"/>
      <c r="Q544" s="413"/>
    </row>
    <row r="545" spans="13:17" x14ac:dyDescent="0.55000000000000004">
      <c r="M545" s="413"/>
      <c r="N545" s="413"/>
      <c r="O545" s="413"/>
      <c r="P545" s="413"/>
      <c r="Q545" s="413"/>
    </row>
    <row r="546" spans="13:17" x14ac:dyDescent="0.55000000000000004">
      <c r="M546" s="413"/>
      <c r="N546" s="413"/>
      <c r="O546" s="413"/>
      <c r="P546" s="413"/>
      <c r="Q546" s="413"/>
    </row>
    <row r="547" spans="13:17" x14ac:dyDescent="0.55000000000000004">
      <c r="M547" s="413"/>
      <c r="N547" s="413"/>
      <c r="O547" s="413"/>
      <c r="P547" s="413"/>
      <c r="Q547" s="413"/>
    </row>
    <row r="548" spans="13:17" x14ac:dyDescent="0.55000000000000004">
      <c r="M548" s="413"/>
      <c r="N548" s="413"/>
      <c r="O548" s="413"/>
      <c r="P548" s="413"/>
      <c r="Q548" s="413"/>
    </row>
    <row r="549" spans="13:17" x14ac:dyDescent="0.55000000000000004">
      <c r="M549" s="413"/>
      <c r="N549" s="413"/>
      <c r="O549" s="413"/>
      <c r="P549" s="413"/>
      <c r="Q549" s="413"/>
    </row>
    <row r="550" spans="13:17" x14ac:dyDescent="0.55000000000000004">
      <c r="M550" s="413"/>
      <c r="N550" s="413"/>
      <c r="O550" s="413"/>
      <c r="P550" s="413"/>
      <c r="Q550" s="413"/>
    </row>
    <row r="551" spans="13:17" x14ac:dyDescent="0.55000000000000004">
      <c r="M551" s="413"/>
      <c r="N551" s="413"/>
      <c r="O551" s="413"/>
      <c r="P551" s="413"/>
      <c r="Q551" s="413"/>
    </row>
    <row r="552" spans="13:17" x14ac:dyDescent="0.55000000000000004">
      <c r="M552" s="413"/>
      <c r="N552" s="413"/>
      <c r="O552" s="413"/>
      <c r="P552" s="413"/>
      <c r="Q552" s="413"/>
    </row>
    <row r="553" spans="13:17" x14ac:dyDescent="0.55000000000000004">
      <c r="M553" s="413"/>
      <c r="N553" s="413"/>
      <c r="O553" s="413"/>
      <c r="P553" s="413"/>
      <c r="Q553" s="413"/>
    </row>
    <row r="554" spans="13:17" x14ac:dyDescent="0.55000000000000004">
      <c r="M554" s="413"/>
      <c r="N554" s="413"/>
      <c r="O554" s="413"/>
      <c r="P554" s="413"/>
      <c r="Q554" s="413"/>
    </row>
    <row r="555" spans="13:17" x14ac:dyDescent="0.55000000000000004">
      <c r="M555" s="413"/>
      <c r="N555" s="413"/>
      <c r="O555" s="413"/>
      <c r="P555" s="413"/>
      <c r="Q555" s="413"/>
    </row>
    <row r="556" spans="13:17" x14ac:dyDescent="0.55000000000000004">
      <c r="M556" s="413"/>
      <c r="N556" s="413"/>
      <c r="O556" s="413"/>
      <c r="P556" s="413"/>
      <c r="Q556" s="413"/>
    </row>
    <row r="557" spans="13:17" x14ac:dyDescent="0.55000000000000004">
      <c r="M557" s="413"/>
      <c r="N557" s="413"/>
      <c r="O557" s="413"/>
      <c r="P557" s="413"/>
      <c r="Q557" s="413"/>
    </row>
    <row r="558" spans="13:17" x14ac:dyDescent="0.55000000000000004">
      <c r="M558" s="413"/>
      <c r="N558" s="413"/>
      <c r="O558" s="413"/>
      <c r="P558" s="413"/>
      <c r="Q558" s="413"/>
    </row>
    <row r="559" spans="13:17" x14ac:dyDescent="0.55000000000000004">
      <c r="M559" s="413"/>
      <c r="N559" s="413"/>
      <c r="O559" s="413"/>
      <c r="P559" s="413"/>
      <c r="Q559" s="413"/>
    </row>
    <row r="560" spans="13:17" x14ac:dyDescent="0.55000000000000004">
      <c r="M560" s="413"/>
      <c r="N560" s="413"/>
      <c r="O560" s="413"/>
      <c r="P560" s="413"/>
      <c r="Q560" s="413"/>
    </row>
    <row r="561" spans="13:17" x14ac:dyDescent="0.55000000000000004">
      <c r="M561" s="413"/>
      <c r="N561" s="413"/>
      <c r="O561" s="413"/>
      <c r="P561" s="413"/>
      <c r="Q561" s="413"/>
    </row>
    <row r="562" spans="13:17" x14ac:dyDescent="0.55000000000000004">
      <c r="M562" s="413"/>
      <c r="N562" s="413"/>
      <c r="O562" s="413"/>
      <c r="P562" s="413"/>
      <c r="Q562" s="413"/>
    </row>
    <row r="563" spans="13:17" x14ac:dyDescent="0.55000000000000004">
      <c r="M563" s="413"/>
      <c r="N563" s="413"/>
      <c r="O563" s="413"/>
      <c r="P563" s="413"/>
      <c r="Q563" s="413"/>
    </row>
    <row r="564" spans="13:17" x14ac:dyDescent="0.55000000000000004">
      <c r="M564" s="413"/>
      <c r="N564" s="413"/>
      <c r="O564" s="413"/>
      <c r="P564" s="413"/>
      <c r="Q564" s="413"/>
    </row>
    <row r="565" spans="13:17" x14ac:dyDescent="0.55000000000000004">
      <c r="M565" s="413"/>
      <c r="N565" s="413"/>
      <c r="O565" s="413"/>
      <c r="P565" s="413"/>
      <c r="Q565" s="413"/>
    </row>
    <row r="566" spans="13:17" x14ac:dyDescent="0.55000000000000004">
      <c r="M566" s="413"/>
      <c r="N566" s="413"/>
      <c r="O566" s="413"/>
      <c r="P566" s="413"/>
      <c r="Q566" s="413"/>
    </row>
    <row r="567" spans="13:17" x14ac:dyDescent="0.55000000000000004">
      <c r="M567" s="413"/>
      <c r="N567" s="413"/>
      <c r="O567" s="413"/>
      <c r="P567" s="413"/>
      <c r="Q567" s="413"/>
    </row>
    <row r="568" spans="13:17" x14ac:dyDescent="0.55000000000000004">
      <c r="M568" s="413"/>
      <c r="N568" s="413"/>
      <c r="O568" s="413"/>
      <c r="P568" s="413"/>
      <c r="Q568" s="413"/>
    </row>
    <row r="569" spans="13:17" x14ac:dyDescent="0.55000000000000004">
      <c r="M569" s="413"/>
      <c r="N569" s="413"/>
      <c r="O569" s="413"/>
      <c r="P569" s="413"/>
      <c r="Q569" s="413"/>
    </row>
    <row r="570" spans="13:17" x14ac:dyDescent="0.55000000000000004">
      <c r="M570" s="413"/>
      <c r="N570" s="413"/>
      <c r="O570" s="413"/>
      <c r="P570" s="413"/>
      <c r="Q570" s="413"/>
    </row>
    <row r="571" spans="13:17" x14ac:dyDescent="0.55000000000000004">
      <c r="M571" s="413"/>
      <c r="N571" s="413"/>
      <c r="O571" s="413"/>
      <c r="P571" s="413"/>
      <c r="Q571" s="413"/>
    </row>
    <row r="572" spans="13:17" x14ac:dyDescent="0.55000000000000004">
      <c r="M572" s="413"/>
      <c r="N572" s="413"/>
      <c r="O572" s="413"/>
      <c r="P572" s="413"/>
      <c r="Q572" s="413"/>
    </row>
    <row r="573" spans="13:17" x14ac:dyDescent="0.55000000000000004">
      <c r="M573" s="413"/>
      <c r="N573" s="413"/>
      <c r="O573" s="413"/>
      <c r="P573" s="413"/>
      <c r="Q573" s="413"/>
    </row>
    <row r="574" spans="13:17" x14ac:dyDescent="0.55000000000000004">
      <c r="M574" s="413"/>
      <c r="N574" s="413"/>
      <c r="O574" s="413"/>
      <c r="P574" s="413"/>
      <c r="Q574" s="413"/>
    </row>
    <row r="575" spans="13:17" x14ac:dyDescent="0.55000000000000004">
      <c r="M575" s="413"/>
      <c r="N575" s="413"/>
      <c r="O575" s="413"/>
      <c r="P575" s="413"/>
      <c r="Q575" s="413"/>
    </row>
    <row r="576" spans="13:17" x14ac:dyDescent="0.55000000000000004">
      <c r="M576" s="413"/>
      <c r="N576" s="413"/>
      <c r="O576" s="413"/>
      <c r="P576" s="413"/>
      <c r="Q576" s="413"/>
    </row>
    <row r="577" spans="13:17" x14ac:dyDescent="0.55000000000000004">
      <c r="M577" s="413"/>
      <c r="N577" s="413"/>
      <c r="O577" s="413"/>
      <c r="P577" s="413"/>
      <c r="Q577" s="413"/>
    </row>
    <row r="578" spans="13:17" x14ac:dyDescent="0.55000000000000004">
      <c r="M578" s="413"/>
      <c r="N578" s="413"/>
      <c r="O578" s="413"/>
      <c r="P578" s="413"/>
      <c r="Q578" s="413"/>
    </row>
    <row r="579" spans="13:17" x14ac:dyDescent="0.55000000000000004">
      <c r="M579" s="413"/>
      <c r="N579" s="413"/>
      <c r="O579" s="413"/>
      <c r="P579" s="413"/>
      <c r="Q579" s="413"/>
    </row>
    <row r="580" spans="13:17" x14ac:dyDescent="0.55000000000000004">
      <c r="M580" s="413"/>
      <c r="N580" s="413"/>
      <c r="O580" s="413"/>
      <c r="P580" s="413"/>
      <c r="Q580" s="413"/>
    </row>
    <row r="581" spans="13:17" x14ac:dyDescent="0.55000000000000004">
      <c r="M581" s="413"/>
      <c r="N581" s="413"/>
      <c r="O581" s="413"/>
      <c r="P581" s="413"/>
      <c r="Q581" s="413"/>
    </row>
    <row r="582" spans="13:17" x14ac:dyDescent="0.55000000000000004">
      <c r="M582" s="413"/>
      <c r="N582" s="413"/>
      <c r="O582" s="413"/>
      <c r="P582" s="413"/>
      <c r="Q582" s="413"/>
    </row>
    <row r="583" spans="13:17" x14ac:dyDescent="0.55000000000000004">
      <c r="M583" s="413"/>
      <c r="N583" s="413"/>
      <c r="O583" s="413"/>
      <c r="P583" s="413"/>
      <c r="Q583" s="413"/>
    </row>
    <row r="584" spans="13:17" x14ac:dyDescent="0.55000000000000004">
      <c r="M584" s="413"/>
      <c r="N584" s="413"/>
      <c r="O584" s="413"/>
      <c r="P584" s="413"/>
      <c r="Q584" s="413"/>
    </row>
    <row r="585" spans="13:17" x14ac:dyDescent="0.55000000000000004">
      <c r="M585" s="413"/>
      <c r="N585" s="413"/>
      <c r="O585" s="413"/>
      <c r="P585" s="413"/>
      <c r="Q585" s="413"/>
    </row>
    <row r="586" spans="13:17" x14ac:dyDescent="0.55000000000000004">
      <c r="M586" s="413"/>
      <c r="N586" s="413"/>
      <c r="O586" s="413"/>
      <c r="P586" s="413"/>
      <c r="Q586" s="413"/>
    </row>
    <row r="587" spans="13:17" x14ac:dyDescent="0.55000000000000004">
      <c r="M587" s="413"/>
      <c r="N587" s="413"/>
      <c r="O587" s="413"/>
      <c r="P587" s="413"/>
      <c r="Q587" s="413"/>
    </row>
    <row r="588" spans="13:17" x14ac:dyDescent="0.55000000000000004">
      <c r="M588" s="413"/>
      <c r="N588" s="413"/>
      <c r="O588" s="413"/>
      <c r="P588" s="413"/>
      <c r="Q588" s="413"/>
    </row>
    <row r="589" spans="13:17" x14ac:dyDescent="0.55000000000000004">
      <c r="M589" s="413"/>
      <c r="N589" s="413"/>
      <c r="O589" s="413"/>
      <c r="P589" s="413"/>
      <c r="Q589" s="413"/>
    </row>
    <row r="590" spans="13:17" x14ac:dyDescent="0.55000000000000004">
      <c r="M590" s="413"/>
      <c r="N590" s="413"/>
      <c r="O590" s="413"/>
      <c r="P590" s="413"/>
      <c r="Q590" s="413"/>
    </row>
    <row r="591" spans="13:17" x14ac:dyDescent="0.55000000000000004">
      <c r="M591" s="413"/>
      <c r="N591" s="413"/>
      <c r="O591" s="413"/>
      <c r="P591" s="413"/>
      <c r="Q591" s="413"/>
    </row>
    <row r="592" spans="13:17" x14ac:dyDescent="0.55000000000000004">
      <c r="M592" s="413"/>
      <c r="N592" s="413"/>
      <c r="O592" s="413"/>
      <c r="P592" s="413"/>
      <c r="Q592" s="413"/>
    </row>
    <row r="593" spans="13:17" x14ac:dyDescent="0.55000000000000004">
      <c r="M593" s="413"/>
      <c r="N593" s="413"/>
      <c r="O593" s="413"/>
      <c r="P593" s="413"/>
      <c r="Q593" s="413"/>
    </row>
    <row r="594" spans="13:17" x14ac:dyDescent="0.55000000000000004">
      <c r="M594" s="413"/>
      <c r="N594" s="413"/>
      <c r="O594" s="413"/>
      <c r="P594" s="413"/>
      <c r="Q594" s="413"/>
    </row>
    <row r="595" spans="13:17" x14ac:dyDescent="0.55000000000000004">
      <c r="M595" s="413"/>
      <c r="N595" s="413"/>
      <c r="O595" s="413"/>
      <c r="P595" s="413"/>
      <c r="Q595" s="413"/>
    </row>
    <row r="596" spans="13:17" x14ac:dyDescent="0.55000000000000004">
      <c r="M596" s="413"/>
      <c r="N596" s="413"/>
      <c r="O596" s="413"/>
      <c r="P596" s="413"/>
      <c r="Q596" s="413"/>
    </row>
    <row r="597" spans="13:17" x14ac:dyDescent="0.55000000000000004">
      <c r="M597" s="413"/>
      <c r="N597" s="413"/>
      <c r="O597" s="413"/>
      <c r="P597" s="413"/>
      <c r="Q597" s="413"/>
    </row>
    <row r="598" spans="13:17" x14ac:dyDescent="0.55000000000000004">
      <c r="M598" s="413"/>
      <c r="N598" s="413"/>
      <c r="O598" s="413"/>
      <c r="P598" s="413"/>
      <c r="Q598" s="413"/>
    </row>
    <row r="599" spans="13:17" x14ac:dyDescent="0.55000000000000004">
      <c r="M599" s="413"/>
      <c r="N599" s="413"/>
      <c r="O599" s="413"/>
      <c r="P599" s="413"/>
      <c r="Q599" s="413"/>
    </row>
    <row r="600" spans="13:17" x14ac:dyDescent="0.55000000000000004">
      <c r="M600" s="413"/>
      <c r="N600" s="413"/>
      <c r="O600" s="413"/>
      <c r="P600" s="413"/>
      <c r="Q600" s="413"/>
    </row>
    <row r="601" spans="13:17" x14ac:dyDescent="0.55000000000000004">
      <c r="M601" s="413"/>
      <c r="N601" s="413"/>
      <c r="O601" s="413"/>
      <c r="P601" s="413"/>
      <c r="Q601" s="413"/>
    </row>
    <row r="602" spans="13:17" x14ac:dyDescent="0.55000000000000004">
      <c r="M602" s="413"/>
      <c r="N602" s="413"/>
      <c r="O602" s="413"/>
      <c r="P602" s="413"/>
      <c r="Q602" s="413"/>
    </row>
    <row r="603" spans="13:17" x14ac:dyDescent="0.55000000000000004">
      <c r="M603" s="413"/>
      <c r="N603" s="413"/>
      <c r="O603" s="413"/>
      <c r="P603" s="413"/>
      <c r="Q603" s="413"/>
    </row>
    <row r="604" spans="13:17" x14ac:dyDescent="0.55000000000000004">
      <c r="M604" s="413"/>
      <c r="N604" s="413"/>
      <c r="O604" s="413"/>
      <c r="P604" s="413"/>
      <c r="Q604" s="413"/>
    </row>
    <row r="605" spans="13:17" x14ac:dyDescent="0.55000000000000004">
      <c r="M605" s="413"/>
      <c r="N605" s="413"/>
      <c r="O605" s="413"/>
      <c r="P605" s="413"/>
      <c r="Q605" s="413"/>
    </row>
    <row r="606" spans="13:17" x14ac:dyDescent="0.55000000000000004">
      <c r="M606" s="413"/>
      <c r="N606" s="413"/>
      <c r="O606" s="413"/>
      <c r="P606" s="413"/>
      <c r="Q606" s="413"/>
    </row>
    <row r="607" spans="13:17" x14ac:dyDescent="0.55000000000000004">
      <c r="M607" s="413"/>
      <c r="N607" s="413"/>
      <c r="O607" s="413"/>
      <c r="P607" s="413"/>
      <c r="Q607" s="413"/>
    </row>
    <row r="608" spans="13:17" x14ac:dyDescent="0.55000000000000004">
      <c r="M608" s="413"/>
      <c r="N608" s="413"/>
      <c r="O608" s="413"/>
      <c r="P608" s="413"/>
      <c r="Q608" s="413"/>
    </row>
    <row r="609" spans="13:17" x14ac:dyDescent="0.55000000000000004">
      <c r="M609" s="413"/>
      <c r="N609" s="413"/>
      <c r="O609" s="413"/>
      <c r="P609" s="413"/>
      <c r="Q609" s="413"/>
    </row>
    <row r="610" spans="13:17" x14ac:dyDescent="0.55000000000000004">
      <c r="M610" s="413"/>
      <c r="N610" s="413"/>
      <c r="O610" s="413"/>
      <c r="P610" s="413"/>
      <c r="Q610" s="413"/>
    </row>
    <row r="611" spans="13:17" x14ac:dyDescent="0.55000000000000004">
      <c r="M611" s="413"/>
      <c r="N611" s="413"/>
      <c r="O611" s="413"/>
      <c r="P611" s="413"/>
      <c r="Q611" s="413"/>
    </row>
    <row r="612" spans="13:17" x14ac:dyDescent="0.55000000000000004">
      <c r="M612" s="413"/>
      <c r="N612" s="413"/>
      <c r="O612" s="413"/>
      <c r="P612" s="413"/>
      <c r="Q612" s="413"/>
    </row>
    <row r="613" spans="13:17" x14ac:dyDescent="0.55000000000000004">
      <c r="M613" s="413"/>
      <c r="N613" s="413"/>
      <c r="O613" s="413"/>
      <c r="P613" s="413"/>
      <c r="Q613" s="413"/>
    </row>
    <row r="614" spans="13:17" x14ac:dyDescent="0.55000000000000004">
      <c r="M614" s="413"/>
      <c r="N614" s="413"/>
      <c r="O614" s="413"/>
      <c r="P614" s="413"/>
      <c r="Q614" s="413"/>
    </row>
    <row r="615" spans="13:17" x14ac:dyDescent="0.55000000000000004">
      <c r="M615" s="413"/>
      <c r="N615" s="413"/>
      <c r="O615" s="413"/>
      <c r="P615" s="413"/>
      <c r="Q615" s="413"/>
    </row>
    <row r="616" spans="13:17" x14ac:dyDescent="0.55000000000000004">
      <c r="M616" s="413"/>
      <c r="N616" s="413"/>
      <c r="O616" s="413"/>
      <c r="P616" s="413"/>
      <c r="Q616" s="413"/>
    </row>
    <row r="617" spans="13:17" x14ac:dyDescent="0.55000000000000004">
      <c r="M617" s="413"/>
      <c r="N617" s="413"/>
      <c r="O617" s="413"/>
      <c r="P617" s="413"/>
      <c r="Q617" s="413"/>
    </row>
    <row r="618" spans="13:17" x14ac:dyDescent="0.55000000000000004">
      <c r="M618" s="413"/>
      <c r="N618" s="413"/>
      <c r="O618" s="413"/>
      <c r="P618" s="413"/>
      <c r="Q618" s="413"/>
    </row>
    <row r="619" spans="13:17" x14ac:dyDescent="0.55000000000000004">
      <c r="M619" s="413"/>
      <c r="N619" s="413"/>
      <c r="O619" s="413"/>
      <c r="P619" s="413"/>
      <c r="Q619" s="413"/>
    </row>
    <row r="620" spans="13:17" x14ac:dyDescent="0.55000000000000004">
      <c r="M620" s="413"/>
      <c r="N620" s="413"/>
      <c r="O620" s="413"/>
      <c r="P620" s="413"/>
      <c r="Q620" s="413"/>
    </row>
    <row r="621" spans="13:17" x14ac:dyDescent="0.55000000000000004">
      <c r="M621" s="413"/>
      <c r="N621" s="413"/>
      <c r="O621" s="413"/>
      <c r="P621" s="413"/>
      <c r="Q621" s="413"/>
    </row>
    <row r="622" spans="13:17" x14ac:dyDescent="0.55000000000000004">
      <c r="M622" s="413"/>
      <c r="N622" s="413"/>
      <c r="O622" s="413"/>
      <c r="P622" s="413"/>
      <c r="Q622" s="413"/>
    </row>
    <row r="623" spans="13:17" x14ac:dyDescent="0.55000000000000004">
      <c r="M623" s="413"/>
      <c r="N623" s="413"/>
      <c r="O623" s="413"/>
      <c r="P623" s="413"/>
      <c r="Q623" s="413"/>
    </row>
    <row r="624" spans="13:17" x14ac:dyDescent="0.55000000000000004">
      <c r="M624" s="413"/>
      <c r="N624" s="413"/>
      <c r="O624" s="413"/>
      <c r="P624" s="413"/>
      <c r="Q624" s="413"/>
    </row>
    <row r="625" spans="13:17" x14ac:dyDescent="0.55000000000000004">
      <c r="M625" s="413"/>
      <c r="N625" s="413"/>
      <c r="O625" s="413"/>
      <c r="P625" s="413"/>
      <c r="Q625" s="413"/>
    </row>
    <row r="626" spans="13:17" x14ac:dyDescent="0.55000000000000004">
      <c r="M626" s="413"/>
      <c r="N626" s="413"/>
      <c r="O626" s="413"/>
      <c r="P626" s="413"/>
      <c r="Q626" s="413"/>
    </row>
    <row r="627" spans="13:17" x14ac:dyDescent="0.55000000000000004">
      <c r="M627" s="413"/>
      <c r="N627" s="413"/>
      <c r="O627" s="413"/>
      <c r="P627" s="413"/>
      <c r="Q627" s="413"/>
    </row>
    <row r="628" spans="13:17" x14ac:dyDescent="0.55000000000000004">
      <c r="M628" s="413"/>
      <c r="N628" s="413"/>
      <c r="O628" s="413"/>
      <c r="P628" s="413"/>
      <c r="Q628" s="413"/>
    </row>
    <row r="629" spans="13:17" x14ac:dyDescent="0.55000000000000004">
      <c r="M629" s="413"/>
      <c r="N629" s="413"/>
      <c r="O629" s="413"/>
      <c r="P629" s="413"/>
      <c r="Q629" s="413"/>
    </row>
    <row r="630" spans="13:17" x14ac:dyDescent="0.55000000000000004">
      <c r="M630" s="413"/>
      <c r="N630" s="413"/>
      <c r="O630" s="413"/>
      <c r="P630" s="413"/>
      <c r="Q630" s="413"/>
    </row>
    <row r="631" spans="13:17" x14ac:dyDescent="0.55000000000000004">
      <c r="M631" s="413"/>
      <c r="N631" s="413"/>
      <c r="O631" s="413"/>
      <c r="P631" s="413"/>
      <c r="Q631" s="413"/>
    </row>
    <row r="632" spans="13:17" x14ac:dyDescent="0.55000000000000004">
      <c r="M632" s="413"/>
      <c r="N632" s="413"/>
      <c r="O632" s="413"/>
      <c r="P632" s="413"/>
      <c r="Q632" s="413"/>
    </row>
    <row r="633" spans="13:17" x14ac:dyDescent="0.55000000000000004">
      <c r="M633" s="413"/>
      <c r="N633" s="413"/>
      <c r="O633" s="413"/>
      <c r="P633" s="413"/>
      <c r="Q633" s="413"/>
    </row>
    <row r="634" spans="13:17" x14ac:dyDescent="0.55000000000000004">
      <c r="M634" s="413"/>
      <c r="N634" s="413"/>
      <c r="O634" s="413"/>
      <c r="P634" s="413"/>
      <c r="Q634" s="413"/>
    </row>
    <row r="635" spans="13:17" x14ac:dyDescent="0.55000000000000004">
      <c r="M635" s="413"/>
      <c r="N635" s="413"/>
      <c r="O635" s="413"/>
      <c r="P635" s="413"/>
      <c r="Q635" s="413"/>
    </row>
    <row r="636" spans="13:17" x14ac:dyDescent="0.55000000000000004">
      <c r="M636" s="413"/>
      <c r="N636" s="413"/>
      <c r="O636" s="413"/>
      <c r="P636" s="413"/>
      <c r="Q636" s="413"/>
    </row>
    <row r="637" spans="13:17" x14ac:dyDescent="0.55000000000000004">
      <c r="M637" s="413"/>
      <c r="N637" s="413"/>
      <c r="O637" s="413"/>
      <c r="P637" s="413"/>
      <c r="Q637" s="413"/>
    </row>
    <row r="638" spans="13:17" x14ac:dyDescent="0.55000000000000004">
      <c r="M638" s="413"/>
      <c r="N638" s="413"/>
      <c r="O638" s="413"/>
      <c r="P638" s="413"/>
      <c r="Q638" s="413"/>
    </row>
    <row r="639" spans="13:17" x14ac:dyDescent="0.55000000000000004">
      <c r="M639" s="413"/>
      <c r="N639" s="413"/>
      <c r="O639" s="413"/>
      <c r="P639" s="413"/>
      <c r="Q639" s="413"/>
    </row>
    <row r="640" spans="13:17" x14ac:dyDescent="0.55000000000000004">
      <c r="M640" s="413"/>
      <c r="N640" s="413"/>
      <c r="O640" s="413"/>
      <c r="P640" s="413"/>
      <c r="Q640" s="413"/>
    </row>
    <row r="641" spans="13:17" x14ac:dyDescent="0.55000000000000004">
      <c r="M641" s="413"/>
      <c r="N641" s="413"/>
      <c r="O641" s="413"/>
      <c r="P641" s="413"/>
      <c r="Q641" s="413"/>
    </row>
    <row r="642" spans="13:17" x14ac:dyDescent="0.55000000000000004">
      <c r="M642" s="413"/>
      <c r="N642" s="413"/>
      <c r="O642" s="413"/>
      <c r="P642" s="413"/>
      <c r="Q642" s="413"/>
    </row>
    <row r="643" spans="13:17" x14ac:dyDescent="0.55000000000000004">
      <c r="M643" s="413"/>
      <c r="N643" s="413"/>
      <c r="O643" s="413"/>
      <c r="P643" s="413"/>
      <c r="Q643" s="413"/>
    </row>
    <row r="644" spans="13:17" x14ac:dyDescent="0.55000000000000004">
      <c r="M644" s="413"/>
      <c r="N644" s="413"/>
      <c r="O644" s="413"/>
      <c r="P644" s="413"/>
      <c r="Q644" s="413"/>
    </row>
    <row r="645" spans="13:17" x14ac:dyDescent="0.55000000000000004">
      <c r="M645" s="413"/>
      <c r="N645" s="413"/>
      <c r="O645" s="413"/>
      <c r="P645" s="413"/>
      <c r="Q645" s="413"/>
    </row>
    <row r="646" spans="13:17" x14ac:dyDescent="0.55000000000000004">
      <c r="M646" s="413"/>
      <c r="N646" s="413"/>
      <c r="O646" s="413"/>
      <c r="P646" s="413"/>
      <c r="Q646" s="413"/>
    </row>
    <row r="647" spans="13:17" x14ac:dyDescent="0.55000000000000004">
      <c r="M647" s="413"/>
      <c r="N647" s="413"/>
      <c r="O647" s="413"/>
      <c r="P647" s="413"/>
      <c r="Q647" s="413"/>
    </row>
    <row r="648" spans="13:17" x14ac:dyDescent="0.55000000000000004">
      <c r="M648" s="413"/>
      <c r="N648" s="413"/>
      <c r="O648" s="413"/>
      <c r="P648" s="413"/>
      <c r="Q648" s="413"/>
    </row>
    <row r="649" spans="13:17" x14ac:dyDescent="0.55000000000000004">
      <c r="M649" s="413"/>
      <c r="N649" s="413"/>
      <c r="O649" s="413"/>
      <c r="P649" s="413"/>
      <c r="Q649" s="413"/>
    </row>
    <row r="650" spans="13:17" x14ac:dyDescent="0.55000000000000004">
      <c r="M650" s="413"/>
      <c r="N650" s="413"/>
      <c r="O650" s="413"/>
      <c r="P650" s="413"/>
      <c r="Q650" s="413"/>
    </row>
    <row r="651" spans="13:17" x14ac:dyDescent="0.55000000000000004">
      <c r="M651" s="413"/>
      <c r="N651" s="413"/>
      <c r="O651" s="413"/>
      <c r="P651" s="413"/>
      <c r="Q651" s="413"/>
    </row>
    <row r="652" spans="13:17" x14ac:dyDescent="0.55000000000000004">
      <c r="M652" s="413"/>
      <c r="N652" s="413"/>
      <c r="O652" s="413"/>
      <c r="P652" s="413"/>
      <c r="Q652" s="413"/>
    </row>
    <row r="653" spans="13:17" x14ac:dyDescent="0.55000000000000004">
      <c r="M653" s="413"/>
      <c r="N653" s="413"/>
      <c r="O653" s="413"/>
      <c r="P653" s="413"/>
      <c r="Q653" s="413"/>
    </row>
    <row r="654" spans="13:17" x14ac:dyDescent="0.55000000000000004">
      <c r="M654" s="413"/>
      <c r="N654" s="413"/>
      <c r="O654" s="413"/>
      <c r="P654" s="413"/>
      <c r="Q654" s="413"/>
    </row>
    <row r="655" spans="13:17" x14ac:dyDescent="0.55000000000000004">
      <c r="M655" s="413"/>
      <c r="N655" s="413"/>
      <c r="O655" s="413"/>
      <c r="P655" s="413"/>
      <c r="Q655" s="413"/>
    </row>
    <row r="656" spans="13:17" x14ac:dyDescent="0.55000000000000004">
      <c r="M656" s="413"/>
      <c r="N656" s="413"/>
      <c r="O656" s="413"/>
      <c r="P656" s="413"/>
      <c r="Q656" s="413"/>
    </row>
    <row r="657" spans="13:17" x14ac:dyDescent="0.55000000000000004">
      <c r="M657" s="413"/>
      <c r="N657" s="413"/>
      <c r="O657" s="413"/>
      <c r="P657" s="413"/>
      <c r="Q657" s="413"/>
    </row>
    <row r="658" spans="13:17" x14ac:dyDescent="0.55000000000000004">
      <c r="M658" s="413"/>
      <c r="N658" s="413"/>
      <c r="O658" s="413"/>
      <c r="P658" s="413"/>
      <c r="Q658" s="413"/>
    </row>
    <row r="659" spans="13:17" x14ac:dyDescent="0.55000000000000004">
      <c r="M659" s="413"/>
      <c r="N659" s="413"/>
      <c r="O659" s="413"/>
      <c r="P659" s="413"/>
      <c r="Q659" s="413"/>
    </row>
    <row r="660" spans="13:17" x14ac:dyDescent="0.55000000000000004">
      <c r="M660" s="413"/>
      <c r="N660" s="413"/>
      <c r="O660" s="413"/>
      <c r="P660" s="413"/>
      <c r="Q660" s="413"/>
    </row>
    <row r="661" spans="13:17" x14ac:dyDescent="0.55000000000000004">
      <c r="M661" s="413"/>
      <c r="N661" s="413"/>
      <c r="O661" s="413"/>
      <c r="P661" s="413"/>
      <c r="Q661" s="413"/>
    </row>
    <row r="662" spans="13:17" x14ac:dyDescent="0.55000000000000004">
      <c r="M662" s="413"/>
      <c r="N662" s="413"/>
      <c r="O662" s="413"/>
      <c r="P662" s="413"/>
      <c r="Q662" s="413"/>
    </row>
    <row r="663" spans="13:17" x14ac:dyDescent="0.55000000000000004">
      <c r="M663" s="413"/>
      <c r="N663" s="413"/>
      <c r="O663" s="413"/>
      <c r="P663" s="413"/>
      <c r="Q663" s="413"/>
    </row>
    <row r="664" spans="13:17" x14ac:dyDescent="0.55000000000000004">
      <c r="M664" s="413"/>
      <c r="N664" s="413"/>
      <c r="O664" s="413"/>
      <c r="P664" s="413"/>
      <c r="Q664" s="413"/>
    </row>
    <row r="665" spans="13:17" x14ac:dyDescent="0.55000000000000004">
      <c r="M665" s="413"/>
      <c r="N665" s="413"/>
      <c r="O665" s="413"/>
      <c r="P665" s="413"/>
      <c r="Q665" s="413"/>
    </row>
    <row r="666" spans="13:17" x14ac:dyDescent="0.55000000000000004">
      <c r="M666" s="413"/>
      <c r="N666" s="413"/>
      <c r="O666" s="413"/>
      <c r="P666" s="413"/>
      <c r="Q666" s="413"/>
    </row>
    <row r="667" spans="13:17" x14ac:dyDescent="0.55000000000000004">
      <c r="M667" s="413"/>
      <c r="N667" s="413"/>
      <c r="O667" s="413"/>
      <c r="P667" s="413"/>
      <c r="Q667" s="413"/>
    </row>
    <row r="668" spans="13:17" x14ac:dyDescent="0.55000000000000004">
      <c r="M668" s="413"/>
      <c r="N668" s="413"/>
      <c r="O668" s="413"/>
      <c r="P668" s="413"/>
      <c r="Q668" s="413"/>
    </row>
    <row r="669" spans="13:17" x14ac:dyDescent="0.55000000000000004">
      <c r="M669" s="413"/>
      <c r="N669" s="413"/>
      <c r="O669" s="413"/>
      <c r="P669" s="413"/>
      <c r="Q669" s="413"/>
    </row>
    <row r="670" spans="13:17" x14ac:dyDescent="0.55000000000000004">
      <c r="M670" s="413"/>
      <c r="N670" s="413"/>
      <c r="O670" s="413"/>
      <c r="P670" s="413"/>
      <c r="Q670" s="413"/>
    </row>
    <row r="671" spans="13:17" x14ac:dyDescent="0.55000000000000004">
      <c r="M671" s="413"/>
      <c r="N671" s="413"/>
      <c r="O671" s="413"/>
      <c r="P671" s="413"/>
      <c r="Q671" s="413"/>
    </row>
    <row r="672" spans="13:17" x14ac:dyDescent="0.55000000000000004">
      <c r="M672" s="413"/>
      <c r="N672" s="413"/>
      <c r="O672" s="413"/>
      <c r="P672" s="413"/>
      <c r="Q672" s="413"/>
    </row>
    <row r="673" spans="13:17" x14ac:dyDescent="0.55000000000000004">
      <c r="M673" s="413"/>
      <c r="N673" s="413"/>
      <c r="O673" s="413"/>
      <c r="P673" s="413"/>
      <c r="Q673" s="413"/>
    </row>
    <row r="674" spans="13:17" x14ac:dyDescent="0.55000000000000004">
      <c r="M674" s="413"/>
      <c r="N674" s="413"/>
      <c r="O674" s="413"/>
      <c r="P674" s="413"/>
      <c r="Q674" s="413"/>
    </row>
    <row r="675" spans="13:17" x14ac:dyDescent="0.55000000000000004">
      <c r="M675" s="413"/>
      <c r="N675" s="413"/>
      <c r="O675" s="413"/>
      <c r="P675" s="413"/>
      <c r="Q675" s="413"/>
    </row>
    <row r="676" spans="13:17" x14ac:dyDescent="0.55000000000000004">
      <c r="M676" s="413"/>
      <c r="N676" s="413"/>
      <c r="O676" s="413"/>
      <c r="P676" s="413"/>
      <c r="Q676" s="413"/>
    </row>
    <row r="677" spans="13:17" x14ac:dyDescent="0.55000000000000004">
      <c r="M677" s="413"/>
      <c r="N677" s="413"/>
      <c r="O677" s="413"/>
      <c r="P677" s="413"/>
      <c r="Q677" s="413"/>
    </row>
    <row r="678" spans="13:17" x14ac:dyDescent="0.55000000000000004">
      <c r="M678" s="413"/>
      <c r="N678" s="413"/>
      <c r="O678" s="413"/>
      <c r="P678" s="413"/>
      <c r="Q678" s="413"/>
    </row>
    <row r="679" spans="13:17" x14ac:dyDescent="0.55000000000000004">
      <c r="M679" s="413"/>
      <c r="N679" s="413"/>
      <c r="O679" s="413"/>
      <c r="P679" s="413"/>
      <c r="Q679" s="413"/>
    </row>
    <row r="680" spans="13:17" x14ac:dyDescent="0.55000000000000004">
      <c r="M680" s="413"/>
      <c r="N680" s="413"/>
      <c r="O680" s="413"/>
      <c r="P680" s="413"/>
      <c r="Q680" s="413"/>
    </row>
    <row r="681" spans="13:17" x14ac:dyDescent="0.55000000000000004">
      <c r="M681" s="413"/>
      <c r="N681" s="413"/>
      <c r="O681" s="413"/>
      <c r="P681" s="413"/>
      <c r="Q681" s="413"/>
    </row>
    <row r="682" spans="13:17" x14ac:dyDescent="0.55000000000000004">
      <c r="M682" s="413"/>
      <c r="N682" s="413"/>
      <c r="O682" s="413"/>
      <c r="P682" s="413"/>
      <c r="Q682" s="413"/>
    </row>
    <row r="683" spans="13:17" x14ac:dyDescent="0.55000000000000004">
      <c r="M683" s="413"/>
      <c r="N683" s="413"/>
      <c r="O683" s="413"/>
      <c r="P683" s="413"/>
      <c r="Q683" s="413"/>
    </row>
    <row r="684" spans="13:17" x14ac:dyDescent="0.55000000000000004">
      <c r="M684" s="413"/>
      <c r="N684" s="413"/>
      <c r="O684" s="413"/>
      <c r="P684" s="413"/>
      <c r="Q684" s="413"/>
    </row>
    <row r="685" spans="13:17" x14ac:dyDescent="0.55000000000000004">
      <c r="M685" s="413"/>
      <c r="N685" s="413"/>
      <c r="O685" s="413"/>
      <c r="P685" s="413"/>
      <c r="Q685" s="413"/>
    </row>
    <row r="686" spans="13:17" x14ac:dyDescent="0.55000000000000004">
      <c r="M686" s="413"/>
      <c r="N686" s="413"/>
      <c r="O686" s="413"/>
      <c r="P686" s="413"/>
      <c r="Q686" s="413"/>
    </row>
    <row r="687" spans="13:17" x14ac:dyDescent="0.55000000000000004">
      <c r="M687" s="413"/>
      <c r="N687" s="413"/>
      <c r="O687" s="413"/>
      <c r="P687" s="413"/>
      <c r="Q687" s="413"/>
    </row>
    <row r="688" spans="13:17" x14ac:dyDescent="0.55000000000000004">
      <c r="M688" s="413"/>
      <c r="N688" s="413"/>
      <c r="O688" s="413"/>
      <c r="P688" s="413"/>
      <c r="Q688" s="413"/>
    </row>
    <row r="689" spans="13:17" x14ac:dyDescent="0.55000000000000004">
      <c r="M689" s="413"/>
      <c r="N689" s="413"/>
      <c r="O689" s="413"/>
      <c r="P689" s="413"/>
      <c r="Q689" s="413"/>
    </row>
    <row r="690" spans="13:17" x14ac:dyDescent="0.55000000000000004">
      <c r="M690" s="413"/>
      <c r="N690" s="413"/>
      <c r="O690" s="413"/>
      <c r="P690" s="413"/>
      <c r="Q690" s="413"/>
    </row>
    <row r="691" spans="13:17" x14ac:dyDescent="0.55000000000000004">
      <c r="M691" s="413"/>
      <c r="N691" s="413"/>
      <c r="O691" s="413"/>
      <c r="P691" s="413"/>
      <c r="Q691" s="413"/>
    </row>
    <row r="692" spans="13:17" x14ac:dyDescent="0.55000000000000004">
      <c r="M692" s="413"/>
      <c r="N692" s="413"/>
      <c r="O692" s="413"/>
      <c r="P692" s="413"/>
      <c r="Q692" s="413"/>
    </row>
    <row r="693" spans="13:17" x14ac:dyDescent="0.55000000000000004">
      <c r="M693" s="413"/>
      <c r="N693" s="413"/>
      <c r="O693" s="413"/>
      <c r="P693" s="413"/>
      <c r="Q693" s="413"/>
    </row>
    <row r="694" spans="13:17" x14ac:dyDescent="0.55000000000000004">
      <c r="M694" s="413"/>
      <c r="N694" s="413"/>
      <c r="O694" s="413"/>
      <c r="P694" s="413"/>
      <c r="Q694" s="413"/>
    </row>
    <row r="695" spans="13:17" x14ac:dyDescent="0.55000000000000004">
      <c r="M695" s="413"/>
      <c r="N695" s="413"/>
      <c r="O695" s="413"/>
      <c r="P695" s="413"/>
      <c r="Q695" s="413"/>
    </row>
    <row r="696" spans="13:17" x14ac:dyDescent="0.55000000000000004">
      <c r="M696" s="413"/>
      <c r="N696" s="413"/>
      <c r="O696" s="413"/>
      <c r="P696" s="413"/>
      <c r="Q696" s="413"/>
    </row>
    <row r="697" spans="13:17" x14ac:dyDescent="0.55000000000000004">
      <c r="M697" s="413"/>
      <c r="N697" s="413"/>
      <c r="O697" s="413"/>
      <c r="P697" s="413"/>
      <c r="Q697" s="413"/>
    </row>
    <row r="698" spans="13:17" x14ac:dyDescent="0.55000000000000004">
      <c r="M698" s="413"/>
      <c r="N698" s="413"/>
      <c r="O698" s="413"/>
      <c r="P698" s="413"/>
      <c r="Q698" s="413"/>
    </row>
    <row r="699" spans="13:17" x14ac:dyDescent="0.55000000000000004">
      <c r="M699" s="413"/>
      <c r="N699" s="413"/>
      <c r="O699" s="413"/>
      <c r="P699" s="413"/>
      <c r="Q699" s="413"/>
    </row>
    <row r="700" spans="13:17" x14ac:dyDescent="0.55000000000000004">
      <c r="M700" s="413"/>
      <c r="N700" s="413"/>
      <c r="O700" s="413"/>
      <c r="P700" s="413"/>
      <c r="Q700" s="413"/>
    </row>
    <row r="701" spans="13:17" x14ac:dyDescent="0.55000000000000004">
      <c r="M701" s="413"/>
      <c r="N701" s="413"/>
      <c r="O701" s="413"/>
      <c r="P701" s="413"/>
      <c r="Q701" s="413"/>
    </row>
    <row r="702" spans="13:17" x14ac:dyDescent="0.55000000000000004">
      <c r="M702" s="413"/>
      <c r="N702" s="413"/>
      <c r="O702" s="413"/>
      <c r="P702" s="413"/>
      <c r="Q702" s="413"/>
    </row>
    <row r="703" spans="13:17" x14ac:dyDescent="0.55000000000000004">
      <c r="M703" s="413"/>
      <c r="N703" s="413"/>
      <c r="O703" s="413"/>
      <c r="P703" s="413"/>
      <c r="Q703" s="413"/>
    </row>
    <row r="704" spans="13:17" x14ac:dyDescent="0.55000000000000004">
      <c r="M704" s="413"/>
      <c r="N704" s="413"/>
      <c r="O704" s="413"/>
      <c r="P704" s="413"/>
      <c r="Q704" s="413"/>
    </row>
    <row r="705" spans="13:17" x14ac:dyDescent="0.55000000000000004">
      <c r="M705" s="413"/>
      <c r="N705" s="413"/>
      <c r="O705" s="413"/>
      <c r="P705" s="413"/>
      <c r="Q705" s="413"/>
    </row>
    <row r="706" spans="13:17" x14ac:dyDescent="0.55000000000000004">
      <c r="M706" s="413"/>
      <c r="N706" s="413"/>
      <c r="O706" s="413"/>
      <c r="P706" s="413"/>
      <c r="Q706" s="413"/>
    </row>
    <row r="707" spans="13:17" x14ac:dyDescent="0.55000000000000004">
      <c r="M707" s="413"/>
      <c r="N707" s="413"/>
      <c r="O707" s="413"/>
      <c r="P707" s="413"/>
      <c r="Q707" s="413"/>
    </row>
    <row r="708" spans="13:17" x14ac:dyDescent="0.55000000000000004">
      <c r="M708" s="413"/>
      <c r="N708" s="413"/>
      <c r="O708" s="413"/>
      <c r="P708" s="413"/>
      <c r="Q708" s="413"/>
    </row>
    <row r="709" spans="13:17" x14ac:dyDescent="0.55000000000000004">
      <c r="M709" s="413"/>
      <c r="N709" s="413"/>
      <c r="O709" s="413"/>
      <c r="P709" s="413"/>
      <c r="Q709" s="413"/>
    </row>
    <row r="710" spans="13:17" x14ac:dyDescent="0.55000000000000004">
      <c r="M710" s="413"/>
      <c r="N710" s="413"/>
      <c r="O710" s="413"/>
      <c r="P710" s="413"/>
      <c r="Q710" s="413"/>
    </row>
    <row r="711" spans="13:17" x14ac:dyDescent="0.55000000000000004">
      <c r="M711" s="413"/>
      <c r="N711" s="413"/>
      <c r="O711" s="413"/>
      <c r="P711" s="413"/>
      <c r="Q711" s="413"/>
    </row>
    <row r="712" spans="13:17" x14ac:dyDescent="0.55000000000000004">
      <c r="M712" s="413"/>
      <c r="N712" s="413"/>
      <c r="O712" s="413"/>
      <c r="P712" s="413"/>
      <c r="Q712" s="413"/>
    </row>
    <row r="713" spans="13:17" x14ac:dyDescent="0.55000000000000004">
      <c r="M713" s="413"/>
      <c r="N713" s="413"/>
      <c r="O713" s="413"/>
      <c r="P713" s="413"/>
      <c r="Q713" s="413"/>
    </row>
    <row r="714" spans="13:17" x14ac:dyDescent="0.55000000000000004">
      <c r="M714" s="413"/>
      <c r="N714" s="413"/>
      <c r="O714" s="413"/>
      <c r="P714" s="413"/>
      <c r="Q714" s="413"/>
    </row>
    <row r="715" spans="13:17" x14ac:dyDescent="0.55000000000000004">
      <c r="M715" s="413"/>
      <c r="N715" s="413"/>
      <c r="O715" s="413"/>
      <c r="P715" s="413"/>
      <c r="Q715" s="413"/>
    </row>
    <row r="716" spans="13:17" x14ac:dyDescent="0.55000000000000004">
      <c r="M716" s="413"/>
      <c r="N716" s="413"/>
      <c r="O716" s="413"/>
      <c r="P716" s="413"/>
      <c r="Q716" s="413"/>
    </row>
    <row r="717" spans="13:17" x14ac:dyDescent="0.55000000000000004">
      <c r="M717" s="413"/>
      <c r="N717" s="413"/>
      <c r="O717" s="413"/>
      <c r="P717" s="413"/>
      <c r="Q717" s="413"/>
    </row>
    <row r="718" spans="13:17" x14ac:dyDescent="0.55000000000000004">
      <c r="M718" s="413"/>
      <c r="N718" s="413"/>
      <c r="O718" s="413"/>
      <c r="P718" s="413"/>
      <c r="Q718" s="413"/>
    </row>
    <row r="719" spans="13:17" x14ac:dyDescent="0.55000000000000004">
      <c r="M719" s="413"/>
      <c r="N719" s="413"/>
      <c r="O719" s="413"/>
      <c r="P719" s="413"/>
      <c r="Q719" s="413"/>
    </row>
    <row r="720" spans="13:17" x14ac:dyDescent="0.55000000000000004">
      <c r="M720" s="413"/>
      <c r="N720" s="413"/>
      <c r="O720" s="413"/>
      <c r="P720" s="413"/>
      <c r="Q720" s="413"/>
    </row>
    <row r="721" spans="13:17" x14ac:dyDescent="0.55000000000000004">
      <c r="M721" s="413"/>
      <c r="N721" s="413"/>
      <c r="O721" s="413"/>
      <c r="P721" s="413"/>
      <c r="Q721" s="413"/>
    </row>
    <row r="722" spans="13:17" x14ac:dyDescent="0.55000000000000004">
      <c r="M722" s="413"/>
      <c r="N722" s="413"/>
      <c r="O722" s="413"/>
      <c r="P722" s="413"/>
      <c r="Q722" s="413"/>
    </row>
    <row r="723" spans="13:17" x14ac:dyDescent="0.55000000000000004">
      <c r="M723" s="413"/>
      <c r="N723" s="413"/>
      <c r="O723" s="413"/>
      <c r="P723" s="413"/>
      <c r="Q723" s="413"/>
    </row>
    <row r="724" spans="13:17" x14ac:dyDescent="0.55000000000000004">
      <c r="M724" s="413"/>
      <c r="N724" s="413"/>
      <c r="O724" s="413"/>
      <c r="P724" s="413"/>
      <c r="Q724" s="413"/>
    </row>
    <row r="725" spans="13:17" x14ac:dyDescent="0.55000000000000004">
      <c r="M725" s="413"/>
      <c r="N725" s="413"/>
      <c r="O725" s="413"/>
      <c r="P725" s="413"/>
      <c r="Q725" s="413"/>
    </row>
    <row r="726" spans="13:17" x14ac:dyDescent="0.55000000000000004">
      <c r="M726" s="413"/>
      <c r="N726" s="413"/>
      <c r="O726" s="413"/>
      <c r="P726" s="413"/>
      <c r="Q726" s="413"/>
    </row>
    <row r="727" spans="13:17" x14ac:dyDescent="0.55000000000000004">
      <c r="M727" s="413"/>
      <c r="N727" s="413"/>
      <c r="O727" s="413"/>
      <c r="P727" s="413"/>
      <c r="Q727" s="413"/>
    </row>
    <row r="728" spans="13:17" x14ac:dyDescent="0.55000000000000004">
      <c r="M728" s="413"/>
      <c r="N728" s="413"/>
      <c r="O728" s="413"/>
      <c r="P728" s="413"/>
      <c r="Q728" s="413"/>
    </row>
    <row r="729" spans="13:17" x14ac:dyDescent="0.55000000000000004">
      <c r="M729" s="413"/>
      <c r="N729" s="413"/>
      <c r="O729" s="413"/>
      <c r="P729" s="413"/>
      <c r="Q729" s="413"/>
    </row>
    <row r="730" spans="13:17" x14ac:dyDescent="0.55000000000000004">
      <c r="M730" s="413"/>
      <c r="N730" s="413"/>
      <c r="O730" s="413"/>
      <c r="P730" s="413"/>
      <c r="Q730" s="413"/>
    </row>
    <row r="731" spans="13:17" x14ac:dyDescent="0.55000000000000004">
      <c r="M731" s="413"/>
      <c r="N731" s="413"/>
      <c r="O731" s="413"/>
      <c r="P731" s="413"/>
      <c r="Q731" s="413"/>
    </row>
    <row r="732" spans="13:17" x14ac:dyDescent="0.55000000000000004">
      <c r="M732" s="413"/>
      <c r="N732" s="413"/>
      <c r="O732" s="413"/>
      <c r="P732" s="413"/>
      <c r="Q732" s="413"/>
    </row>
    <row r="733" spans="13:17" x14ac:dyDescent="0.55000000000000004">
      <c r="M733" s="413"/>
      <c r="N733" s="413"/>
      <c r="O733" s="413"/>
      <c r="P733" s="413"/>
      <c r="Q733" s="413"/>
    </row>
    <row r="734" spans="13:17" x14ac:dyDescent="0.55000000000000004">
      <c r="M734" s="413"/>
      <c r="N734" s="413"/>
      <c r="O734" s="413"/>
      <c r="P734" s="413"/>
      <c r="Q734" s="413"/>
    </row>
    <row r="735" spans="13:17" x14ac:dyDescent="0.55000000000000004">
      <c r="M735" s="413"/>
      <c r="N735" s="413"/>
      <c r="O735" s="413"/>
      <c r="P735" s="413"/>
      <c r="Q735" s="413"/>
    </row>
    <row r="736" spans="13:17" x14ac:dyDescent="0.55000000000000004">
      <c r="M736" s="413"/>
      <c r="N736" s="413"/>
      <c r="O736" s="413"/>
      <c r="P736" s="413"/>
      <c r="Q736" s="413"/>
    </row>
    <row r="737" spans="13:17" x14ac:dyDescent="0.55000000000000004">
      <c r="M737" s="413"/>
      <c r="N737" s="413"/>
      <c r="O737" s="413"/>
      <c r="P737" s="413"/>
      <c r="Q737" s="413"/>
    </row>
    <row r="738" spans="13:17" x14ac:dyDescent="0.55000000000000004">
      <c r="M738" s="413"/>
      <c r="N738" s="413"/>
      <c r="O738" s="413"/>
      <c r="P738" s="413"/>
      <c r="Q738" s="413"/>
    </row>
    <row r="739" spans="13:17" x14ac:dyDescent="0.55000000000000004">
      <c r="M739" s="413"/>
      <c r="N739" s="413"/>
      <c r="O739" s="413"/>
      <c r="P739" s="413"/>
      <c r="Q739" s="413"/>
    </row>
    <row r="740" spans="13:17" x14ac:dyDescent="0.55000000000000004">
      <c r="M740" s="413"/>
      <c r="N740" s="413"/>
      <c r="O740" s="413"/>
      <c r="P740" s="413"/>
      <c r="Q740" s="413"/>
    </row>
    <row r="741" spans="13:17" x14ac:dyDescent="0.55000000000000004">
      <c r="M741" s="413"/>
      <c r="N741" s="413"/>
      <c r="O741" s="413"/>
      <c r="P741" s="413"/>
      <c r="Q741" s="413"/>
    </row>
    <row r="742" spans="13:17" x14ac:dyDescent="0.55000000000000004">
      <c r="M742" s="413"/>
      <c r="N742" s="413"/>
      <c r="O742" s="413"/>
      <c r="P742" s="413"/>
      <c r="Q742" s="413"/>
    </row>
    <row r="743" spans="13:17" x14ac:dyDescent="0.55000000000000004">
      <c r="M743" s="413"/>
      <c r="N743" s="413"/>
      <c r="O743" s="413"/>
      <c r="P743" s="413"/>
      <c r="Q743" s="413"/>
    </row>
    <row r="744" spans="13:17" x14ac:dyDescent="0.55000000000000004">
      <c r="M744" s="413"/>
      <c r="N744" s="413"/>
      <c r="O744" s="413"/>
      <c r="P744" s="413"/>
      <c r="Q744" s="413"/>
    </row>
    <row r="745" spans="13:17" x14ac:dyDescent="0.55000000000000004">
      <c r="M745" s="413"/>
      <c r="N745" s="413"/>
      <c r="O745" s="413"/>
      <c r="P745" s="413"/>
      <c r="Q745" s="413"/>
    </row>
    <row r="746" spans="13:17" x14ac:dyDescent="0.55000000000000004">
      <c r="M746" s="413"/>
      <c r="N746" s="413"/>
      <c r="O746" s="413"/>
      <c r="P746" s="413"/>
      <c r="Q746" s="413"/>
    </row>
    <row r="747" spans="13:17" x14ac:dyDescent="0.55000000000000004">
      <c r="M747" s="413"/>
      <c r="N747" s="413"/>
      <c r="O747" s="413"/>
      <c r="P747" s="413"/>
      <c r="Q747" s="413"/>
    </row>
    <row r="748" spans="13:17" x14ac:dyDescent="0.55000000000000004">
      <c r="M748" s="413"/>
      <c r="N748" s="413"/>
      <c r="O748" s="413"/>
      <c r="P748" s="413"/>
      <c r="Q748" s="413"/>
    </row>
    <row r="749" spans="13:17" x14ac:dyDescent="0.55000000000000004">
      <c r="M749" s="413"/>
      <c r="N749" s="413"/>
      <c r="O749" s="413"/>
      <c r="P749" s="413"/>
      <c r="Q749" s="413"/>
    </row>
    <row r="750" spans="13:17" x14ac:dyDescent="0.55000000000000004">
      <c r="M750" s="413"/>
      <c r="N750" s="413"/>
      <c r="O750" s="413"/>
      <c r="P750" s="413"/>
      <c r="Q750" s="413"/>
    </row>
    <row r="751" spans="13:17" x14ac:dyDescent="0.55000000000000004">
      <c r="M751" s="413"/>
      <c r="N751" s="413"/>
      <c r="O751" s="413"/>
      <c r="P751" s="413"/>
      <c r="Q751" s="413"/>
    </row>
    <row r="752" spans="13:17" x14ac:dyDescent="0.55000000000000004">
      <c r="M752" s="413"/>
      <c r="N752" s="413"/>
      <c r="O752" s="413"/>
      <c r="P752" s="413"/>
      <c r="Q752" s="413"/>
    </row>
    <row r="753" spans="13:17" x14ac:dyDescent="0.55000000000000004">
      <c r="M753" s="413"/>
      <c r="N753" s="413"/>
      <c r="O753" s="413"/>
      <c r="P753" s="413"/>
      <c r="Q753" s="413"/>
    </row>
    <row r="754" spans="13:17" x14ac:dyDescent="0.55000000000000004">
      <c r="M754" s="413"/>
      <c r="N754" s="413"/>
      <c r="O754" s="413"/>
      <c r="P754" s="413"/>
      <c r="Q754" s="413"/>
    </row>
    <row r="755" spans="13:17" x14ac:dyDescent="0.55000000000000004">
      <c r="M755" s="413"/>
      <c r="N755" s="413"/>
      <c r="O755" s="413"/>
      <c r="P755" s="413"/>
      <c r="Q755" s="413"/>
    </row>
    <row r="756" spans="13:17" x14ac:dyDescent="0.55000000000000004">
      <c r="M756" s="413"/>
      <c r="N756" s="413"/>
      <c r="O756" s="413"/>
      <c r="P756" s="413"/>
      <c r="Q756" s="413"/>
    </row>
    <row r="757" spans="13:17" x14ac:dyDescent="0.55000000000000004">
      <c r="M757" s="413"/>
      <c r="N757" s="413"/>
      <c r="O757" s="413"/>
      <c r="P757" s="413"/>
      <c r="Q757" s="413"/>
    </row>
    <row r="758" spans="13:17" x14ac:dyDescent="0.55000000000000004">
      <c r="M758" s="413"/>
      <c r="N758" s="413"/>
      <c r="O758" s="413"/>
      <c r="P758" s="413"/>
      <c r="Q758" s="413"/>
    </row>
    <row r="759" spans="13:17" x14ac:dyDescent="0.55000000000000004">
      <c r="M759" s="413"/>
      <c r="N759" s="413"/>
      <c r="O759" s="413"/>
      <c r="P759" s="413"/>
      <c r="Q759" s="413"/>
    </row>
    <row r="760" spans="13:17" x14ac:dyDescent="0.55000000000000004">
      <c r="M760" s="413"/>
      <c r="N760" s="413"/>
      <c r="O760" s="413"/>
      <c r="P760" s="413"/>
      <c r="Q760" s="413"/>
    </row>
    <row r="761" spans="13:17" x14ac:dyDescent="0.55000000000000004">
      <c r="M761" s="413"/>
      <c r="N761" s="413"/>
      <c r="O761" s="413"/>
      <c r="P761" s="413"/>
      <c r="Q761" s="413"/>
    </row>
    <row r="762" spans="13:17" x14ac:dyDescent="0.55000000000000004">
      <c r="M762" s="413"/>
      <c r="N762" s="413"/>
      <c r="O762" s="413"/>
      <c r="P762" s="413"/>
      <c r="Q762" s="413"/>
    </row>
    <row r="763" spans="13:17" x14ac:dyDescent="0.55000000000000004">
      <c r="M763" s="413"/>
      <c r="N763" s="413"/>
      <c r="O763" s="413"/>
      <c r="P763" s="413"/>
      <c r="Q763" s="413"/>
    </row>
    <row r="764" spans="13:17" x14ac:dyDescent="0.55000000000000004">
      <c r="M764" s="413"/>
      <c r="N764" s="413"/>
      <c r="O764" s="413"/>
      <c r="P764" s="413"/>
      <c r="Q764" s="413"/>
    </row>
    <row r="765" spans="13:17" x14ac:dyDescent="0.55000000000000004">
      <c r="M765" s="413"/>
      <c r="N765" s="413"/>
      <c r="O765" s="413"/>
      <c r="P765" s="413"/>
      <c r="Q765" s="413"/>
    </row>
    <row r="766" spans="13:17" x14ac:dyDescent="0.55000000000000004">
      <c r="M766" s="413"/>
      <c r="N766" s="413"/>
      <c r="O766" s="413"/>
      <c r="P766" s="413"/>
      <c r="Q766" s="413"/>
    </row>
    <row r="767" spans="13:17" x14ac:dyDescent="0.55000000000000004">
      <c r="M767" s="413"/>
      <c r="N767" s="413"/>
      <c r="O767" s="413"/>
      <c r="P767" s="413"/>
      <c r="Q767" s="413"/>
    </row>
    <row r="768" spans="13:17" x14ac:dyDescent="0.55000000000000004">
      <c r="M768" s="413"/>
      <c r="N768" s="413"/>
      <c r="O768" s="413"/>
      <c r="P768" s="413"/>
      <c r="Q768" s="413"/>
    </row>
    <row r="769" spans="13:17" x14ac:dyDescent="0.55000000000000004">
      <c r="M769" s="413"/>
      <c r="N769" s="413"/>
      <c r="O769" s="413"/>
      <c r="P769" s="413"/>
      <c r="Q769" s="413"/>
    </row>
    <row r="770" spans="13:17" x14ac:dyDescent="0.55000000000000004">
      <c r="M770" s="413"/>
      <c r="N770" s="413"/>
      <c r="O770" s="413"/>
      <c r="P770" s="413"/>
      <c r="Q770" s="413"/>
    </row>
    <row r="771" spans="13:17" x14ac:dyDescent="0.55000000000000004">
      <c r="M771" s="413"/>
      <c r="N771" s="413"/>
      <c r="O771" s="413"/>
      <c r="P771" s="413"/>
      <c r="Q771" s="413"/>
    </row>
    <row r="772" spans="13:17" x14ac:dyDescent="0.55000000000000004">
      <c r="M772" s="413"/>
      <c r="N772" s="413"/>
      <c r="O772" s="413"/>
      <c r="P772" s="413"/>
      <c r="Q772" s="413"/>
    </row>
    <row r="773" spans="13:17" x14ac:dyDescent="0.55000000000000004">
      <c r="M773" s="413"/>
      <c r="N773" s="413"/>
      <c r="O773" s="413"/>
      <c r="P773" s="413"/>
      <c r="Q773" s="413"/>
    </row>
    <row r="774" spans="13:17" x14ac:dyDescent="0.55000000000000004">
      <c r="M774" s="413"/>
      <c r="N774" s="413"/>
      <c r="O774" s="413"/>
      <c r="P774" s="413"/>
      <c r="Q774" s="413"/>
    </row>
    <row r="775" spans="13:17" x14ac:dyDescent="0.55000000000000004">
      <c r="M775" s="413"/>
      <c r="N775" s="413"/>
      <c r="O775" s="413"/>
      <c r="P775" s="413"/>
      <c r="Q775" s="413"/>
    </row>
    <row r="776" spans="13:17" x14ac:dyDescent="0.55000000000000004">
      <c r="M776" s="413"/>
      <c r="N776" s="413"/>
      <c r="O776" s="413"/>
      <c r="P776" s="413"/>
      <c r="Q776" s="413"/>
    </row>
    <row r="777" spans="13:17" x14ac:dyDescent="0.55000000000000004">
      <c r="M777" s="413"/>
      <c r="N777" s="413"/>
      <c r="O777" s="413"/>
      <c r="P777" s="413"/>
      <c r="Q777" s="413"/>
    </row>
    <row r="778" spans="13:17" x14ac:dyDescent="0.55000000000000004">
      <c r="M778" s="413"/>
      <c r="N778" s="413"/>
      <c r="O778" s="413"/>
      <c r="P778" s="413"/>
      <c r="Q778" s="413"/>
    </row>
    <row r="779" spans="13:17" x14ac:dyDescent="0.55000000000000004">
      <c r="M779" s="413"/>
      <c r="N779" s="413"/>
      <c r="O779" s="413"/>
      <c r="P779" s="413"/>
      <c r="Q779" s="413"/>
    </row>
    <row r="780" spans="13:17" x14ac:dyDescent="0.55000000000000004">
      <c r="M780" s="413"/>
      <c r="N780" s="413"/>
      <c r="O780" s="413"/>
      <c r="P780" s="413"/>
      <c r="Q780" s="413"/>
    </row>
    <row r="781" spans="13:17" x14ac:dyDescent="0.55000000000000004">
      <c r="M781" s="413"/>
      <c r="N781" s="413"/>
      <c r="O781" s="413"/>
      <c r="P781" s="413"/>
      <c r="Q781" s="413"/>
    </row>
    <row r="782" spans="13:17" x14ac:dyDescent="0.55000000000000004">
      <c r="M782" s="413"/>
      <c r="N782" s="413"/>
      <c r="O782" s="413"/>
      <c r="P782" s="413"/>
      <c r="Q782" s="413"/>
    </row>
    <row r="783" spans="13:17" x14ac:dyDescent="0.55000000000000004">
      <c r="M783" s="413"/>
      <c r="N783" s="413"/>
      <c r="O783" s="413"/>
      <c r="P783" s="413"/>
      <c r="Q783" s="413"/>
    </row>
    <row r="784" spans="13:17" x14ac:dyDescent="0.55000000000000004">
      <c r="M784" s="413"/>
      <c r="N784" s="413"/>
      <c r="O784" s="413"/>
      <c r="P784" s="413"/>
      <c r="Q784" s="413"/>
    </row>
    <row r="785" spans="13:17" x14ac:dyDescent="0.55000000000000004">
      <c r="M785" s="413"/>
      <c r="N785" s="413"/>
      <c r="O785" s="413"/>
      <c r="P785" s="413"/>
      <c r="Q785" s="413"/>
    </row>
    <row r="786" spans="13:17" x14ac:dyDescent="0.55000000000000004">
      <c r="M786" s="413"/>
      <c r="N786" s="413"/>
      <c r="O786" s="413"/>
      <c r="P786" s="413"/>
      <c r="Q786" s="413"/>
    </row>
    <row r="787" spans="13:17" x14ac:dyDescent="0.55000000000000004">
      <c r="M787" s="413"/>
      <c r="N787" s="413"/>
      <c r="O787" s="413"/>
      <c r="P787" s="413"/>
      <c r="Q787" s="413"/>
    </row>
    <row r="788" spans="13:17" x14ac:dyDescent="0.55000000000000004">
      <c r="M788" s="413"/>
      <c r="N788" s="413"/>
      <c r="O788" s="413"/>
      <c r="P788" s="413"/>
      <c r="Q788" s="413"/>
    </row>
    <row r="789" spans="13:17" x14ac:dyDescent="0.55000000000000004">
      <c r="M789" s="413"/>
      <c r="N789" s="413"/>
      <c r="O789" s="413"/>
      <c r="P789" s="413"/>
      <c r="Q789" s="413"/>
    </row>
    <row r="790" spans="13:17" x14ac:dyDescent="0.55000000000000004">
      <c r="M790" s="413"/>
      <c r="N790" s="413"/>
      <c r="O790" s="413"/>
      <c r="P790" s="413"/>
      <c r="Q790" s="413"/>
    </row>
    <row r="791" spans="13:17" x14ac:dyDescent="0.55000000000000004">
      <c r="M791" s="413"/>
      <c r="N791" s="413"/>
      <c r="O791" s="413"/>
      <c r="P791" s="413"/>
      <c r="Q791" s="413"/>
    </row>
    <row r="792" spans="13:17" x14ac:dyDescent="0.55000000000000004">
      <c r="M792" s="413"/>
      <c r="N792" s="413"/>
      <c r="O792" s="413"/>
      <c r="P792" s="413"/>
      <c r="Q792" s="413"/>
    </row>
    <row r="793" spans="13:17" x14ac:dyDescent="0.55000000000000004">
      <c r="M793" s="413"/>
      <c r="N793" s="413"/>
      <c r="O793" s="413"/>
      <c r="P793" s="413"/>
      <c r="Q793" s="413"/>
    </row>
    <row r="794" spans="13:17" x14ac:dyDescent="0.55000000000000004">
      <c r="M794" s="413"/>
      <c r="N794" s="413"/>
      <c r="O794" s="413"/>
      <c r="P794" s="413"/>
      <c r="Q794" s="413"/>
    </row>
    <row r="795" spans="13:17" x14ac:dyDescent="0.55000000000000004">
      <c r="M795" s="413"/>
      <c r="N795" s="413"/>
      <c r="O795" s="413"/>
      <c r="P795" s="413"/>
      <c r="Q795" s="413"/>
    </row>
    <row r="796" spans="13:17" x14ac:dyDescent="0.55000000000000004">
      <c r="M796" s="413"/>
      <c r="N796" s="413"/>
      <c r="O796" s="413"/>
      <c r="P796" s="413"/>
      <c r="Q796" s="413"/>
    </row>
    <row r="797" spans="13:17" x14ac:dyDescent="0.55000000000000004">
      <c r="M797" s="413"/>
      <c r="N797" s="413"/>
      <c r="O797" s="413"/>
      <c r="P797" s="413"/>
      <c r="Q797" s="413"/>
    </row>
    <row r="798" spans="13:17" x14ac:dyDescent="0.55000000000000004">
      <c r="M798" s="413"/>
      <c r="N798" s="413"/>
      <c r="O798" s="413"/>
      <c r="P798" s="413"/>
      <c r="Q798" s="413"/>
    </row>
    <row r="799" spans="13:17" x14ac:dyDescent="0.55000000000000004">
      <c r="M799" s="413"/>
      <c r="N799" s="413"/>
      <c r="O799" s="413"/>
      <c r="P799" s="413"/>
      <c r="Q799" s="413"/>
    </row>
    <row r="800" spans="13:17" x14ac:dyDescent="0.55000000000000004">
      <c r="M800" s="413"/>
      <c r="N800" s="413"/>
      <c r="O800" s="413"/>
      <c r="P800" s="413"/>
      <c r="Q800" s="413"/>
    </row>
    <row r="801" spans="13:17" x14ac:dyDescent="0.55000000000000004">
      <c r="M801" s="413"/>
      <c r="N801" s="413"/>
      <c r="O801" s="413"/>
      <c r="P801" s="413"/>
      <c r="Q801" s="413"/>
    </row>
    <row r="802" spans="13:17" x14ac:dyDescent="0.55000000000000004">
      <c r="M802" s="413"/>
      <c r="N802" s="413"/>
      <c r="O802" s="413"/>
      <c r="P802" s="413"/>
      <c r="Q802" s="413"/>
    </row>
    <row r="803" spans="13:17" x14ac:dyDescent="0.55000000000000004">
      <c r="M803" s="413"/>
      <c r="N803" s="413"/>
      <c r="O803" s="413"/>
      <c r="P803" s="413"/>
      <c r="Q803" s="413"/>
    </row>
    <row r="804" spans="13:17" x14ac:dyDescent="0.55000000000000004">
      <c r="M804" s="413"/>
      <c r="N804" s="413"/>
      <c r="O804" s="413"/>
      <c r="P804" s="413"/>
      <c r="Q804" s="413"/>
    </row>
    <row r="805" spans="13:17" x14ac:dyDescent="0.55000000000000004">
      <c r="M805" s="413"/>
      <c r="N805" s="413"/>
      <c r="O805" s="413"/>
      <c r="P805" s="413"/>
      <c r="Q805" s="413"/>
    </row>
    <row r="806" spans="13:17" x14ac:dyDescent="0.55000000000000004">
      <c r="M806" s="413"/>
      <c r="N806" s="413"/>
      <c r="O806" s="413"/>
      <c r="P806" s="413"/>
      <c r="Q806" s="413"/>
    </row>
    <row r="807" spans="13:17" x14ac:dyDescent="0.55000000000000004">
      <c r="M807" s="413"/>
      <c r="N807" s="413"/>
      <c r="O807" s="413"/>
      <c r="P807" s="413"/>
      <c r="Q807" s="413"/>
    </row>
    <row r="808" spans="13:17" x14ac:dyDescent="0.55000000000000004">
      <c r="M808" s="413"/>
      <c r="N808" s="413"/>
      <c r="O808" s="413"/>
      <c r="P808" s="413"/>
      <c r="Q808" s="413"/>
    </row>
    <row r="809" spans="13:17" x14ac:dyDescent="0.55000000000000004">
      <c r="M809" s="413"/>
      <c r="N809" s="413"/>
      <c r="O809" s="413"/>
      <c r="P809" s="413"/>
      <c r="Q809" s="413"/>
    </row>
    <row r="810" spans="13:17" x14ac:dyDescent="0.55000000000000004">
      <c r="M810" s="413"/>
      <c r="N810" s="413"/>
      <c r="O810" s="413"/>
      <c r="P810" s="413"/>
      <c r="Q810" s="413"/>
    </row>
    <row r="811" spans="13:17" x14ac:dyDescent="0.55000000000000004">
      <c r="M811" s="413"/>
      <c r="N811" s="413"/>
      <c r="O811" s="413"/>
      <c r="P811" s="413"/>
      <c r="Q811" s="413"/>
    </row>
    <row r="812" spans="13:17" x14ac:dyDescent="0.55000000000000004">
      <c r="M812" s="413"/>
      <c r="N812" s="413"/>
      <c r="O812" s="413"/>
      <c r="P812" s="413"/>
      <c r="Q812" s="413"/>
    </row>
    <row r="813" spans="13:17" x14ac:dyDescent="0.55000000000000004">
      <c r="M813" s="413"/>
      <c r="N813" s="413"/>
      <c r="O813" s="413"/>
      <c r="P813" s="413"/>
      <c r="Q813" s="413"/>
    </row>
    <row r="814" spans="13:17" x14ac:dyDescent="0.55000000000000004">
      <c r="M814" s="413"/>
      <c r="N814" s="413"/>
      <c r="O814" s="413"/>
      <c r="P814" s="413"/>
      <c r="Q814" s="413"/>
    </row>
    <row r="815" spans="13:17" x14ac:dyDescent="0.55000000000000004">
      <c r="M815" s="413"/>
      <c r="N815" s="413"/>
      <c r="O815" s="413"/>
      <c r="P815" s="413"/>
      <c r="Q815" s="413"/>
    </row>
    <row r="816" spans="13:17" x14ac:dyDescent="0.55000000000000004">
      <c r="M816" s="413"/>
      <c r="N816" s="413"/>
      <c r="O816" s="413"/>
      <c r="P816" s="413"/>
      <c r="Q816" s="413"/>
    </row>
    <row r="817" spans="13:17" x14ac:dyDescent="0.55000000000000004">
      <c r="M817" s="413"/>
      <c r="N817" s="413"/>
      <c r="O817" s="413"/>
      <c r="P817" s="413"/>
      <c r="Q817" s="413"/>
    </row>
    <row r="818" spans="13:17" x14ac:dyDescent="0.55000000000000004">
      <c r="M818" s="413"/>
      <c r="N818" s="413"/>
      <c r="O818" s="413"/>
      <c r="P818" s="413"/>
      <c r="Q818" s="413"/>
    </row>
    <row r="819" spans="13:17" x14ac:dyDescent="0.55000000000000004">
      <c r="M819" s="413"/>
      <c r="N819" s="413"/>
      <c r="O819" s="413"/>
      <c r="P819" s="413"/>
      <c r="Q819" s="413"/>
    </row>
    <row r="820" spans="13:17" x14ac:dyDescent="0.55000000000000004">
      <c r="M820" s="413"/>
      <c r="N820" s="413"/>
      <c r="O820" s="413"/>
      <c r="P820" s="413"/>
      <c r="Q820" s="413"/>
    </row>
    <row r="821" spans="13:17" x14ac:dyDescent="0.55000000000000004">
      <c r="M821" s="413"/>
      <c r="N821" s="413"/>
      <c r="O821" s="413"/>
      <c r="P821" s="413"/>
      <c r="Q821" s="413"/>
    </row>
    <row r="822" spans="13:17" x14ac:dyDescent="0.55000000000000004">
      <c r="M822" s="413"/>
      <c r="N822" s="413"/>
      <c r="O822" s="413"/>
      <c r="P822" s="413"/>
      <c r="Q822" s="413"/>
    </row>
    <row r="823" spans="13:17" x14ac:dyDescent="0.55000000000000004">
      <c r="M823" s="413"/>
      <c r="N823" s="413"/>
      <c r="O823" s="413"/>
      <c r="P823" s="413"/>
      <c r="Q823" s="413"/>
    </row>
    <row r="824" spans="13:17" x14ac:dyDescent="0.55000000000000004">
      <c r="M824" s="413"/>
      <c r="N824" s="413"/>
      <c r="O824" s="413"/>
      <c r="P824" s="413"/>
      <c r="Q824" s="413"/>
    </row>
    <row r="825" spans="13:17" x14ac:dyDescent="0.55000000000000004">
      <c r="M825" s="413"/>
      <c r="N825" s="413"/>
      <c r="O825" s="413"/>
      <c r="P825" s="413"/>
      <c r="Q825" s="413"/>
    </row>
    <row r="826" spans="13:17" x14ac:dyDescent="0.55000000000000004">
      <c r="M826" s="413"/>
      <c r="N826" s="413"/>
      <c r="O826" s="413"/>
      <c r="P826" s="413"/>
      <c r="Q826" s="413"/>
    </row>
    <row r="827" spans="13:17" x14ac:dyDescent="0.55000000000000004">
      <c r="M827" s="413"/>
      <c r="N827" s="413"/>
      <c r="O827" s="413"/>
      <c r="P827" s="413"/>
      <c r="Q827" s="413"/>
    </row>
    <row r="828" spans="13:17" x14ac:dyDescent="0.55000000000000004">
      <c r="M828" s="413"/>
      <c r="N828" s="413"/>
      <c r="O828" s="413"/>
      <c r="P828" s="413"/>
      <c r="Q828" s="413"/>
    </row>
    <row r="829" spans="13:17" x14ac:dyDescent="0.55000000000000004">
      <c r="M829" s="413"/>
      <c r="N829" s="413"/>
      <c r="O829" s="413"/>
      <c r="P829" s="413"/>
      <c r="Q829" s="413"/>
    </row>
    <row r="830" spans="13:17" x14ac:dyDescent="0.55000000000000004">
      <c r="M830" s="413"/>
      <c r="N830" s="413"/>
      <c r="O830" s="413"/>
      <c r="P830" s="413"/>
      <c r="Q830" s="413"/>
    </row>
    <row r="831" spans="13:17" x14ac:dyDescent="0.55000000000000004">
      <c r="M831" s="413"/>
      <c r="N831" s="413"/>
      <c r="O831" s="413"/>
      <c r="P831" s="413"/>
      <c r="Q831" s="413"/>
    </row>
    <row r="832" spans="13:17" x14ac:dyDescent="0.55000000000000004">
      <c r="M832" s="413"/>
      <c r="N832" s="413"/>
      <c r="O832" s="413"/>
      <c r="P832" s="413"/>
      <c r="Q832" s="413"/>
    </row>
    <row r="833" spans="13:17" x14ac:dyDescent="0.55000000000000004">
      <c r="M833" s="413"/>
      <c r="N833" s="413"/>
      <c r="O833" s="413"/>
      <c r="P833" s="413"/>
      <c r="Q833" s="413"/>
    </row>
    <row r="834" spans="13:17" x14ac:dyDescent="0.55000000000000004">
      <c r="M834" s="413"/>
      <c r="N834" s="413"/>
      <c r="O834" s="413"/>
      <c r="P834" s="413"/>
      <c r="Q834" s="413"/>
    </row>
    <row r="835" spans="13:17" x14ac:dyDescent="0.55000000000000004">
      <c r="M835" s="413"/>
      <c r="N835" s="413"/>
      <c r="O835" s="413"/>
      <c r="P835" s="413"/>
      <c r="Q835" s="413"/>
    </row>
    <row r="836" spans="13:17" x14ac:dyDescent="0.55000000000000004">
      <c r="M836" s="413"/>
      <c r="N836" s="413"/>
      <c r="O836" s="413"/>
      <c r="P836" s="413"/>
      <c r="Q836" s="413"/>
    </row>
    <row r="837" spans="13:17" x14ac:dyDescent="0.55000000000000004">
      <c r="M837" s="413"/>
      <c r="N837" s="413"/>
      <c r="O837" s="413"/>
      <c r="P837" s="413"/>
      <c r="Q837" s="413"/>
    </row>
    <row r="838" spans="13:17" x14ac:dyDescent="0.55000000000000004">
      <c r="M838" s="413"/>
      <c r="N838" s="413"/>
      <c r="O838" s="413"/>
      <c r="P838" s="413"/>
      <c r="Q838" s="413"/>
    </row>
    <row r="839" spans="13:17" x14ac:dyDescent="0.55000000000000004">
      <c r="M839" s="413"/>
      <c r="N839" s="413"/>
      <c r="O839" s="413"/>
      <c r="P839" s="413"/>
      <c r="Q839" s="413"/>
    </row>
    <row r="840" spans="13:17" x14ac:dyDescent="0.55000000000000004">
      <c r="M840" s="413"/>
      <c r="N840" s="413"/>
      <c r="O840" s="413"/>
      <c r="P840" s="413"/>
      <c r="Q840" s="413"/>
    </row>
    <row r="841" spans="13:17" x14ac:dyDescent="0.55000000000000004">
      <c r="M841" s="413"/>
      <c r="N841" s="413"/>
      <c r="O841" s="413"/>
      <c r="P841" s="413"/>
      <c r="Q841" s="413"/>
    </row>
    <row r="842" spans="13:17" x14ac:dyDescent="0.55000000000000004">
      <c r="M842" s="413"/>
      <c r="N842" s="413"/>
      <c r="O842" s="413"/>
      <c r="P842" s="413"/>
      <c r="Q842" s="413"/>
    </row>
    <row r="843" spans="13:17" x14ac:dyDescent="0.55000000000000004">
      <c r="M843" s="413"/>
      <c r="N843" s="413"/>
      <c r="O843" s="413"/>
      <c r="P843" s="413"/>
      <c r="Q843" s="413"/>
    </row>
    <row r="844" spans="13:17" x14ac:dyDescent="0.55000000000000004">
      <c r="M844" s="413"/>
      <c r="N844" s="413"/>
      <c r="O844" s="413"/>
      <c r="P844" s="413"/>
      <c r="Q844" s="413"/>
    </row>
    <row r="845" spans="13:17" x14ac:dyDescent="0.55000000000000004">
      <c r="M845" s="413"/>
      <c r="N845" s="413"/>
      <c r="O845" s="413"/>
      <c r="P845" s="413"/>
      <c r="Q845" s="413"/>
    </row>
    <row r="846" spans="13:17" x14ac:dyDescent="0.55000000000000004">
      <c r="M846" s="413"/>
      <c r="N846" s="413"/>
      <c r="O846" s="413"/>
      <c r="P846" s="413"/>
      <c r="Q846" s="413"/>
    </row>
    <row r="847" spans="13:17" x14ac:dyDescent="0.55000000000000004">
      <c r="M847" s="413"/>
      <c r="N847" s="413"/>
      <c r="O847" s="413"/>
      <c r="P847" s="413"/>
      <c r="Q847" s="413"/>
    </row>
    <row r="848" spans="13:17" x14ac:dyDescent="0.55000000000000004">
      <c r="M848" s="413"/>
      <c r="N848" s="413"/>
      <c r="O848" s="413"/>
      <c r="P848" s="413"/>
      <c r="Q848" s="413"/>
    </row>
    <row r="849" spans="13:17" x14ac:dyDescent="0.55000000000000004">
      <c r="M849" s="413"/>
      <c r="N849" s="413"/>
      <c r="O849" s="413"/>
      <c r="P849" s="413"/>
      <c r="Q849" s="413"/>
    </row>
    <row r="850" spans="13:17" x14ac:dyDescent="0.55000000000000004">
      <c r="M850" s="413"/>
      <c r="N850" s="413"/>
      <c r="O850" s="413"/>
      <c r="P850" s="413"/>
      <c r="Q850" s="413"/>
    </row>
    <row r="851" spans="13:17" x14ac:dyDescent="0.55000000000000004">
      <c r="M851" s="413"/>
      <c r="N851" s="413"/>
      <c r="O851" s="413"/>
      <c r="P851" s="413"/>
      <c r="Q851" s="413"/>
    </row>
    <row r="852" spans="13:17" x14ac:dyDescent="0.55000000000000004">
      <c r="M852" s="413"/>
      <c r="N852" s="413"/>
      <c r="O852" s="413"/>
      <c r="P852" s="413"/>
      <c r="Q852" s="413"/>
    </row>
    <row r="853" spans="13:17" x14ac:dyDescent="0.55000000000000004">
      <c r="M853" s="413"/>
      <c r="N853" s="413"/>
      <c r="O853" s="413"/>
      <c r="P853" s="413"/>
      <c r="Q853" s="413"/>
    </row>
    <row r="854" spans="13:17" x14ac:dyDescent="0.55000000000000004">
      <c r="M854" s="413"/>
      <c r="N854" s="413"/>
      <c r="O854" s="413"/>
      <c r="P854" s="413"/>
      <c r="Q854" s="413"/>
    </row>
    <row r="855" spans="13:17" x14ac:dyDescent="0.55000000000000004">
      <c r="M855" s="413"/>
      <c r="N855" s="413"/>
      <c r="O855" s="413"/>
      <c r="P855" s="413"/>
      <c r="Q855" s="413"/>
    </row>
    <row r="856" spans="13:17" x14ac:dyDescent="0.55000000000000004">
      <c r="M856" s="413"/>
      <c r="N856" s="413"/>
      <c r="O856" s="413"/>
      <c r="P856" s="413"/>
      <c r="Q856" s="413"/>
    </row>
    <row r="857" spans="13:17" x14ac:dyDescent="0.55000000000000004">
      <c r="M857" s="413"/>
      <c r="N857" s="413"/>
      <c r="O857" s="413"/>
      <c r="P857" s="413"/>
      <c r="Q857" s="413"/>
    </row>
    <row r="858" spans="13:17" x14ac:dyDescent="0.55000000000000004">
      <c r="M858" s="413"/>
      <c r="N858" s="413"/>
      <c r="O858" s="413"/>
      <c r="P858" s="413"/>
      <c r="Q858" s="413"/>
    </row>
    <row r="859" spans="13:17" x14ac:dyDescent="0.55000000000000004">
      <c r="M859" s="413"/>
      <c r="N859" s="413"/>
      <c r="O859" s="413"/>
      <c r="P859" s="413"/>
      <c r="Q859" s="413"/>
    </row>
    <row r="860" spans="13:17" x14ac:dyDescent="0.55000000000000004">
      <c r="M860" s="413"/>
      <c r="N860" s="413"/>
      <c r="O860" s="413"/>
      <c r="P860" s="413"/>
      <c r="Q860" s="413"/>
    </row>
    <row r="861" spans="13:17" x14ac:dyDescent="0.55000000000000004">
      <c r="M861" s="413"/>
      <c r="N861" s="413"/>
      <c r="O861" s="413"/>
      <c r="P861" s="413"/>
      <c r="Q861" s="413"/>
    </row>
    <row r="862" spans="13:17" x14ac:dyDescent="0.55000000000000004">
      <c r="M862" s="413"/>
      <c r="N862" s="413"/>
      <c r="O862" s="413"/>
      <c r="P862" s="413"/>
      <c r="Q862" s="413"/>
    </row>
    <row r="863" spans="13:17" x14ac:dyDescent="0.55000000000000004">
      <c r="M863" s="413"/>
      <c r="N863" s="413"/>
      <c r="O863" s="413"/>
      <c r="P863" s="413"/>
      <c r="Q863" s="413"/>
    </row>
    <row r="864" spans="13:17" x14ac:dyDescent="0.55000000000000004">
      <c r="M864" s="413"/>
      <c r="N864" s="413"/>
      <c r="O864" s="413"/>
      <c r="P864" s="413"/>
      <c r="Q864" s="413"/>
    </row>
    <row r="865" spans="13:17" x14ac:dyDescent="0.55000000000000004">
      <c r="M865" s="413"/>
      <c r="N865" s="413"/>
      <c r="O865" s="413"/>
      <c r="P865" s="413"/>
      <c r="Q865" s="413"/>
    </row>
    <row r="866" spans="13:17" x14ac:dyDescent="0.55000000000000004">
      <c r="M866" s="413"/>
      <c r="N866" s="413"/>
      <c r="O866" s="413"/>
      <c r="P866" s="413"/>
      <c r="Q866" s="413"/>
    </row>
    <row r="867" spans="13:17" x14ac:dyDescent="0.55000000000000004">
      <c r="M867" s="413"/>
      <c r="N867" s="413"/>
      <c r="O867" s="413"/>
      <c r="P867" s="413"/>
      <c r="Q867" s="413"/>
    </row>
    <row r="868" spans="13:17" x14ac:dyDescent="0.55000000000000004">
      <c r="M868" s="413"/>
      <c r="N868" s="413"/>
      <c r="O868" s="413"/>
      <c r="P868" s="413"/>
      <c r="Q868" s="413"/>
    </row>
    <row r="869" spans="13:17" x14ac:dyDescent="0.55000000000000004">
      <c r="M869" s="413"/>
      <c r="N869" s="413"/>
      <c r="O869" s="413"/>
      <c r="P869" s="413"/>
      <c r="Q869" s="413"/>
    </row>
    <row r="870" spans="13:17" x14ac:dyDescent="0.55000000000000004">
      <c r="M870" s="413"/>
      <c r="N870" s="413"/>
      <c r="O870" s="413"/>
      <c r="P870" s="413"/>
      <c r="Q870" s="413"/>
    </row>
    <row r="871" spans="13:17" x14ac:dyDescent="0.55000000000000004">
      <c r="M871" s="413"/>
      <c r="N871" s="413"/>
      <c r="O871" s="413"/>
      <c r="P871" s="413"/>
      <c r="Q871" s="413"/>
    </row>
    <row r="872" spans="13:17" x14ac:dyDescent="0.55000000000000004">
      <c r="M872" s="413"/>
      <c r="N872" s="413"/>
      <c r="O872" s="413"/>
      <c r="P872" s="413"/>
      <c r="Q872" s="413"/>
    </row>
    <row r="873" spans="13:17" x14ac:dyDescent="0.55000000000000004">
      <c r="M873" s="413"/>
      <c r="N873" s="413"/>
      <c r="O873" s="413"/>
      <c r="P873" s="413"/>
      <c r="Q873" s="413"/>
    </row>
    <row r="874" spans="13:17" x14ac:dyDescent="0.55000000000000004">
      <c r="M874" s="413"/>
      <c r="N874" s="413"/>
      <c r="O874" s="413"/>
      <c r="P874" s="413"/>
      <c r="Q874" s="413"/>
    </row>
    <row r="875" spans="13:17" x14ac:dyDescent="0.55000000000000004">
      <c r="M875" s="413"/>
      <c r="N875" s="413"/>
      <c r="O875" s="413"/>
      <c r="P875" s="413"/>
      <c r="Q875" s="413"/>
    </row>
    <row r="876" spans="13:17" x14ac:dyDescent="0.55000000000000004">
      <c r="M876" s="413"/>
      <c r="N876" s="413"/>
      <c r="O876" s="413"/>
      <c r="P876" s="413"/>
      <c r="Q876" s="413"/>
    </row>
    <row r="877" spans="13:17" x14ac:dyDescent="0.55000000000000004">
      <c r="M877" s="413"/>
      <c r="N877" s="413"/>
      <c r="O877" s="413"/>
      <c r="P877" s="413"/>
      <c r="Q877" s="413"/>
    </row>
    <row r="878" spans="13:17" x14ac:dyDescent="0.55000000000000004">
      <c r="M878" s="413"/>
      <c r="N878" s="413"/>
      <c r="O878" s="413"/>
      <c r="P878" s="413"/>
      <c r="Q878" s="413"/>
    </row>
    <row r="879" spans="13:17" x14ac:dyDescent="0.55000000000000004">
      <c r="M879" s="413"/>
      <c r="N879" s="413"/>
      <c r="O879" s="413"/>
      <c r="P879" s="413"/>
      <c r="Q879" s="413"/>
    </row>
    <row r="880" spans="13:17" x14ac:dyDescent="0.55000000000000004">
      <c r="M880" s="413"/>
      <c r="N880" s="413"/>
      <c r="O880" s="413"/>
      <c r="P880" s="413"/>
      <c r="Q880" s="413"/>
    </row>
    <row r="881" spans="13:17" x14ac:dyDescent="0.55000000000000004">
      <c r="M881" s="413"/>
      <c r="N881" s="413"/>
      <c r="O881" s="413"/>
      <c r="P881" s="413"/>
      <c r="Q881" s="413"/>
    </row>
    <row r="882" spans="13:17" x14ac:dyDescent="0.55000000000000004">
      <c r="M882" s="413"/>
      <c r="N882" s="413"/>
      <c r="O882" s="413"/>
      <c r="P882" s="413"/>
      <c r="Q882" s="413"/>
    </row>
    <row r="883" spans="13:17" x14ac:dyDescent="0.55000000000000004">
      <c r="M883" s="413"/>
      <c r="N883" s="413"/>
      <c r="O883" s="413"/>
      <c r="P883" s="413"/>
      <c r="Q883" s="413"/>
    </row>
    <row r="884" spans="13:17" x14ac:dyDescent="0.55000000000000004">
      <c r="M884" s="413"/>
      <c r="N884" s="413"/>
      <c r="O884" s="413"/>
      <c r="P884" s="413"/>
      <c r="Q884" s="413"/>
    </row>
    <row r="885" spans="13:17" x14ac:dyDescent="0.55000000000000004">
      <c r="M885" s="413"/>
      <c r="N885" s="413"/>
      <c r="O885" s="413"/>
      <c r="P885" s="413"/>
      <c r="Q885" s="413"/>
    </row>
    <row r="886" spans="13:17" x14ac:dyDescent="0.55000000000000004">
      <c r="M886" s="413"/>
      <c r="N886" s="413"/>
      <c r="O886" s="413"/>
      <c r="P886" s="413"/>
      <c r="Q886" s="413"/>
    </row>
    <row r="887" spans="13:17" x14ac:dyDescent="0.55000000000000004">
      <c r="M887" s="413"/>
      <c r="N887" s="413"/>
      <c r="O887" s="413"/>
      <c r="P887" s="413"/>
      <c r="Q887" s="413"/>
    </row>
    <row r="888" spans="13:17" x14ac:dyDescent="0.55000000000000004">
      <c r="M888" s="413"/>
      <c r="N888" s="413"/>
      <c r="O888" s="413"/>
      <c r="P888" s="413"/>
      <c r="Q888" s="413"/>
    </row>
    <row r="889" spans="13:17" x14ac:dyDescent="0.55000000000000004">
      <c r="M889" s="413"/>
      <c r="N889" s="413"/>
      <c r="O889" s="413"/>
      <c r="P889" s="413"/>
      <c r="Q889" s="413"/>
    </row>
    <row r="890" spans="13:17" x14ac:dyDescent="0.55000000000000004">
      <c r="N890" s="413"/>
      <c r="O890" s="413"/>
      <c r="P890" s="413"/>
      <c r="Q890" s="413"/>
    </row>
    <row r="891" spans="13:17" x14ac:dyDescent="0.55000000000000004">
      <c r="N891" s="413"/>
      <c r="O891" s="413"/>
      <c r="P891" s="413"/>
      <c r="Q891" s="413"/>
    </row>
    <row r="892" spans="13:17" x14ac:dyDescent="0.55000000000000004">
      <c r="N892" s="413"/>
      <c r="O892" s="413"/>
      <c r="P892" s="413"/>
      <c r="Q892" s="413"/>
    </row>
    <row r="893" spans="13:17" x14ac:dyDescent="0.55000000000000004">
      <c r="N893" s="413"/>
      <c r="O893" s="413"/>
      <c r="P893" s="413"/>
      <c r="Q893" s="413"/>
    </row>
    <row r="894" spans="13:17" x14ac:dyDescent="0.55000000000000004">
      <c r="N894" s="413"/>
      <c r="O894" s="413"/>
      <c r="P894" s="413"/>
      <c r="Q894" s="413"/>
    </row>
    <row r="895" spans="13:17" x14ac:dyDescent="0.55000000000000004">
      <c r="N895" s="413"/>
      <c r="O895" s="413"/>
      <c r="P895" s="413"/>
      <c r="Q895" s="413"/>
    </row>
    <row r="896" spans="13:17" x14ac:dyDescent="0.55000000000000004">
      <c r="N896" s="413"/>
      <c r="O896" s="413"/>
      <c r="P896" s="413"/>
      <c r="Q896" s="413"/>
    </row>
    <row r="897" spans="14:17" x14ac:dyDescent="0.55000000000000004">
      <c r="N897" s="413"/>
      <c r="O897" s="413"/>
      <c r="P897" s="413"/>
      <c r="Q897" s="413"/>
    </row>
    <row r="898" spans="14:17" x14ac:dyDescent="0.55000000000000004">
      <c r="N898" s="413"/>
      <c r="O898" s="413"/>
      <c r="P898" s="413"/>
      <c r="Q898" s="413"/>
    </row>
    <row r="899" spans="14:17" x14ac:dyDescent="0.55000000000000004">
      <c r="N899" s="413"/>
      <c r="O899" s="413"/>
      <c r="P899" s="413"/>
      <c r="Q899" s="413"/>
    </row>
    <row r="900" spans="14:17" x14ac:dyDescent="0.55000000000000004">
      <c r="N900" s="413"/>
      <c r="O900" s="413"/>
      <c r="P900" s="413"/>
      <c r="Q900" s="413"/>
    </row>
    <row r="901" spans="14:17" x14ac:dyDescent="0.55000000000000004">
      <c r="N901" s="413"/>
      <c r="O901" s="413"/>
      <c r="P901" s="413"/>
      <c r="Q901" s="413"/>
    </row>
    <row r="902" spans="14:17" x14ac:dyDescent="0.55000000000000004">
      <c r="N902" s="413"/>
      <c r="O902" s="413"/>
      <c r="P902" s="413"/>
      <c r="Q902" s="413"/>
    </row>
    <row r="903" spans="14:17" x14ac:dyDescent="0.55000000000000004">
      <c r="N903" s="413"/>
      <c r="O903" s="413"/>
      <c r="P903" s="413"/>
      <c r="Q903" s="413"/>
    </row>
    <row r="904" spans="14:17" x14ac:dyDescent="0.55000000000000004">
      <c r="N904" s="413"/>
      <c r="O904" s="413"/>
      <c r="P904" s="413"/>
      <c r="Q904" s="413"/>
    </row>
    <row r="905" spans="14:17" x14ac:dyDescent="0.55000000000000004">
      <c r="N905" s="413"/>
      <c r="O905" s="413"/>
      <c r="P905" s="413"/>
      <c r="Q905" s="413"/>
    </row>
    <row r="906" spans="14:17" x14ac:dyDescent="0.55000000000000004">
      <c r="N906" s="413"/>
      <c r="O906" s="413"/>
      <c r="P906" s="413"/>
      <c r="Q906" s="413"/>
    </row>
    <row r="907" spans="14:17" x14ac:dyDescent="0.55000000000000004">
      <c r="N907" s="413"/>
      <c r="O907" s="413"/>
      <c r="P907" s="413"/>
      <c r="Q907" s="413"/>
    </row>
    <row r="908" spans="14:17" x14ac:dyDescent="0.55000000000000004">
      <c r="N908" s="413"/>
      <c r="O908" s="413"/>
      <c r="P908" s="413"/>
      <c r="Q908" s="413"/>
    </row>
    <row r="909" spans="14:17" x14ac:dyDescent="0.55000000000000004">
      <c r="N909" s="413"/>
      <c r="O909" s="413"/>
      <c r="P909" s="413"/>
      <c r="Q909" s="413"/>
    </row>
    <row r="910" spans="14:17" x14ac:dyDescent="0.55000000000000004">
      <c r="N910" s="413"/>
      <c r="O910" s="413"/>
      <c r="P910" s="413"/>
      <c r="Q910" s="413"/>
    </row>
    <row r="911" spans="14:17" x14ac:dyDescent="0.55000000000000004">
      <c r="N911" s="413"/>
      <c r="O911" s="413"/>
      <c r="P911" s="413"/>
      <c r="Q911" s="413"/>
    </row>
    <row r="912" spans="14:17" x14ac:dyDescent="0.55000000000000004">
      <c r="N912" s="413"/>
      <c r="O912" s="413"/>
      <c r="P912" s="413"/>
      <c r="Q912" s="413"/>
    </row>
    <row r="913" spans="14:17" x14ac:dyDescent="0.55000000000000004">
      <c r="N913" s="413"/>
      <c r="O913" s="413"/>
      <c r="P913" s="413"/>
      <c r="Q913" s="413"/>
    </row>
    <row r="914" spans="14:17" x14ac:dyDescent="0.55000000000000004">
      <c r="N914" s="413"/>
      <c r="O914" s="413"/>
      <c r="P914" s="413"/>
      <c r="Q914" s="413"/>
    </row>
    <row r="915" spans="14:17" x14ac:dyDescent="0.55000000000000004">
      <c r="N915" s="413"/>
      <c r="O915" s="413"/>
      <c r="P915" s="413"/>
      <c r="Q915" s="413"/>
    </row>
    <row r="916" spans="14:17" x14ac:dyDescent="0.55000000000000004">
      <c r="N916" s="413"/>
      <c r="O916" s="413"/>
      <c r="P916" s="413"/>
      <c r="Q916" s="413"/>
    </row>
    <row r="917" spans="14:17" x14ac:dyDescent="0.55000000000000004">
      <c r="N917" s="413"/>
      <c r="O917" s="413"/>
      <c r="P917" s="413"/>
      <c r="Q917" s="413"/>
    </row>
    <row r="918" spans="14:17" x14ac:dyDescent="0.55000000000000004">
      <c r="N918" s="413"/>
      <c r="O918" s="413"/>
      <c r="P918" s="413"/>
      <c r="Q918" s="413"/>
    </row>
    <row r="919" spans="14:17" x14ac:dyDescent="0.55000000000000004">
      <c r="N919" s="413"/>
      <c r="O919" s="413"/>
      <c r="P919" s="413"/>
      <c r="Q919" s="413"/>
    </row>
    <row r="920" spans="14:17" x14ac:dyDescent="0.55000000000000004">
      <c r="N920" s="413"/>
      <c r="O920" s="413"/>
      <c r="P920" s="413"/>
      <c r="Q920" s="413"/>
    </row>
    <row r="921" spans="14:17" x14ac:dyDescent="0.55000000000000004">
      <c r="N921" s="413"/>
      <c r="O921" s="413"/>
      <c r="P921" s="413"/>
      <c r="Q921" s="413"/>
    </row>
    <row r="922" spans="14:17" x14ac:dyDescent="0.55000000000000004">
      <c r="N922" s="413"/>
      <c r="O922" s="413"/>
      <c r="P922" s="413"/>
      <c r="Q922" s="413"/>
    </row>
    <row r="923" spans="14:17" x14ac:dyDescent="0.55000000000000004">
      <c r="N923" s="413"/>
      <c r="O923" s="413"/>
      <c r="P923" s="413"/>
      <c r="Q923" s="413"/>
    </row>
    <row r="924" spans="14:17" x14ac:dyDescent="0.55000000000000004">
      <c r="N924" s="413"/>
      <c r="O924" s="413"/>
      <c r="P924" s="413"/>
      <c r="Q924" s="413"/>
    </row>
    <row r="925" spans="14:17" x14ac:dyDescent="0.55000000000000004">
      <c r="N925" s="413"/>
      <c r="O925" s="413"/>
      <c r="P925" s="413"/>
      <c r="Q925" s="413"/>
    </row>
    <row r="926" spans="14:17" x14ac:dyDescent="0.55000000000000004">
      <c r="N926" s="413"/>
      <c r="O926" s="413"/>
      <c r="P926" s="413"/>
      <c r="Q926" s="413"/>
    </row>
    <row r="927" spans="14:17" x14ac:dyDescent="0.55000000000000004">
      <c r="N927" s="413"/>
      <c r="O927" s="413"/>
      <c r="P927" s="413"/>
      <c r="Q927" s="413"/>
    </row>
    <row r="928" spans="14:17" x14ac:dyDescent="0.55000000000000004">
      <c r="N928" s="413"/>
      <c r="O928" s="413"/>
      <c r="P928" s="413"/>
      <c r="Q928" s="413"/>
    </row>
    <row r="929" spans="14:17" x14ac:dyDescent="0.55000000000000004">
      <c r="N929" s="413"/>
      <c r="O929" s="413"/>
      <c r="P929" s="413"/>
      <c r="Q929" s="413"/>
    </row>
    <row r="930" spans="14:17" x14ac:dyDescent="0.55000000000000004">
      <c r="N930" s="413"/>
      <c r="O930" s="413"/>
      <c r="P930" s="413"/>
      <c r="Q930" s="413"/>
    </row>
    <row r="931" spans="14:17" x14ac:dyDescent="0.55000000000000004">
      <c r="N931" s="413"/>
      <c r="O931" s="413"/>
      <c r="P931" s="413"/>
      <c r="Q931" s="413"/>
    </row>
    <row r="932" spans="14:17" x14ac:dyDescent="0.55000000000000004">
      <c r="N932" s="413"/>
      <c r="O932" s="413"/>
      <c r="P932" s="413"/>
      <c r="Q932" s="413"/>
    </row>
    <row r="933" spans="14:17" x14ac:dyDescent="0.55000000000000004">
      <c r="N933" s="413"/>
      <c r="O933" s="413"/>
      <c r="P933" s="413"/>
      <c r="Q933" s="413"/>
    </row>
    <row r="934" spans="14:17" x14ac:dyDescent="0.55000000000000004">
      <c r="N934" s="413"/>
      <c r="O934" s="413"/>
      <c r="P934" s="413"/>
      <c r="Q934" s="413"/>
    </row>
    <row r="935" spans="14:17" x14ac:dyDescent="0.55000000000000004">
      <c r="N935" s="413"/>
      <c r="O935" s="413"/>
      <c r="P935" s="413"/>
      <c r="Q935" s="413"/>
    </row>
    <row r="936" spans="14:17" x14ac:dyDescent="0.55000000000000004">
      <c r="N936" s="413"/>
      <c r="O936" s="413"/>
      <c r="P936" s="413"/>
      <c r="Q936" s="413"/>
    </row>
    <row r="937" spans="14:17" x14ac:dyDescent="0.55000000000000004">
      <c r="N937" s="413"/>
      <c r="O937" s="413"/>
      <c r="P937" s="413"/>
      <c r="Q937" s="413"/>
    </row>
    <row r="938" spans="14:17" x14ac:dyDescent="0.55000000000000004">
      <c r="N938" s="413"/>
      <c r="O938" s="413"/>
      <c r="P938" s="413"/>
      <c r="Q938" s="413"/>
    </row>
    <row r="939" spans="14:17" x14ac:dyDescent="0.55000000000000004">
      <c r="N939" s="413"/>
      <c r="O939" s="413"/>
      <c r="P939" s="413"/>
      <c r="Q939" s="413"/>
    </row>
    <row r="940" spans="14:17" x14ac:dyDescent="0.55000000000000004">
      <c r="N940" s="413"/>
      <c r="O940" s="413"/>
      <c r="P940" s="413"/>
      <c r="Q940" s="413"/>
    </row>
    <row r="941" spans="14:17" x14ac:dyDescent="0.55000000000000004">
      <c r="N941" s="413"/>
      <c r="O941" s="413"/>
      <c r="P941" s="413"/>
      <c r="Q941" s="413"/>
    </row>
    <row r="942" spans="14:17" x14ac:dyDescent="0.55000000000000004">
      <c r="N942" s="413"/>
      <c r="O942" s="413"/>
      <c r="P942" s="413"/>
      <c r="Q942" s="413"/>
    </row>
    <row r="943" spans="14:17" x14ac:dyDescent="0.55000000000000004">
      <c r="N943" s="413"/>
      <c r="O943" s="413"/>
      <c r="P943" s="413"/>
      <c r="Q943" s="413"/>
    </row>
    <row r="944" spans="14:17" x14ac:dyDescent="0.55000000000000004">
      <c r="N944" s="413"/>
      <c r="O944" s="413"/>
      <c r="P944" s="413"/>
      <c r="Q944" s="413"/>
    </row>
    <row r="945" spans="14:17" x14ac:dyDescent="0.55000000000000004">
      <c r="N945" s="413"/>
      <c r="O945" s="413"/>
      <c r="P945" s="413"/>
      <c r="Q945" s="413"/>
    </row>
    <row r="946" spans="14:17" x14ac:dyDescent="0.55000000000000004">
      <c r="N946" s="413"/>
      <c r="O946" s="413"/>
      <c r="P946" s="413"/>
      <c r="Q946" s="413"/>
    </row>
    <row r="947" spans="14:17" x14ac:dyDescent="0.55000000000000004">
      <c r="N947" s="413"/>
      <c r="O947" s="413"/>
      <c r="P947" s="413"/>
      <c r="Q947" s="413"/>
    </row>
    <row r="948" spans="14:17" x14ac:dyDescent="0.55000000000000004">
      <c r="N948" s="413"/>
      <c r="O948" s="413"/>
      <c r="P948" s="413"/>
      <c r="Q948" s="413"/>
    </row>
    <row r="949" spans="14:17" x14ac:dyDescent="0.55000000000000004">
      <c r="N949" s="413"/>
      <c r="O949" s="413"/>
      <c r="P949" s="413"/>
      <c r="Q949" s="413"/>
    </row>
    <row r="950" spans="14:17" x14ac:dyDescent="0.55000000000000004">
      <c r="N950" s="413"/>
      <c r="O950" s="413"/>
      <c r="P950" s="413"/>
      <c r="Q950" s="413"/>
    </row>
    <row r="951" spans="14:17" x14ac:dyDescent="0.55000000000000004">
      <c r="N951" s="413"/>
      <c r="O951" s="413"/>
      <c r="P951" s="413"/>
      <c r="Q951" s="413"/>
    </row>
    <row r="952" spans="14:17" x14ac:dyDescent="0.55000000000000004">
      <c r="N952" s="413"/>
      <c r="O952" s="413"/>
      <c r="P952" s="413"/>
      <c r="Q952" s="413"/>
    </row>
    <row r="953" spans="14:17" x14ac:dyDescent="0.55000000000000004">
      <c r="N953" s="413"/>
      <c r="O953" s="413"/>
      <c r="P953" s="413"/>
      <c r="Q953" s="413"/>
    </row>
    <row r="954" spans="14:17" x14ac:dyDescent="0.55000000000000004">
      <c r="N954" s="413"/>
      <c r="O954" s="413"/>
      <c r="P954" s="413"/>
      <c r="Q954" s="413"/>
    </row>
    <row r="955" spans="14:17" x14ac:dyDescent="0.55000000000000004">
      <c r="N955" s="413"/>
      <c r="O955" s="413"/>
      <c r="P955" s="413"/>
      <c r="Q955" s="413"/>
    </row>
    <row r="956" spans="14:17" x14ac:dyDescent="0.55000000000000004">
      <c r="N956" s="413"/>
      <c r="O956" s="413"/>
      <c r="P956" s="413"/>
      <c r="Q956" s="413"/>
    </row>
    <row r="957" spans="14:17" x14ac:dyDescent="0.55000000000000004">
      <c r="N957" s="413"/>
      <c r="O957" s="413"/>
      <c r="P957" s="413"/>
      <c r="Q957" s="413"/>
    </row>
    <row r="958" spans="14:17" x14ac:dyDescent="0.55000000000000004">
      <c r="N958" s="413"/>
      <c r="O958" s="413"/>
      <c r="P958" s="413"/>
      <c r="Q958" s="413"/>
    </row>
    <row r="959" spans="14:17" x14ac:dyDescent="0.55000000000000004">
      <c r="N959" s="413"/>
      <c r="O959" s="413"/>
      <c r="P959" s="413"/>
      <c r="Q959" s="413"/>
    </row>
    <row r="960" spans="14:17" x14ac:dyDescent="0.55000000000000004">
      <c r="N960" s="413"/>
      <c r="O960" s="413"/>
      <c r="P960" s="413"/>
      <c r="Q960" s="413"/>
    </row>
    <row r="961" spans="14:17" x14ac:dyDescent="0.55000000000000004">
      <c r="N961" s="413"/>
      <c r="O961" s="413"/>
      <c r="P961" s="413"/>
      <c r="Q961" s="413"/>
    </row>
    <row r="962" spans="14:17" x14ac:dyDescent="0.55000000000000004">
      <c r="N962" s="413"/>
      <c r="O962" s="413"/>
      <c r="P962" s="413"/>
      <c r="Q962" s="413"/>
    </row>
    <row r="963" spans="14:17" x14ac:dyDescent="0.55000000000000004">
      <c r="N963" s="413"/>
      <c r="O963" s="413"/>
      <c r="P963" s="413"/>
      <c r="Q963" s="413"/>
    </row>
    <row r="964" spans="14:17" x14ac:dyDescent="0.55000000000000004">
      <c r="N964" s="413"/>
      <c r="O964" s="413"/>
      <c r="P964" s="413"/>
      <c r="Q964" s="413"/>
    </row>
    <row r="965" spans="14:17" x14ac:dyDescent="0.55000000000000004">
      <c r="N965" s="413"/>
      <c r="O965" s="413"/>
      <c r="P965" s="413"/>
      <c r="Q965" s="413"/>
    </row>
    <row r="966" spans="14:17" x14ac:dyDescent="0.55000000000000004">
      <c r="N966" s="413"/>
      <c r="O966" s="413"/>
      <c r="P966" s="413"/>
      <c r="Q966" s="413"/>
    </row>
    <row r="967" spans="14:17" x14ac:dyDescent="0.55000000000000004">
      <c r="N967" s="413"/>
      <c r="O967" s="413"/>
      <c r="P967" s="413"/>
      <c r="Q967" s="413"/>
    </row>
    <row r="968" spans="14:17" x14ac:dyDescent="0.55000000000000004">
      <c r="N968" s="413"/>
      <c r="O968" s="413"/>
      <c r="P968" s="413"/>
      <c r="Q968" s="413"/>
    </row>
    <row r="969" spans="14:17" x14ac:dyDescent="0.55000000000000004">
      <c r="N969" s="413"/>
      <c r="O969" s="413"/>
      <c r="P969" s="413"/>
      <c r="Q969" s="413"/>
    </row>
    <row r="970" spans="14:17" x14ac:dyDescent="0.55000000000000004">
      <c r="N970" s="413"/>
      <c r="O970" s="413"/>
      <c r="P970" s="413"/>
      <c r="Q970" s="413"/>
    </row>
    <row r="971" spans="14:17" x14ac:dyDescent="0.55000000000000004">
      <c r="N971" s="413"/>
      <c r="O971" s="413"/>
      <c r="P971" s="413"/>
      <c r="Q971" s="413"/>
    </row>
    <row r="972" spans="14:17" x14ac:dyDescent="0.55000000000000004">
      <c r="N972" s="413"/>
      <c r="O972" s="413"/>
      <c r="P972" s="413"/>
      <c r="Q972" s="413"/>
    </row>
    <row r="973" spans="14:17" x14ac:dyDescent="0.55000000000000004">
      <c r="N973" s="413"/>
      <c r="O973" s="413"/>
      <c r="P973" s="413"/>
      <c r="Q973" s="413"/>
    </row>
    <row r="974" spans="14:17" x14ac:dyDescent="0.55000000000000004">
      <c r="N974" s="413"/>
      <c r="O974" s="413"/>
      <c r="P974" s="413"/>
      <c r="Q974" s="413"/>
    </row>
    <row r="975" spans="14:17" x14ac:dyDescent="0.55000000000000004">
      <c r="N975" s="413"/>
      <c r="O975" s="413"/>
      <c r="P975" s="413"/>
      <c r="Q975" s="413"/>
    </row>
    <row r="976" spans="14:17" x14ac:dyDescent="0.55000000000000004">
      <c r="N976" s="413"/>
      <c r="O976" s="413"/>
      <c r="P976" s="413"/>
      <c r="Q976" s="413"/>
    </row>
    <row r="977" spans="14:17" x14ac:dyDescent="0.55000000000000004">
      <c r="N977" s="413"/>
      <c r="O977" s="413"/>
      <c r="P977" s="413"/>
      <c r="Q977" s="413"/>
    </row>
    <row r="978" spans="14:17" x14ac:dyDescent="0.55000000000000004">
      <c r="N978" s="413"/>
      <c r="O978" s="413"/>
      <c r="P978" s="413"/>
      <c r="Q978" s="413"/>
    </row>
    <row r="979" spans="14:17" x14ac:dyDescent="0.55000000000000004">
      <c r="N979" s="413"/>
      <c r="O979" s="413"/>
      <c r="P979" s="413"/>
      <c r="Q979" s="413"/>
    </row>
    <row r="980" spans="14:17" x14ac:dyDescent="0.55000000000000004">
      <c r="N980" s="413"/>
      <c r="O980" s="413"/>
      <c r="P980" s="413"/>
      <c r="Q980" s="413"/>
    </row>
    <row r="981" spans="14:17" x14ac:dyDescent="0.55000000000000004">
      <c r="N981" s="413"/>
      <c r="O981" s="413"/>
      <c r="P981" s="413"/>
      <c r="Q981" s="413"/>
    </row>
    <row r="982" spans="14:17" x14ac:dyDescent="0.55000000000000004">
      <c r="N982" s="413"/>
      <c r="O982" s="413"/>
      <c r="P982" s="413"/>
      <c r="Q982" s="413"/>
    </row>
    <row r="983" spans="14:17" x14ac:dyDescent="0.55000000000000004">
      <c r="N983" s="413"/>
      <c r="O983" s="413"/>
      <c r="P983" s="413"/>
      <c r="Q983" s="413"/>
    </row>
    <row r="984" spans="14:17" x14ac:dyDescent="0.55000000000000004">
      <c r="N984" s="413"/>
      <c r="O984" s="413"/>
      <c r="P984" s="413"/>
      <c r="Q984" s="413"/>
    </row>
    <row r="985" spans="14:17" x14ac:dyDescent="0.55000000000000004">
      <c r="N985" s="413"/>
      <c r="O985" s="413"/>
      <c r="P985" s="413"/>
      <c r="Q985" s="413"/>
    </row>
    <row r="986" spans="14:17" x14ac:dyDescent="0.55000000000000004">
      <c r="N986" s="413"/>
      <c r="O986" s="413"/>
      <c r="P986" s="413"/>
      <c r="Q986" s="413"/>
    </row>
    <row r="987" spans="14:17" x14ac:dyDescent="0.55000000000000004">
      <c r="N987" s="413"/>
      <c r="O987" s="413"/>
      <c r="P987" s="413"/>
      <c r="Q987" s="413"/>
    </row>
    <row r="988" spans="14:17" x14ac:dyDescent="0.55000000000000004">
      <c r="N988" s="413"/>
      <c r="O988" s="413"/>
      <c r="P988" s="413"/>
      <c r="Q988" s="413"/>
    </row>
    <row r="989" spans="14:17" x14ac:dyDescent="0.55000000000000004">
      <c r="N989" s="413"/>
      <c r="O989" s="413"/>
      <c r="P989" s="413"/>
      <c r="Q989" s="413"/>
    </row>
    <row r="990" spans="14:17" x14ac:dyDescent="0.55000000000000004">
      <c r="N990" s="413"/>
      <c r="O990" s="413"/>
      <c r="P990" s="413"/>
      <c r="Q990" s="413"/>
    </row>
    <row r="991" spans="14:17" x14ac:dyDescent="0.55000000000000004">
      <c r="N991" s="413"/>
      <c r="O991" s="413"/>
      <c r="P991" s="413"/>
      <c r="Q991" s="413"/>
    </row>
    <row r="992" spans="14:17" x14ac:dyDescent="0.55000000000000004">
      <c r="N992" s="413"/>
      <c r="O992" s="413"/>
      <c r="P992" s="413"/>
      <c r="Q992" s="413"/>
    </row>
    <row r="993" spans="14:17" x14ac:dyDescent="0.55000000000000004">
      <c r="N993" s="413"/>
      <c r="O993" s="413"/>
      <c r="P993" s="413"/>
      <c r="Q993" s="413"/>
    </row>
    <row r="994" spans="14:17" x14ac:dyDescent="0.55000000000000004">
      <c r="N994" s="413"/>
      <c r="O994" s="413"/>
      <c r="P994" s="413"/>
      <c r="Q994" s="413"/>
    </row>
    <row r="995" spans="14:17" x14ac:dyDescent="0.55000000000000004">
      <c r="N995" s="413"/>
      <c r="O995" s="413"/>
      <c r="P995" s="413"/>
      <c r="Q995" s="413"/>
    </row>
    <row r="996" spans="14:17" x14ac:dyDescent="0.55000000000000004">
      <c r="N996" s="413"/>
      <c r="O996" s="413"/>
      <c r="P996" s="413"/>
      <c r="Q996" s="413"/>
    </row>
    <row r="997" spans="14:17" x14ac:dyDescent="0.55000000000000004">
      <c r="N997" s="413"/>
      <c r="O997" s="413"/>
      <c r="P997" s="413"/>
      <c r="Q997" s="413"/>
    </row>
    <row r="998" spans="14:17" x14ac:dyDescent="0.55000000000000004">
      <c r="N998" s="413"/>
      <c r="O998" s="413"/>
      <c r="P998" s="413"/>
      <c r="Q998" s="413"/>
    </row>
    <row r="999" spans="14:17" x14ac:dyDescent="0.55000000000000004">
      <c r="N999" s="413"/>
      <c r="O999" s="413"/>
      <c r="P999" s="413"/>
      <c r="Q999" s="413"/>
    </row>
    <row r="1000" spans="14:17" x14ac:dyDescent="0.55000000000000004">
      <c r="N1000" s="413"/>
      <c r="O1000" s="413"/>
      <c r="P1000" s="413"/>
      <c r="Q1000" s="413"/>
    </row>
    <row r="1001" spans="14:17" x14ac:dyDescent="0.55000000000000004">
      <c r="N1001" s="413"/>
      <c r="O1001" s="413"/>
      <c r="P1001" s="413"/>
      <c r="Q1001" s="413"/>
    </row>
    <row r="1002" spans="14:17" x14ac:dyDescent="0.55000000000000004">
      <c r="N1002" s="413"/>
      <c r="O1002" s="413"/>
      <c r="P1002" s="413"/>
      <c r="Q1002" s="413"/>
    </row>
    <row r="1003" spans="14:17" x14ac:dyDescent="0.55000000000000004">
      <c r="N1003" s="413"/>
      <c r="O1003" s="413"/>
      <c r="P1003" s="413"/>
      <c r="Q1003" s="413"/>
    </row>
    <row r="1004" spans="14:17" x14ac:dyDescent="0.55000000000000004">
      <c r="N1004" s="413"/>
      <c r="O1004" s="413"/>
      <c r="P1004" s="413"/>
      <c r="Q1004" s="413"/>
    </row>
    <row r="2298" spans="1:32" x14ac:dyDescent="0.55000000000000004">
      <c r="AF2298" s="86"/>
    </row>
    <row r="2302" spans="1:32" x14ac:dyDescent="0.55000000000000004">
      <c r="S2302" s="86"/>
      <c r="T2302" s="86"/>
      <c r="U2302" s="86"/>
    </row>
    <row r="2303" spans="1:32" s="86" customFormat="1" x14ac:dyDescent="0.55000000000000004">
      <c r="A2303" s="85"/>
      <c r="B2303" s="311"/>
      <c r="C2303" s="311"/>
      <c r="D2303" s="311"/>
      <c r="E2303" s="313"/>
      <c r="F2303" s="76"/>
      <c r="G2303" s="76"/>
      <c r="H2303" s="76"/>
      <c r="I2303" s="11"/>
      <c r="J2303" s="76"/>
      <c r="K2303" s="11"/>
      <c r="L2303" s="84"/>
      <c r="M2303" s="316"/>
      <c r="N2303" s="70"/>
      <c r="O2303" s="401"/>
      <c r="P2303" s="396"/>
      <c r="S2303" s="2"/>
      <c r="T2303" s="2"/>
      <c r="U2303" s="2"/>
      <c r="AF2303" s="2"/>
    </row>
    <row r="2488" spans="1:32" x14ac:dyDescent="0.55000000000000004">
      <c r="AF2488" s="86"/>
    </row>
    <row r="2492" spans="1:32" x14ac:dyDescent="0.55000000000000004">
      <c r="S2492" s="86"/>
      <c r="T2492" s="86"/>
      <c r="U2492" s="86"/>
    </row>
    <row r="2493" spans="1:32" s="86" customFormat="1" x14ac:dyDescent="0.55000000000000004">
      <c r="A2493" s="85"/>
      <c r="B2493" s="311"/>
      <c r="C2493" s="311"/>
      <c r="D2493" s="311"/>
      <c r="E2493" s="313"/>
      <c r="F2493" s="76"/>
      <c r="G2493" s="76"/>
      <c r="H2493" s="76"/>
      <c r="I2493" s="11"/>
      <c r="J2493" s="76"/>
      <c r="K2493" s="11"/>
      <c r="L2493" s="84"/>
      <c r="M2493" s="316"/>
      <c r="N2493" s="70"/>
      <c r="O2493" s="401"/>
      <c r="P2493" s="396"/>
      <c r="S2493" s="2"/>
      <c r="T2493" s="2"/>
      <c r="U2493" s="2"/>
      <c r="AF2493" s="2"/>
    </row>
    <row r="2596" spans="1:32" x14ac:dyDescent="0.55000000000000004">
      <c r="AF2596" s="86"/>
    </row>
    <row r="2600" spans="1:32" x14ac:dyDescent="0.55000000000000004">
      <c r="S2600" s="86"/>
      <c r="T2600" s="86"/>
      <c r="U2600" s="86"/>
    </row>
    <row r="2601" spans="1:32" s="86" customFormat="1" x14ac:dyDescent="0.55000000000000004">
      <c r="A2601" s="85"/>
      <c r="B2601" s="311"/>
      <c r="C2601" s="311"/>
      <c r="D2601" s="311"/>
      <c r="E2601" s="313"/>
      <c r="F2601" s="76"/>
      <c r="G2601" s="76"/>
      <c r="H2601" s="76"/>
      <c r="I2601" s="11"/>
      <c r="J2601" s="76"/>
      <c r="K2601" s="11"/>
      <c r="L2601" s="84"/>
      <c r="M2601" s="316"/>
      <c r="N2601" s="70"/>
      <c r="O2601" s="401"/>
      <c r="P2601" s="396"/>
      <c r="S2601" s="2"/>
      <c r="T2601" s="2"/>
      <c r="U2601" s="2"/>
      <c r="AF2601" s="2"/>
    </row>
    <row r="2635" spans="1:32" x14ac:dyDescent="0.55000000000000004">
      <c r="AF2635" s="86"/>
    </row>
    <row r="2639" spans="1:32" x14ac:dyDescent="0.55000000000000004">
      <c r="S2639" s="86"/>
      <c r="T2639" s="86"/>
      <c r="U2639" s="86"/>
      <c r="AF2639" s="87"/>
    </row>
    <row r="2640" spans="1:32" s="86" customFormat="1" x14ac:dyDescent="0.55000000000000004">
      <c r="A2640" s="85"/>
      <c r="B2640" s="311"/>
      <c r="C2640" s="311"/>
      <c r="D2640" s="311"/>
      <c r="E2640" s="313"/>
      <c r="F2640" s="76"/>
      <c r="G2640" s="76"/>
      <c r="H2640" s="76"/>
      <c r="I2640" s="11"/>
      <c r="J2640" s="76"/>
      <c r="K2640" s="11"/>
      <c r="L2640" s="84"/>
      <c r="M2640" s="316"/>
      <c r="N2640" s="70"/>
      <c r="O2640" s="401"/>
      <c r="P2640" s="396"/>
      <c r="S2640" s="2"/>
      <c r="T2640" s="2"/>
      <c r="U2640" s="2"/>
      <c r="AF2640" s="2"/>
    </row>
    <row r="2643" spans="1:32" x14ac:dyDescent="0.55000000000000004">
      <c r="S2643" s="87"/>
      <c r="T2643" s="87"/>
      <c r="U2643" s="87"/>
    </row>
    <row r="2644" spans="1:32" s="87" customFormat="1" x14ac:dyDescent="0.55000000000000004">
      <c r="A2644" s="85"/>
      <c r="B2644" s="311"/>
      <c r="C2644" s="311"/>
      <c r="D2644" s="311"/>
      <c r="E2644" s="313"/>
      <c r="F2644" s="76"/>
      <c r="G2644" s="76"/>
      <c r="H2644" s="76"/>
      <c r="I2644" s="11"/>
      <c r="J2644" s="76"/>
      <c r="K2644" s="11"/>
      <c r="L2644" s="84"/>
      <c r="M2644" s="316"/>
      <c r="N2644" s="70"/>
      <c r="O2644" s="401"/>
      <c r="P2644" s="397"/>
      <c r="S2644" s="2"/>
      <c r="T2644" s="2"/>
      <c r="U2644" s="2"/>
      <c r="AF2644" s="2"/>
    </row>
    <row r="3127" spans="2:32" x14ac:dyDescent="0.55000000000000004">
      <c r="AF3127" s="85"/>
    </row>
    <row r="3132" spans="2:32" s="85" customFormat="1" ht="15" customHeight="1" x14ac:dyDescent="0.55000000000000004">
      <c r="B3132" s="311"/>
      <c r="C3132" s="311"/>
      <c r="D3132" s="311"/>
      <c r="E3132" s="313"/>
      <c r="F3132" s="76"/>
      <c r="G3132" s="76"/>
      <c r="H3132" s="76"/>
      <c r="I3132" s="11"/>
      <c r="J3132" s="76"/>
      <c r="K3132" s="11"/>
      <c r="L3132" s="84"/>
      <c r="M3132" s="316"/>
      <c r="N3132" s="70"/>
      <c r="O3132" s="401"/>
      <c r="P3132" s="283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</row>
    <row r="4396" spans="32:32" x14ac:dyDescent="0.55000000000000004">
      <c r="AF4396" s="85"/>
    </row>
    <row r="4401" spans="2:32" s="85" customFormat="1" ht="15" customHeight="1" x14ac:dyDescent="0.55000000000000004">
      <c r="B4401" s="311"/>
      <c r="C4401" s="311"/>
      <c r="D4401" s="311"/>
      <c r="E4401" s="313"/>
      <c r="F4401" s="76"/>
      <c r="G4401" s="76"/>
      <c r="H4401" s="76"/>
      <c r="I4401" s="11"/>
      <c r="J4401" s="76"/>
      <c r="K4401" s="11"/>
      <c r="L4401" s="84"/>
      <c r="M4401" s="316"/>
      <c r="N4401" s="70"/>
      <c r="O4401" s="401"/>
      <c r="P4401" s="283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</row>
  </sheetData>
  <autoFilter ref="A48:AF64" xr:uid="{00000000-0009-0000-0000-000003000000}"/>
  <mergeCells count="36">
    <mergeCell ref="B27:D27"/>
    <mergeCell ref="J37:J38"/>
    <mergeCell ref="M36:N37"/>
    <mergeCell ref="L32:N35"/>
    <mergeCell ref="L38:L39"/>
    <mergeCell ref="L36:L37"/>
    <mergeCell ref="M38:N39"/>
    <mergeCell ref="A2:N2"/>
    <mergeCell ref="A3:B3"/>
    <mergeCell ref="F3:G3"/>
    <mergeCell ref="A4:A7"/>
    <mergeCell ref="F4:F7"/>
    <mergeCell ref="J9:J10"/>
    <mergeCell ref="L13:L14"/>
    <mergeCell ref="J33:J34"/>
    <mergeCell ref="L27:N27"/>
    <mergeCell ref="L8:N12"/>
    <mergeCell ref="M20:N20"/>
    <mergeCell ref="L15:L17"/>
    <mergeCell ref="M13:N14"/>
    <mergeCell ref="L42:N42"/>
    <mergeCell ref="L43:N44"/>
    <mergeCell ref="L40:L41"/>
    <mergeCell ref="M40:N41"/>
    <mergeCell ref="A1:C1"/>
    <mergeCell ref="B30:D30"/>
    <mergeCell ref="L30:N30"/>
    <mergeCell ref="L28:N28"/>
    <mergeCell ref="B29:D29"/>
    <mergeCell ref="L29:N29"/>
    <mergeCell ref="B28:D28"/>
    <mergeCell ref="L21:N22"/>
    <mergeCell ref="M15:N17"/>
    <mergeCell ref="L18:L19"/>
    <mergeCell ref="M18:N19"/>
    <mergeCell ref="J14:J15"/>
  </mergeCells>
  <printOptions horizontalCentered="1"/>
  <pageMargins left="0.2" right="0.25" top="0.25" bottom="0.25" header="0.3" footer="0.3"/>
  <pageSetup paperSize="9" orientation="portrait" horizontalDpi="360" verticalDpi="360" r:id="rId1"/>
  <colBreaks count="1" manualBreakCount="1">
    <brk id="17" min="47" max="196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124"/>
  <sheetViews>
    <sheetView topLeftCell="A36" zoomScaleNormal="100" workbookViewId="0">
      <selection activeCell="A103" sqref="A103"/>
    </sheetView>
  </sheetViews>
  <sheetFormatPr defaultColWidth="8.796875" defaultRowHeight="15.75" x14ac:dyDescent="0.55000000000000004"/>
  <cols>
    <col min="1" max="1" width="17.59765625" style="2" customWidth="1"/>
    <col min="2" max="2" width="8.19921875" style="2" customWidth="1"/>
    <col min="3" max="3" width="8.796875" style="83"/>
    <col min="4" max="4" width="9.19921875" style="83" customWidth="1"/>
    <col min="5" max="5" width="10.796875" style="435" customWidth="1"/>
    <col min="6" max="6" width="10.59765625" style="2" customWidth="1"/>
    <col min="7" max="7" width="10.19921875" style="76" customWidth="1"/>
    <col min="8" max="8" width="9.3984375" style="2" bestFit="1" customWidth="1"/>
    <col min="9" max="9" width="9.59765625" style="2" customWidth="1"/>
    <col min="10" max="10" width="10.19921875" style="2" bestFit="1" customWidth="1"/>
    <col min="11" max="11" width="8.19921875" style="2" customWidth="1"/>
    <col min="12" max="12" width="8.3984375" style="87" bestFit="1" customWidth="1"/>
    <col min="13" max="13" width="11.796875" style="2" customWidth="1"/>
    <col min="14" max="14" width="9.19921875" style="2" customWidth="1"/>
    <col min="15" max="15" width="8.796875" style="2"/>
    <col min="16" max="16" width="14.59765625" style="2" bestFit="1" customWidth="1"/>
    <col min="17" max="16384" width="8.796875" style="2"/>
  </cols>
  <sheetData>
    <row r="1" spans="1:16" ht="30.75" customHeight="1" x14ac:dyDescent="0.55000000000000004">
      <c r="A1" s="782" t="s">
        <v>561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</row>
    <row r="2" spans="1:16" ht="15.6" hidden="1" customHeight="1" x14ac:dyDescent="0.55000000000000004">
      <c r="A2" s="848" t="s">
        <v>62</v>
      </c>
      <c r="B2" s="89"/>
      <c r="C2" s="90" t="s">
        <v>63</v>
      </c>
      <c r="D2" s="90" t="s">
        <v>44</v>
      </c>
      <c r="F2" s="849" t="s">
        <v>64</v>
      </c>
      <c r="G2" s="850"/>
      <c r="I2" s="851" t="s">
        <v>65</v>
      </c>
      <c r="J2" s="240"/>
      <c r="K2" s="92" t="s">
        <v>63</v>
      </c>
      <c r="L2" s="246" t="s">
        <v>44</v>
      </c>
    </row>
    <row r="3" spans="1:16" hidden="1" x14ac:dyDescent="0.55000000000000004">
      <c r="A3" s="848"/>
      <c r="B3" s="89" t="s">
        <v>66</v>
      </c>
      <c r="C3" s="90">
        <v>307</v>
      </c>
      <c r="D3" s="93">
        <v>10256.17</v>
      </c>
      <c r="F3" s="94" t="s">
        <v>63</v>
      </c>
      <c r="G3" s="97" t="s">
        <v>44</v>
      </c>
      <c r="I3" s="851"/>
      <c r="J3" s="240" t="s">
        <v>66</v>
      </c>
      <c r="K3" s="92">
        <v>43</v>
      </c>
      <c r="L3" s="247">
        <v>1732.3</v>
      </c>
    </row>
    <row r="4" spans="1:16" hidden="1" x14ac:dyDescent="0.55000000000000004">
      <c r="A4" s="848"/>
      <c r="B4" s="89" t="s">
        <v>48</v>
      </c>
      <c r="C4" s="90">
        <f ca="1">SUMIF($D:$D,"CPB",$K:$K)</f>
        <v>3</v>
      </c>
      <c r="D4" s="93">
        <f ca="1">SUMIF($D:$D,"CPB",$J:$J)</f>
        <v>77.039999999999992</v>
      </c>
      <c r="F4" s="96" t="e">
        <f>SUM(#REF!)</f>
        <v>#REF!</v>
      </c>
      <c r="G4" s="97" t="e">
        <f>SUM(#REF!)</f>
        <v>#REF!</v>
      </c>
      <c r="I4" s="851"/>
      <c r="J4" s="240" t="s">
        <v>48</v>
      </c>
      <c r="K4" s="92">
        <f ca="1">SUMIF($D:$D,"CNP",$K:$K)</f>
        <v>0</v>
      </c>
      <c r="L4" s="248">
        <f ca="1">SUMIF($D:$D,"CNP",$J:$J)</f>
        <v>0</v>
      </c>
    </row>
    <row r="5" spans="1:16" hidden="1" x14ac:dyDescent="0.55000000000000004">
      <c r="A5" s="848"/>
      <c r="B5" s="98" t="s">
        <v>49</v>
      </c>
      <c r="C5" s="90">
        <v>7</v>
      </c>
      <c r="D5" s="99">
        <f>[1]CPB!$C$6</f>
        <v>627.15</v>
      </c>
      <c r="I5" s="851"/>
      <c r="J5" s="233" t="s">
        <v>49</v>
      </c>
      <c r="K5" s="92">
        <f ca="1">SUMIFS($K:$K,$D:$D,"CNP",$L:$L,"O")</f>
        <v>0</v>
      </c>
      <c r="L5" s="248">
        <f ca="1">SUMIFS($J:$J,$D:$D,"CNP",$L:$L,"O")</f>
        <v>0</v>
      </c>
    </row>
    <row r="6" spans="1:16" hidden="1" x14ac:dyDescent="0.55000000000000004">
      <c r="A6" s="848"/>
      <c r="B6" s="98" t="s">
        <v>50</v>
      </c>
      <c r="C6" s="90">
        <f ca="1">C3+C4-C5</f>
        <v>303</v>
      </c>
      <c r="D6" s="99">
        <f ca="1">D3+D4-D5</f>
        <v>9706.0600000000013</v>
      </c>
      <c r="I6" s="851"/>
      <c r="J6" s="233" t="s">
        <v>50</v>
      </c>
      <c r="K6" s="92">
        <f ca="1">K3+K4-K5</f>
        <v>43</v>
      </c>
      <c r="L6" s="246">
        <f ca="1">L3+L4-L5</f>
        <v>1732.3</v>
      </c>
    </row>
    <row r="7" spans="1:16" ht="15.6" hidden="1" customHeight="1" x14ac:dyDescent="0.55000000000000004">
      <c r="A7" s="852" t="s">
        <v>67</v>
      </c>
      <c r="B7" s="101"/>
      <c r="C7" s="102" t="s">
        <v>63</v>
      </c>
      <c r="D7" s="102" t="s">
        <v>44</v>
      </c>
      <c r="E7" s="853" t="s">
        <v>68</v>
      </c>
      <c r="F7" s="229"/>
      <c r="G7" s="114" t="s">
        <v>63</v>
      </c>
      <c r="H7" s="104" t="s">
        <v>44</v>
      </c>
      <c r="I7" s="854" t="s">
        <v>69</v>
      </c>
      <c r="J7" s="241"/>
      <c r="K7" s="105" t="s">
        <v>63</v>
      </c>
      <c r="L7" s="249" t="s">
        <v>40</v>
      </c>
    </row>
    <row r="8" spans="1:16" ht="15" hidden="1" customHeight="1" x14ac:dyDescent="0.55000000000000004">
      <c r="A8" s="852"/>
      <c r="B8" s="106" t="s">
        <v>66</v>
      </c>
      <c r="C8" s="107">
        <v>151</v>
      </c>
      <c r="D8" s="107">
        <v>4561.12</v>
      </c>
      <c r="E8" s="853"/>
      <c r="F8" s="228" t="s">
        <v>66</v>
      </c>
      <c r="G8" s="114">
        <v>4</v>
      </c>
      <c r="H8" s="108">
        <v>144</v>
      </c>
      <c r="I8" s="854"/>
      <c r="J8" s="241" t="s">
        <v>66</v>
      </c>
      <c r="K8" s="109">
        <v>46</v>
      </c>
      <c r="L8" s="250">
        <v>46.65</v>
      </c>
    </row>
    <row r="9" spans="1:16" ht="15" hidden="1" customHeight="1" x14ac:dyDescent="0.55000000000000004">
      <c r="A9" s="852"/>
      <c r="B9" s="106" t="s">
        <v>48</v>
      </c>
      <c r="C9" s="102">
        <f ca="1">SUMIF($D:$D,"CSB",$K:$K)</f>
        <v>2</v>
      </c>
      <c r="D9" s="110">
        <f ca="1">SUMIF($D:$D,"CSB",$J:$J)</f>
        <v>24.48</v>
      </c>
      <c r="E9" s="853"/>
      <c r="F9" s="228" t="s">
        <v>48</v>
      </c>
      <c r="G9" s="114">
        <f ca="1">SUMIF($D:$D,"CAT",$K:$K)</f>
        <v>3</v>
      </c>
      <c r="H9" s="108">
        <f ca="1">SUMIF($D:$D,"CAT",$J:$J)</f>
        <v>50.399999999999991</v>
      </c>
      <c r="I9" s="854"/>
      <c r="J9" s="241" t="s">
        <v>48</v>
      </c>
      <c r="K9" s="105">
        <f ca="1">SUMIF($D:$D,"CBD",$K:$K)</f>
        <v>0</v>
      </c>
      <c r="L9" s="251">
        <f ca="1">SUMIF($D:$D,"CBD",$J:$J)</f>
        <v>0</v>
      </c>
    </row>
    <row r="10" spans="1:16" ht="15" hidden="1" customHeight="1" x14ac:dyDescent="0.55000000000000004">
      <c r="A10" s="852"/>
      <c r="B10" s="101" t="s">
        <v>49</v>
      </c>
      <c r="C10" s="102">
        <f ca="1">SUMIFS($K:$K,$D:$D,"CSB",$L:$L,"O")</f>
        <v>0</v>
      </c>
      <c r="D10" s="102">
        <f ca="1">SUMIFS($J:$J,$D:$D,"CSB",$L:$L,"O")</f>
        <v>0</v>
      </c>
      <c r="E10" s="853"/>
      <c r="F10" s="111" t="s">
        <v>49</v>
      </c>
      <c r="G10" s="114">
        <f ca="1">SUMIFS($K:$K,$D:$D,"CAT",$L:$L,"O")</f>
        <v>0</v>
      </c>
      <c r="H10" s="104">
        <f ca="1">SUMIFS($J:$J,$D:$D,"CAT",$L:$L,"O")</f>
        <v>0</v>
      </c>
      <c r="I10" s="854"/>
      <c r="J10" s="234" t="s">
        <v>49</v>
      </c>
      <c r="K10" s="105">
        <f ca="1">SUMIFS($K:$K,$D:$D,"CBD",$L:$L,"O")</f>
        <v>0</v>
      </c>
      <c r="L10" s="249">
        <f ca="1">SUMIFS($J:$J,$D:$D,"CBD",$L:$L,"O")</f>
        <v>0</v>
      </c>
    </row>
    <row r="11" spans="1:16" ht="15" hidden="1" customHeight="1" x14ac:dyDescent="0.55000000000000004">
      <c r="A11" s="852"/>
      <c r="B11" s="101" t="s">
        <v>50</v>
      </c>
      <c r="C11" s="102">
        <f ca="1">C8+C9-C10</f>
        <v>153</v>
      </c>
      <c r="D11" s="113">
        <f ca="1">D8+D9-D10</f>
        <v>4585.5999999999995</v>
      </c>
      <c r="E11" s="853"/>
      <c r="F11" s="111" t="s">
        <v>50</v>
      </c>
      <c r="G11" s="114">
        <f ca="1">G8+G9-G10</f>
        <v>7</v>
      </c>
      <c r="H11" s="114">
        <f ca="1">H8+H9-H10</f>
        <v>194.39999999999998</v>
      </c>
      <c r="I11" s="854"/>
      <c r="J11" s="234" t="s">
        <v>50</v>
      </c>
      <c r="K11" s="105">
        <f ca="1">K8+K9-K10</f>
        <v>46</v>
      </c>
      <c r="L11" s="249">
        <f ca="1">L8+L9-L10</f>
        <v>46.65</v>
      </c>
    </row>
    <row r="12" spans="1:16" ht="15.75" customHeight="1" x14ac:dyDescent="0.55000000000000004">
      <c r="A12" s="144" t="s">
        <v>0</v>
      </c>
      <c r="B12" s="145">
        <v>1</v>
      </c>
      <c r="C12" s="146">
        <v>2</v>
      </c>
      <c r="D12" s="145">
        <v>3</v>
      </c>
      <c r="E12" s="436">
        <v>4</v>
      </c>
      <c r="F12" s="145">
        <v>5</v>
      </c>
      <c r="G12" s="146">
        <v>6</v>
      </c>
      <c r="H12" s="145">
        <v>7</v>
      </c>
      <c r="I12" s="230"/>
      <c r="J12" s="235"/>
      <c r="K12" s="150" t="s">
        <v>1</v>
      </c>
      <c r="L12" s="721" t="s">
        <v>37</v>
      </c>
      <c r="M12" s="722"/>
      <c r="N12" s="723"/>
    </row>
    <row r="13" spans="1:16" ht="15.75" customHeight="1" x14ac:dyDescent="0.55000000000000004">
      <c r="A13" s="6" t="s">
        <v>70</v>
      </c>
      <c r="B13" s="7">
        <f>SUMIFS($J$94:$J$4617,$A$94:$A$4617,B12&amp;"-02-2023",$D$94:$D$4617,$A$13,$K$94:$K$4617,"1")</f>
        <v>0</v>
      </c>
      <c r="C13" s="7">
        <f t="shared" ref="C13:I13" si="0">SUMIFS($J$94:$J$4617,$A$94:$A$4617,C12&amp;"-02-2023",$D$94:$D$4617,$A$13,$K$94:$K$4617,"1")</f>
        <v>77.039999999999992</v>
      </c>
      <c r="D13" s="7">
        <f t="shared" si="0"/>
        <v>0</v>
      </c>
      <c r="E13" s="7">
        <f t="shared" si="0"/>
        <v>0</v>
      </c>
      <c r="F13" s="7">
        <f t="shared" si="0"/>
        <v>0</v>
      </c>
      <c r="G13" s="7">
        <f t="shared" si="0"/>
        <v>0</v>
      </c>
      <c r="H13" s="7">
        <f t="shared" si="0"/>
        <v>0</v>
      </c>
      <c r="I13" s="7">
        <f t="shared" si="0"/>
        <v>0</v>
      </c>
      <c r="J13" s="855"/>
      <c r="K13" s="8">
        <f>SUM(B13:I13)</f>
        <v>77.039999999999992</v>
      </c>
      <c r="L13" s="724"/>
      <c r="M13" s="725"/>
      <c r="N13" s="726"/>
      <c r="O13" s="846" t="s">
        <v>114</v>
      </c>
      <c r="P13" s="846"/>
    </row>
    <row r="14" spans="1:16" ht="15.75" customHeight="1" x14ac:dyDescent="0.55000000000000004">
      <c r="A14" s="6" t="s">
        <v>71</v>
      </c>
      <c r="B14" s="7">
        <f>SUMIFS($J$94:$J$4617,$A$94:$A$4617,B12&amp;"-02-2023",$D$94:$D$4617,$A$14,$K$94:$K$4617,"1")</f>
        <v>0</v>
      </c>
      <c r="C14" s="7">
        <f t="shared" ref="C14:I14" si="1">SUMIFS($J$94:$J$4617,$A$94:$A$4617,C12&amp;"-02-2023",$D$94:$D$4617,$A$14,$K$94:$K$4617,"1")</f>
        <v>0</v>
      </c>
      <c r="D14" s="7">
        <f t="shared" si="1"/>
        <v>12.24</v>
      </c>
      <c r="E14" s="7">
        <f t="shared" si="1"/>
        <v>12.24</v>
      </c>
      <c r="F14" s="7">
        <f t="shared" si="1"/>
        <v>0</v>
      </c>
      <c r="G14" s="7">
        <f t="shared" si="1"/>
        <v>0</v>
      </c>
      <c r="H14" s="7">
        <f t="shared" si="1"/>
        <v>0</v>
      </c>
      <c r="I14" s="7">
        <f t="shared" si="1"/>
        <v>0</v>
      </c>
      <c r="J14" s="855"/>
      <c r="K14" s="8">
        <f t="shared" ref="K14:K20" si="2">SUM(B14:I14)</f>
        <v>24.48</v>
      </c>
      <c r="L14" s="724"/>
      <c r="M14" s="725"/>
      <c r="N14" s="726"/>
      <c r="O14" s="167" t="s">
        <v>70</v>
      </c>
      <c r="P14" s="159">
        <f>K13+K22+K31+K40</f>
        <v>77.039999999999992</v>
      </c>
    </row>
    <row r="15" spans="1:16" ht="15.75" customHeight="1" x14ac:dyDescent="0.55000000000000004">
      <c r="A15" s="6" t="s">
        <v>72</v>
      </c>
      <c r="B15" s="7">
        <f>SUMIFS($J$94:$J$4617,$A$94:$A$4617,B12&amp;"-02-2023",$D$94:$D$4617,$A$15,$K$94:$K$4617,"1")</f>
        <v>0</v>
      </c>
      <c r="C15" s="7">
        <f t="shared" ref="C15:I15" si="3">SUMIFS($J$94:$J$4617,$A$94:$A$4617,C12&amp;"-02-2023",$D$94:$D$4617,$A$15,$K$94:$K$4617,"1")</f>
        <v>0</v>
      </c>
      <c r="D15" s="7">
        <f t="shared" si="3"/>
        <v>0</v>
      </c>
      <c r="E15" s="7">
        <f t="shared" si="3"/>
        <v>0</v>
      </c>
      <c r="F15" s="7">
        <f t="shared" si="3"/>
        <v>21.599999999999998</v>
      </c>
      <c r="G15" s="7">
        <f t="shared" si="3"/>
        <v>28.799999999999997</v>
      </c>
      <c r="H15" s="7">
        <f t="shared" si="3"/>
        <v>0</v>
      </c>
      <c r="I15" s="7">
        <f t="shared" si="3"/>
        <v>0</v>
      </c>
      <c r="J15" s="855"/>
      <c r="K15" s="8">
        <f t="shared" si="2"/>
        <v>50.399999999999991</v>
      </c>
      <c r="L15" s="847" t="s">
        <v>70</v>
      </c>
      <c r="M15" s="766">
        <f>K13+K22+K31+K40</f>
        <v>77.039999999999992</v>
      </c>
      <c r="N15" s="767"/>
      <c r="O15" s="167" t="s">
        <v>71</v>
      </c>
      <c r="P15" s="159">
        <f>K14+K23+K32+K41</f>
        <v>24.48</v>
      </c>
    </row>
    <row r="16" spans="1:16" ht="15.75" customHeight="1" x14ac:dyDescent="0.55000000000000004">
      <c r="A16" s="6" t="s">
        <v>73</v>
      </c>
      <c r="B16" s="7">
        <f>SUMIFS($J$94:$J$4617,$A$94:$A$4617,B12&amp;"-02-2023",$D$94:$D$4617,$A$16,$K$94:$K$4617,"1")</f>
        <v>0</v>
      </c>
      <c r="C16" s="7">
        <f t="shared" ref="C16:I16" si="4">SUMIFS($J$94:$J$4617,$A$94:$A$4617,C12&amp;"-02-2023",$D$94:$D$4617,$A$16,$K$94:$K$4617,"1")</f>
        <v>0</v>
      </c>
      <c r="D16" s="7">
        <f t="shared" si="4"/>
        <v>0</v>
      </c>
      <c r="E16" s="7">
        <f t="shared" si="4"/>
        <v>0</v>
      </c>
      <c r="F16" s="7">
        <f t="shared" si="4"/>
        <v>0</v>
      </c>
      <c r="G16" s="7">
        <f t="shared" si="4"/>
        <v>0</v>
      </c>
      <c r="H16" s="7">
        <f t="shared" si="4"/>
        <v>0</v>
      </c>
      <c r="I16" s="7">
        <f t="shared" si="4"/>
        <v>0</v>
      </c>
      <c r="J16" s="855"/>
      <c r="K16" s="8">
        <f t="shared" si="2"/>
        <v>0</v>
      </c>
      <c r="L16" s="847"/>
      <c r="M16" s="768"/>
      <c r="N16" s="769"/>
      <c r="O16" s="167" t="s">
        <v>72</v>
      </c>
      <c r="P16" s="159">
        <f>K15+K24+K33+K42</f>
        <v>50.399999999999991</v>
      </c>
    </row>
    <row r="17" spans="1:16" ht="18" customHeight="1" x14ac:dyDescent="0.55000000000000004">
      <c r="A17" s="6" t="s">
        <v>74</v>
      </c>
      <c r="B17" s="7">
        <f>SUMIFS($J$94:$J$4617,$A$94:$A$4617,B12&amp;"-02-2023",$D$94:$D$4617,$A$17,$K$94:$K$4617,"1")</f>
        <v>0</v>
      </c>
      <c r="C17" s="7">
        <f t="shared" ref="C17:I17" si="5">SUMIFS($J$94:$J$4617,$A$94:$A$4617,C12&amp;"-02-2023",$D$94:$D$4617,$A$17,$K$94:$K$4617,"1")</f>
        <v>0</v>
      </c>
      <c r="D17" s="7">
        <f t="shared" si="5"/>
        <v>0</v>
      </c>
      <c r="E17" s="7">
        <f t="shared" si="5"/>
        <v>0</v>
      </c>
      <c r="F17" s="7">
        <f t="shared" si="5"/>
        <v>0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855"/>
      <c r="K17" s="8">
        <f t="shared" ref="K17" si="6">SUM(B17:I17)</f>
        <v>0</v>
      </c>
      <c r="L17" s="450" t="s">
        <v>105</v>
      </c>
      <c r="M17" s="756">
        <f>K18+K29+K38+K45</f>
        <v>0</v>
      </c>
      <c r="N17" s="758"/>
      <c r="O17" s="167" t="s">
        <v>105</v>
      </c>
      <c r="P17" s="159">
        <f>K18+K29+K38+K45</f>
        <v>0</v>
      </c>
    </row>
    <row r="18" spans="1:16" ht="15.75" customHeight="1" x14ac:dyDescent="0.55000000000000004">
      <c r="A18" s="6" t="s">
        <v>105</v>
      </c>
      <c r="B18" s="7">
        <f>SUMIFS($J$94:$J$4617,$A$94:$A$4617,B12&amp;"-02-2023",$D$94:$D$4617,$A$18,$K$94:$K$4617,"1")</f>
        <v>0</v>
      </c>
      <c r="C18" s="7">
        <f t="shared" ref="C18:I18" si="7">SUMIFS($J$94:$J$4617,$A$94:$A$4617,C12&amp;"-02-2023",$D$94:$D$4617,$A$18,$K$94:$K$4617,"1")</f>
        <v>0</v>
      </c>
      <c r="D18" s="7">
        <f t="shared" si="7"/>
        <v>0</v>
      </c>
      <c r="E18" s="7">
        <f t="shared" si="7"/>
        <v>0</v>
      </c>
      <c r="F18" s="7">
        <f t="shared" si="7"/>
        <v>0</v>
      </c>
      <c r="G18" s="7">
        <f t="shared" si="7"/>
        <v>0</v>
      </c>
      <c r="H18" s="7">
        <f t="shared" si="7"/>
        <v>0</v>
      </c>
      <c r="I18" s="7">
        <f t="shared" si="7"/>
        <v>0</v>
      </c>
      <c r="J18" s="855"/>
      <c r="K18" s="8">
        <f t="shared" si="2"/>
        <v>0</v>
      </c>
      <c r="L18" s="847" t="s">
        <v>71</v>
      </c>
      <c r="M18" s="759">
        <f>K14+K23+K32+K41</f>
        <v>24.48</v>
      </c>
      <c r="N18" s="759"/>
      <c r="O18" s="167" t="s">
        <v>73</v>
      </c>
      <c r="P18" s="159">
        <f>K16+K25+K34+K43</f>
        <v>0</v>
      </c>
    </row>
    <row r="19" spans="1:16" ht="15.75" customHeight="1" x14ac:dyDescent="0.55000000000000004">
      <c r="A19" s="6" t="s">
        <v>166</v>
      </c>
      <c r="B19" s="7">
        <f>SUMIFS($J$94:$J$4617,$A$94:$A$4617,B12&amp;"-02-2023",$D$94:$D$4617,$A$19,$K$94:$K$4617,"1")</f>
        <v>0</v>
      </c>
      <c r="C19" s="7">
        <f t="shared" ref="C19:I19" si="8">SUMIFS($J$94:$J$4617,$A$94:$A$4617,C12&amp;"-02-2023",$D$94:$D$4617,$A$19,$K$94:$K$4617,"1")</f>
        <v>0</v>
      </c>
      <c r="D19" s="7">
        <f t="shared" si="8"/>
        <v>0</v>
      </c>
      <c r="E19" s="7">
        <f t="shared" si="8"/>
        <v>0</v>
      </c>
      <c r="F19" s="7">
        <f t="shared" si="8"/>
        <v>0</v>
      </c>
      <c r="G19" s="7">
        <f t="shared" si="8"/>
        <v>0</v>
      </c>
      <c r="H19" s="7">
        <f t="shared" si="8"/>
        <v>0</v>
      </c>
      <c r="I19" s="7">
        <f t="shared" si="8"/>
        <v>0</v>
      </c>
      <c r="J19" s="445"/>
      <c r="K19" s="8">
        <f t="shared" ref="K19" si="9">SUM(B19:I19)</f>
        <v>0</v>
      </c>
      <c r="L19" s="847"/>
      <c r="M19" s="759"/>
      <c r="N19" s="759"/>
      <c r="O19" s="167" t="s">
        <v>166</v>
      </c>
      <c r="P19" s="159">
        <f>K19+K27+K36+K46</f>
        <v>0</v>
      </c>
    </row>
    <row r="20" spans="1:16" ht="15.75" customHeight="1" x14ac:dyDescent="0.55000000000000004">
      <c r="A20" s="6" t="s">
        <v>165</v>
      </c>
      <c r="B20" s="7">
        <f>SUMIFS($J$94:$J$4617,$A$94:$A$4617,B12&amp;"-02-2023",$D$94:$D$4617,$A$20,$K$94:$K$4617,"1")</f>
        <v>0</v>
      </c>
      <c r="C20" s="7">
        <f t="shared" ref="C20:I20" si="10">SUMIFS($J$94:$J$4617,$A$94:$A$4617,C12&amp;"-02-2023",$D$94:$D$4617,$A$20,$K$94:$K$4617,"1")</f>
        <v>0</v>
      </c>
      <c r="D20" s="7">
        <f t="shared" si="10"/>
        <v>8.1</v>
      </c>
      <c r="E20" s="7">
        <f t="shared" si="10"/>
        <v>0</v>
      </c>
      <c r="F20" s="7">
        <f t="shared" si="10"/>
        <v>0</v>
      </c>
      <c r="G20" s="7">
        <f t="shared" si="10"/>
        <v>0</v>
      </c>
      <c r="H20" s="7">
        <f t="shared" si="10"/>
        <v>0</v>
      </c>
      <c r="I20" s="7">
        <f t="shared" si="10"/>
        <v>0</v>
      </c>
      <c r="J20" s="445"/>
      <c r="K20" s="8">
        <f t="shared" si="2"/>
        <v>8.1</v>
      </c>
      <c r="L20" s="847"/>
      <c r="M20" s="759"/>
      <c r="N20" s="759"/>
      <c r="O20" s="167" t="s">
        <v>165</v>
      </c>
      <c r="P20" s="159">
        <f>K20+K28+K37+K47</f>
        <v>8.1</v>
      </c>
    </row>
    <row r="21" spans="1:16" ht="15.75" customHeight="1" x14ac:dyDescent="0.55000000000000004">
      <c r="A21" s="144" t="s">
        <v>0</v>
      </c>
      <c r="B21" s="145">
        <v>8</v>
      </c>
      <c r="C21" s="147">
        <v>9</v>
      </c>
      <c r="D21" s="145">
        <v>10</v>
      </c>
      <c r="E21" s="437">
        <v>11</v>
      </c>
      <c r="F21" s="145">
        <v>12</v>
      </c>
      <c r="G21" s="147">
        <v>13</v>
      </c>
      <c r="H21" s="145">
        <v>14</v>
      </c>
      <c r="I21" s="147">
        <v>15</v>
      </c>
      <c r="J21" s="236"/>
      <c r="K21" s="152" t="s">
        <v>5</v>
      </c>
      <c r="L21" s="847"/>
      <c r="M21" s="759"/>
      <c r="N21" s="759"/>
      <c r="O21" s="167" t="s">
        <v>74</v>
      </c>
      <c r="P21" s="159">
        <f>K17+K26+K35+K44</f>
        <v>0</v>
      </c>
    </row>
    <row r="22" spans="1:16" ht="15.75" customHeight="1" x14ac:dyDescent="0.55000000000000004">
      <c r="A22" s="6" t="s">
        <v>70</v>
      </c>
      <c r="B22" s="7">
        <f t="shared" ref="B22:I22" si="11">SUMIFS($J$94:$J$4617,$A$94:$A$4617,B21&amp;"-01-2023",$D$94:$D$4617,$A$22,$K$94:$K$4617,"1")</f>
        <v>0</v>
      </c>
      <c r="C22" s="7">
        <f t="shared" si="11"/>
        <v>0</v>
      </c>
      <c r="D22" s="7">
        <f t="shared" si="11"/>
        <v>0</v>
      </c>
      <c r="E22" s="7">
        <f t="shared" si="11"/>
        <v>0</v>
      </c>
      <c r="F22" s="7">
        <f t="shared" si="11"/>
        <v>0</v>
      </c>
      <c r="G22" s="7">
        <f t="shared" si="11"/>
        <v>0</v>
      </c>
      <c r="H22" s="7">
        <f t="shared" si="11"/>
        <v>0</v>
      </c>
      <c r="I22" s="7">
        <f t="shared" si="11"/>
        <v>0</v>
      </c>
      <c r="J22" s="845"/>
      <c r="K22" s="8">
        <f t="shared" ref="K22:K29" si="12">SUM(B22:I22)</f>
        <v>0</v>
      </c>
      <c r="L22" s="847" t="s">
        <v>72</v>
      </c>
      <c r="M22" s="759">
        <f>K15+K24+K33+K42</f>
        <v>50.399999999999991</v>
      </c>
      <c r="N22" s="759"/>
      <c r="O22" s="141" t="s">
        <v>113</v>
      </c>
      <c r="P22" s="166">
        <f>SUM(P14:P21)</f>
        <v>160.01999999999998</v>
      </c>
    </row>
    <row r="23" spans="1:16" ht="15.75" customHeight="1" x14ac:dyDescent="0.55000000000000004">
      <c r="A23" s="6" t="s">
        <v>71</v>
      </c>
      <c r="B23" s="7">
        <f t="shared" ref="B23:I23" si="13">SUMIFS($J$94:$J$4617,$A$94:$A$4617,B21&amp;"-01-2023",$D$94:$D$4617,$A$23,$K$94:$K$4617,"1")</f>
        <v>0</v>
      </c>
      <c r="C23" s="7">
        <f t="shared" si="13"/>
        <v>0</v>
      </c>
      <c r="D23" s="7">
        <f t="shared" si="13"/>
        <v>0</v>
      </c>
      <c r="E23" s="7">
        <f t="shared" si="13"/>
        <v>0</v>
      </c>
      <c r="F23" s="7">
        <f t="shared" si="13"/>
        <v>0</v>
      </c>
      <c r="G23" s="7">
        <f t="shared" si="13"/>
        <v>0</v>
      </c>
      <c r="H23" s="7">
        <f t="shared" si="13"/>
        <v>0</v>
      </c>
      <c r="I23" s="7">
        <f t="shared" si="13"/>
        <v>0</v>
      </c>
      <c r="J23" s="845"/>
      <c r="K23" s="8">
        <f t="shared" si="12"/>
        <v>0</v>
      </c>
      <c r="L23" s="847"/>
      <c r="M23" s="759"/>
      <c r="N23" s="759"/>
      <c r="O23" s="846" t="s">
        <v>116</v>
      </c>
      <c r="P23" s="846"/>
    </row>
    <row r="24" spans="1:16" ht="15.75" customHeight="1" x14ac:dyDescent="0.55000000000000004">
      <c r="A24" s="6" t="s">
        <v>72</v>
      </c>
      <c r="B24" s="7">
        <f t="shared" ref="B24:I24" si="14">SUMIFS($J$94:$J$4617,$A$94:$A$4617,B21&amp;"-01-2023",$D$94:$D$4617,$A$24,$K$94:$K$4617,"1")</f>
        <v>0</v>
      </c>
      <c r="C24" s="7">
        <f t="shared" si="14"/>
        <v>0</v>
      </c>
      <c r="D24" s="7">
        <f t="shared" si="14"/>
        <v>0</v>
      </c>
      <c r="E24" s="7">
        <f t="shared" si="14"/>
        <v>0</v>
      </c>
      <c r="F24" s="7">
        <f t="shared" si="14"/>
        <v>0</v>
      </c>
      <c r="G24" s="7">
        <f t="shared" si="14"/>
        <v>0</v>
      </c>
      <c r="H24" s="7">
        <f t="shared" si="14"/>
        <v>0</v>
      </c>
      <c r="I24" s="7">
        <f t="shared" si="14"/>
        <v>0</v>
      </c>
      <c r="J24" s="845"/>
      <c r="K24" s="8">
        <f t="shared" si="12"/>
        <v>0</v>
      </c>
      <c r="L24" s="847" t="s">
        <v>73</v>
      </c>
      <c r="M24" s="759">
        <f>K16+K25+K34+K43</f>
        <v>0</v>
      </c>
      <c r="N24" s="759"/>
      <c r="O24" s="167" t="s">
        <v>70</v>
      </c>
      <c r="P24" s="159">
        <f>K57+K66+K75+K84+P62</f>
        <v>0</v>
      </c>
    </row>
    <row r="25" spans="1:16" ht="15.75" customHeight="1" x14ac:dyDescent="0.55000000000000004">
      <c r="A25" s="6" t="s">
        <v>73</v>
      </c>
      <c r="B25" s="7">
        <f t="shared" ref="B25:I25" si="15">SUMIFS($J$94:$J$4617,$A$94:$A$4617,B21&amp;"-01-2023",$D$94:$D$4617,$A$25,$K$94:$K$4617,"1")</f>
        <v>0</v>
      </c>
      <c r="C25" s="7">
        <f t="shared" si="15"/>
        <v>0</v>
      </c>
      <c r="D25" s="7">
        <f t="shared" si="15"/>
        <v>0</v>
      </c>
      <c r="E25" s="7">
        <f t="shared" si="15"/>
        <v>0</v>
      </c>
      <c r="F25" s="7">
        <f t="shared" si="15"/>
        <v>0</v>
      </c>
      <c r="G25" s="7">
        <f t="shared" si="15"/>
        <v>0</v>
      </c>
      <c r="H25" s="7">
        <f t="shared" si="15"/>
        <v>0</v>
      </c>
      <c r="I25" s="7">
        <f t="shared" si="15"/>
        <v>0</v>
      </c>
      <c r="J25" s="845"/>
      <c r="K25" s="8">
        <f t="shared" si="12"/>
        <v>0</v>
      </c>
      <c r="L25" s="847"/>
      <c r="M25" s="759"/>
      <c r="N25" s="759"/>
      <c r="O25" s="167" t="s">
        <v>71</v>
      </c>
      <c r="P25" s="159">
        <f>K58+K67+K76+K85+P63</f>
        <v>0</v>
      </c>
    </row>
    <row r="26" spans="1:16" ht="19.5" customHeight="1" x14ac:dyDescent="0.55000000000000004">
      <c r="A26" s="6" t="s">
        <v>74</v>
      </c>
      <c r="B26" s="7">
        <f t="shared" ref="B26:I26" si="16">SUMIFS($J$94:$J$4617,$A$94:$A$4617,B21&amp;"-01-2023",$D$94:$D$4617,$A$26,$K$94:$K$4617,"1")</f>
        <v>0</v>
      </c>
      <c r="C26" s="7">
        <f t="shared" si="16"/>
        <v>0</v>
      </c>
      <c r="D26" s="7">
        <f t="shared" si="16"/>
        <v>0</v>
      </c>
      <c r="E26" s="7">
        <f t="shared" si="16"/>
        <v>0</v>
      </c>
      <c r="F26" s="7">
        <f t="shared" si="16"/>
        <v>0</v>
      </c>
      <c r="G26" s="7">
        <f t="shared" si="16"/>
        <v>0</v>
      </c>
      <c r="H26" s="7">
        <f t="shared" si="16"/>
        <v>0</v>
      </c>
      <c r="I26" s="7">
        <f t="shared" si="16"/>
        <v>0</v>
      </c>
      <c r="J26" s="845"/>
      <c r="K26" s="8">
        <f t="shared" ref="K26" si="17">SUM(B26:I26)</f>
        <v>0</v>
      </c>
      <c r="L26" s="478" t="s">
        <v>166</v>
      </c>
      <c r="M26" s="756">
        <f>K19+K27+K36+K46</f>
        <v>0</v>
      </c>
      <c r="N26" s="758"/>
      <c r="O26" s="167" t="s">
        <v>72</v>
      </c>
      <c r="P26" s="159">
        <f>K60+K68+K77+K86</f>
        <v>0</v>
      </c>
    </row>
    <row r="27" spans="1:16" ht="15.75" customHeight="1" x14ac:dyDescent="0.55000000000000004">
      <c r="A27" s="6" t="s">
        <v>166</v>
      </c>
      <c r="B27" s="7">
        <f t="shared" ref="B27:I27" si="18">SUMIFS($J$94:$J$4617,$A$94:$A$4617,B21&amp;"-01-2023",$D$94:$D$4617,$A$27,$K$94:$K$4617,"1")</f>
        <v>0</v>
      </c>
      <c r="C27" s="7">
        <f t="shared" si="18"/>
        <v>0</v>
      </c>
      <c r="D27" s="7">
        <f t="shared" si="18"/>
        <v>0</v>
      </c>
      <c r="E27" s="7">
        <f t="shared" si="18"/>
        <v>0</v>
      </c>
      <c r="F27" s="7">
        <f t="shared" si="18"/>
        <v>0</v>
      </c>
      <c r="G27" s="7">
        <f t="shared" si="18"/>
        <v>0</v>
      </c>
      <c r="H27" s="7">
        <f t="shared" si="18"/>
        <v>0</v>
      </c>
      <c r="I27" s="7">
        <f t="shared" si="18"/>
        <v>0</v>
      </c>
      <c r="J27" s="845"/>
      <c r="K27" s="8">
        <f t="shared" si="12"/>
        <v>0</v>
      </c>
      <c r="L27" s="863" t="s">
        <v>74</v>
      </c>
      <c r="M27" s="766">
        <f>K17+K26+K35+K44</f>
        <v>0</v>
      </c>
      <c r="N27" s="767"/>
      <c r="O27" s="167" t="s">
        <v>166</v>
      </c>
      <c r="P27" s="159">
        <f>K61+K69+K78+K87</f>
        <v>0</v>
      </c>
    </row>
    <row r="28" spans="1:16" ht="15.75" customHeight="1" x14ac:dyDescent="0.55000000000000004">
      <c r="A28" s="6" t="s">
        <v>165</v>
      </c>
      <c r="B28" s="7">
        <f t="shared" ref="B28:I28" si="19">SUMIFS($J$94:$J$4617,$A$94:$A$4617,B21&amp;"-01-2023",$D$94:$D$4617,$A$28,$K$94:$K$4617,"1")</f>
        <v>0</v>
      </c>
      <c r="C28" s="7">
        <f t="shared" si="19"/>
        <v>0</v>
      </c>
      <c r="D28" s="7">
        <f t="shared" si="19"/>
        <v>0</v>
      </c>
      <c r="E28" s="7">
        <f t="shared" si="19"/>
        <v>0</v>
      </c>
      <c r="F28" s="7">
        <f t="shared" si="19"/>
        <v>0</v>
      </c>
      <c r="G28" s="7">
        <f t="shared" si="19"/>
        <v>0</v>
      </c>
      <c r="H28" s="7">
        <f t="shared" si="19"/>
        <v>0</v>
      </c>
      <c r="I28" s="7">
        <f t="shared" si="19"/>
        <v>0</v>
      </c>
      <c r="J28" s="444"/>
      <c r="K28" s="8">
        <f t="shared" ref="K28" si="20">SUM(B28:I28)</f>
        <v>0</v>
      </c>
      <c r="L28" s="864"/>
      <c r="M28" s="771"/>
      <c r="N28" s="773"/>
      <c r="O28" s="167" t="s">
        <v>105</v>
      </c>
      <c r="P28" s="159">
        <f>K82+K90</f>
        <v>0</v>
      </c>
    </row>
    <row r="29" spans="1:16" ht="15.75" customHeight="1" x14ac:dyDescent="0.55000000000000004">
      <c r="A29" s="6" t="s">
        <v>105</v>
      </c>
      <c r="B29" s="7">
        <f t="shared" ref="B29:I29" si="21">SUMIFS($J$94:$J$4617,$A$94:$A$4617,B21&amp;"-01-2023",$D$94:$D$4617,$A$29,$K$94:$K$4617,"1")</f>
        <v>0</v>
      </c>
      <c r="C29" s="7">
        <f t="shared" si="21"/>
        <v>0</v>
      </c>
      <c r="D29" s="7">
        <f t="shared" si="21"/>
        <v>0</v>
      </c>
      <c r="E29" s="7">
        <f t="shared" si="21"/>
        <v>0</v>
      </c>
      <c r="F29" s="7">
        <f t="shared" si="21"/>
        <v>0</v>
      </c>
      <c r="G29" s="7">
        <f t="shared" si="21"/>
        <v>0</v>
      </c>
      <c r="H29" s="7">
        <f t="shared" si="21"/>
        <v>0</v>
      </c>
      <c r="I29" s="7">
        <f t="shared" si="21"/>
        <v>0</v>
      </c>
      <c r="J29" s="444"/>
      <c r="K29" s="8">
        <f t="shared" si="12"/>
        <v>0</v>
      </c>
      <c r="L29" s="865"/>
      <c r="M29" s="768"/>
      <c r="N29" s="769"/>
      <c r="O29" s="167" t="s">
        <v>165</v>
      </c>
      <c r="P29" s="159">
        <f>K64+K73+K81+K91</f>
        <v>0</v>
      </c>
    </row>
    <row r="30" spans="1:16" ht="15.75" customHeight="1" x14ac:dyDescent="0.55000000000000004">
      <c r="A30" s="144" t="s">
        <v>0</v>
      </c>
      <c r="B30" s="145">
        <v>16</v>
      </c>
      <c r="C30" s="145">
        <v>17</v>
      </c>
      <c r="D30" s="145">
        <v>18</v>
      </c>
      <c r="E30" s="438">
        <v>19</v>
      </c>
      <c r="F30" s="145">
        <v>20</v>
      </c>
      <c r="G30" s="145">
        <v>21</v>
      </c>
      <c r="H30" s="145">
        <v>22</v>
      </c>
      <c r="I30" s="145">
        <v>23</v>
      </c>
      <c r="J30" s="237"/>
      <c r="K30" s="97" t="s">
        <v>6</v>
      </c>
      <c r="L30" s="847" t="s">
        <v>156</v>
      </c>
      <c r="M30" s="862">
        <f>K20+K28+K37+K47</f>
        <v>8.1</v>
      </c>
      <c r="N30" s="862"/>
      <c r="O30" s="167" t="s">
        <v>73</v>
      </c>
      <c r="P30" s="159">
        <f>K62+K70+K79+K88</f>
        <v>0</v>
      </c>
    </row>
    <row r="31" spans="1:16" ht="15.75" customHeight="1" x14ac:dyDescent="0.55000000000000004">
      <c r="A31" s="6" t="s">
        <v>70</v>
      </c>
      <c r="B31" s="7">
        <f t="shared" ref="B31:I31" si="22">SUMIFS($J$94:$J$4617,$A$94:$A$4617,B30&amp;"-01-2023",$D$94:$D$4617,$A$31,$K$94:$K$4617,"1")</f>
        <v>0</v>
      </c>
      <c r="C31" s="7">
        <f t="shared" si="22"/>
        <v>0</v>
      </c>
      <c r="D31" s="7">
        <f t="shared" si="22"/>
        <v>0</v>
      </c>
      <c r="E31" s="7">
        <f t="shared" si="22"/>
        <v>0</v>
      </c>
      <c r="F31" s="7">
        <f t="shared" si="22"/>
        <v>0</v>
      </c>
      <c r="G31" s="7">
        <f t="shared" si="22"/>
        <v>0</v>
      </c>
      <c r="H31" s="7">
        <f t="shared" si="22"/>
        <v>0</v>
      </c>
      <c r="I31" s="7">
        <f t="shared" si="22"/>
        <v>0</v>
      </c>
      <c r="J31" s="845"/>
      <c r="K31" s="8">
        <f t="shared" ref="K31:K38" si="23">SUM(B31:I31)</f>
        <v>0</v>
      </c>
      <c r="L31" s="847"/>
      <c r="M31" s="862"/>
      <c r="N31" s="862"/>
      <c r="O31" s="167" t="s">
        <v>74</v>
      </c>
      <c r="P31" s="159">
        <f>K63+K71+K80+K89+P74</f>
        <v>0</v>
      </c>
    </row>
    <row r="32" spans="1:16" ht="15.75" customHeight="1" x14ac:dyDescent="0.55000000000000004">
      <c r="A32" s="6" t="s">
        <v>71</v>
      </c>
      <c r="B32" s="7">
        <f t="shared" ref="B32:I32" si="24">SUMIFS($J$94:$J$4617,$A$94:$A$4617,B30&amp;"-01-2023",$D$94:$D$4617,$A$32,$K$94:$K$4617,"1")</f>
        <v>0</v>
      </c>
      <c r="C32" s="7">
        <f t="shared" si="24"/>
        <v>0</v>
      </c>
      <c r="D32" s="7">
        <f t="shared" si="24"/>
        <v>0</v>
      </c>
      <c r="E32" s="7">
        <f t="shared" si="24"/>
        <v>0</v>
      </c>
      <c r="F32" s="7">
        <f t="shared" si="24"/>
        <v>0</v>
      </c>
      <c r="G32" s="7">
        <f t="shared" si="24"/>
        <v>0</v>
      </c>
      <c r="H32" s="7">
        <f t="shared" si="24"/>
        <v>0</v>
      </c>
      <c r="I32" s="7">
        <f t="shared" si="24"/>
        <v>0</v>
      </c>
      <c r="J32" s="845"/>
      <c r="K32" s="8">
        <f t="shared" si="23"/>
        <v>0</v>
      </c>
      <c r="L32" s="859" t="s">
        <v>38</v>
      </c>
      <c r="M32" s="860"/>
      <c r="N32" s="861"/>
      <c r="O32" s="141" t="s">
        <v>113</v>
      </c>
      <c r="P32" s="159">
        <f>SUM(P24:P31)</f>
        <v>0</v>
      </c>
    </row>
    <row r="33" spans="1:17" ht="15.75" customHeight="1" x14ac:dyDescent="0.55000000000000004">
      <c r="A33" s="6" t="s">
        <v>72</v>
      </c>
      <c r="B33" s="7">
        <f t="shared" ref="B33:I33" si="25">SUMIFS($J$94:$J$4617,$A$94:$A$4617,B30&amp;"-01-2023",$D$94:$D$4617,$A$33,$K$94:$K$4617,"1")</f>
        <v>0</v>
      </c>
      <c r="C33" s="7">
        <f t="shared" si="25"/>
        <v>0</v>
      </c>
      <c r="D33" s="7">
        <f t="shared" si="25"/>
        <v>0</v>
      </c>
      <c r="E33" s="7">
        <f t="shared" si="25"/>
        <v>0</v>
      </c>
      <c r="F33" s="7">
        <f t="shared" si="25"/>
        <v>0</v>
      </c>
      <c r="G33" s="7">
        <f t="shared" si="25"/>
        <v>0</v>
      </c>
      <c r="H33" s="7">
        <f t="shared" si="25"/>
        <v>0</v>
      </c>
      <c r="I33" s="7">
        <f t="shared" si="25"/>
        <v>0</v>
      </c>
      <c r="J33" s="845"/>
      <c r="K33" s="8">
        <f t="shared" si="23"/>
        <v>0</v>
      </c>
      <c r="L33" s="856">
        <f>SUM(M15:N31)</f>
        <v>160.01999999999998</v>
      </c>
      <c r="M33" s="857"/>
      <c r="N33" s="858"/>
      <c r="P33" s="77"/>
    </row>
    <row r="34" spans="1:17" ht="15.75" customHeight="1" x14ac:dyDescent="0.55000000000000004">
      <c r="A34" s="6" t="s">
        <v>73</v>
      </c>
      <c r="B34" s="7">
        <f t="shared" ref="B34:I34" si="26">SUMIFS($J$94:$J$4617,$A$94:$A$4617,B30&amp;"-01-2023",$D$94:$D$4617,$A$34,$K$94:$K$4617,"1")</f>
        <v>0</v>
      </c>
      <c r="C34" s="7">
        <f t="shared" si="26"/>
        <v>0</v>
      </c>
      <c r="D34" s="7">
        <f t="shared" si="26"/>
        <v>0</v>
      </c>
      <c r="E34" s="7">
        <f t="shared" si="26"/>
        <v>0</v>
      </c>
      <c r="F34" s="7">
        <f t="shared" si="26"/>
        <v>0</v>
      </c>
      <c r="G34" s="7">
        <f t="shared" si="26"/>
        <v>0</v>
      </c>
      <c r="H34" s="7">
        <f t="shared" si="26"/>
        <v>0</v>
      </c>
      <c r="I34" s="7">
        <f t="shared" si="26"/>
        <v>0</v>
      </c>
      <c r="J34" s="845"/>
      <c r="K34" s="8">
        <f t="shared" si="23"/>
        <v>0</v>
      </c>
      <c r="L34" s="856"/>
      <c r="M34" s="857"/>
      <c r="N34" s="858"/>
    </row>
    <row r="35" spans="1:17" ht="15.75" customHeight="1" x14ac:dyDescent="0.55000000000000004">
      <c r="A35" s="6" t="s">
        <v>74</v>
      </c>
      <c r="B35" s="7">
        <f t="shared" ref="B35:I35" si="27">SUMIFS($J$94:$J$4617,$A$94:$A$4617,B30&amp;"-01-2023",$D$94:$D$4617,$A$35,$K$94:$K$4617,"1")</f>
        <v>0</v>
      </c>
      <c r="C35" s="7">
        <f t="shared" si="27"/>
        <v>0</v>
      </c>
      <c r="D35" s="7">
        <f t="shared" si="27"/>
        <v>0</v>
      </c>
      <c r="E35" s="7">
        <f t="shared" si="27"/>
        <v>0</v>
      </c>
      <c r="F35" s="7">
        <f t="shared" si="27"/>
        <v>0</v>
      </c>
      <c r="G35" s="7">
        <f t="shared" si="27"/>
        <v>0</v>
      </c>
      <c r="H35" s="7">
        <f t="shared" si="27"/>
        <v>0</v>
      </c>
      <c r="I35" s="7">
        <f t="shared" si="27"/>
        <v>0</v>
      </c>
      <c r="J35" s="845"/>
      <c r="K35" s="8">
        <f t="shared" ref="K35" si="28">SUM(B35:I35)</f>
        <v>0</v>
      </c>
      <c r="L35" s="856"/>
      <c r="M35" s="857"/>
      <c r="N35" s="858"/>
    </row>
    <row r="36" spans="1:17" ht="15.75" customHeight="1" x14ac:dyDescent="0.55000000000000004">
      <c r="A36" s="6" t="s">
        <v>166</v>
      </c>
      <c r="B36" s="7">
        <f t="shared" ref="B36:I36" si="29">SUMIFS($J$94:$J$4617,$A$94:$A$4617,B30&amp;"-01-2023",$D$94:$D$4617,$A$36,$K$94:$K$4617,"1")</f>
        <v>0</v>
      </c>
      <c r="C36" s="7">
        <f t="shared" si="29"/>
        <v>0</v>
      </c>
      <c r="D36" s="7">
        <f t="shared" si="29"/>
        <v>0</v>
      </c>
      <c r="E36" s="7">
        <f t="shared" si="29"/>
        <v>0</v>
      </c>
      <c r="F36" s="7">
        <f t="shared" si="29"/>
        <v>0</v>
      </c>
      <c r="G36" s="7">
        <f t="shared" si="29"/>
        <v>0</v>
      </c>
      <c r="H36" s="7">
        <f t="shared" si="29"/>
        <v>0</v>
      </c>
      <c r="I36" s="7">
        <f t="shared" si="29"/>
        <v>0</v>
      </c>
      <c r="J36" s="845"/>
      <c r="K36" s="8">
        <f t="shared" si="23"/>
        <v>0</v>
      </c>
      <c r="L36" s="856"/>
      <c r="M36" s="857"/>
      <c r="N36" s="858"/>
    </row>
    <row r="37" spans="1:17" ht="15.75" customHeight="1" x14ac:dyDescent="0.55000000000000004">
      <c r="A37" s="6" t="s">
        <v>165</v>
      </c>
      <c r="B37" s="7">
        <f t="shared" ref="B37:I37" si="30">SUMIFS($J$94:$J$4617,$A$94:$A$4617,B30&amp;"-01-2023",$D$94:$D$4617,$A$37,$K$94:$K$4617,"1")</f>
        <v>0</v>
      </c>
      <c r="C37" s="7">
        <f t="shared" si="30"/>
        <v>0</v>
      </c>
      <c r="D37" s="7">
        <f t="shared" si="30"/>
        <v>0</v>
      </c>
      <c r="E37" s="7">
        <f t="shared" si="30"/>
        <v>0</v>
      </c>
      <c r="F37" s="7">
        <f t="shared" si="30"/>
        <v>0</v>
      </c>
      <c r="G37" s="7">
        <f t="shared" si="30"/>
        <v>0</v>
      </c>
      <c r="H37" s="7">
        <f t="shared" si="30"/>
        <v>0</v>
      </c>
      <c r="I37" s="7">
        <f t="shared" si="30"/>
        <v>0</v>
      </c>
      <c r="J37" s="444"/>
      <c r="K37" s="8">
        <f t="shared" ref="K37" si="31">SUM(B37:I37)</f>
        <v>0</v>
      </c>
      <c r="L37" s="856"/>
      <c r="M37" s="857"/>
      <c r="N37" s="858"/>
    </row>
    <row r="38" spans="1:17" ht="15.75" customHeight="1" x14ac:dyDescent="0.55000000000000004">
      <c r="A38" s="6" t="s">
        <v>105</v>
      </c>
      <c r="B38" s="7">
        <f t="shared" ref="B38:I38" si="32">SUMIFS($J$94:$J$4617,$A$94:$A$4617,B30&amp;"-01-2023",$D$94:$D$4617,$A$38,$K$94:$K$4617,"1")</f>
        <v>0</v>
      </c>
      <c r="C38" s="7">
        <f t="shared" si="32"/>
        <v>0</v>
      </c>
      <c r="D38" s="7">
        <f t="shared" si="32"/>
        <v>0</v>
      </c>
      <c r="E38" s="7">
        <f t="shared" si="32"/>
        <v>0</v>
      </c>
      <c r="F38" s="7">
        <f t="shared" si="32"/>
        <v>0</v>
      </c>
      <c r="G38" s="7">
        <f t="shared" si="32"/>
        <v>0</v>
      </c>
      <c r="H38" s="7">
        <f t="shared" si="32"/>
        <v>0</v>
      </c>
      <c r="I38" s="7">
        <f t="shared" si="32"/>
        <v>0</v>
      </c>
      <c r="J38" s="444"/>
      <c r="K38" s="8">
        <f t="shared" si="23"/>
        <v>0</v>
      </c>
      <c r="L38" s="856"/>
      <c r="M38" s="857"/>
      <c r="N38" s="858"/>
    </row>
    <row r="39" spans="1:17" ht="15.75" customHeight="1" x14ac:dyDescent="0.55000000000000004">
      <c r="A39" s="144" t="s">
        <v>0</v>
      </c>
      <c r="B39" s="145">
        <v>24</v>
      </c>
      <c r="C39" s="145">
        <v>25</v>
      </c>
      <c r="D39" s="145">
        <v>26</v>
      </c>
      <c r="E39" s="438">
        <v>27</v>
      </c>
      <c r="F39" s="145">
        <v>28</v>
      </c>
      <c r="G39" s="145">
        <v>29</v>
      </c>
      <c r="H39" s="145">
        <v>30</v>
      </c>
      <c r="I39" s="145">
        <v>31</v>
      </c>
      <c r="J39" s="237"/>
      <c r="K39" s="148" t="s">
        <v>7</v>
      </c>
      <c r="L39" s="856"/>
      <c r="M39" s="857"/>
      <c r="N39" s="858"/>
    </row>
    <row r="40" spans="1:17" ht="15.75" customHeight="1" x14ac:dyDescent="0.55000000000000004">
      <c r="A40" s="6" t="s">
        <v>70</v>
      </c>
      <c r="B40" s="7">
        <f t="shared" ref="B40:I40" si="33">SUMIFS($J$94:$J$4617,$A$94:$A$4617,B39&amp;"-01-2023",$D$94:$D$4617,$A$40,$K$94:$K$4617,"1")</f>
        <v>0</v>
      </c>
      <c r="C40" s="7">
        <f t="shared" si="33"/>
        <v>0</v>
      </c>
      <c r="D40" s="7">
        <f t="shared" si="33"/>
        <v>0</v>
      </c>
      <c r="E40" s="7">
        <f t="shared" si="33"/>
        <v>0</v>
      </c>
      <c r="F40" s="7">
        <f t="shared" si="33"/>
        <v>0</v>
      </c>
      <c r="G40" s="7">
        <f t="shared" si="33"/>
        <v>0</v>
      </c>
      <c r="H40" s="7">
        <f t="shared" si="33"/>
        <v>0</v>
      </c>
      <c r="I40" s="7">
        <f t="shared" si="33"/>
        <v>0</v>
      </c>
      <c r="J40" s="845"/>
      <c r="K40" s="8">
        <f t="shared" ref="K40:K44" si="34">SUM(B40:I40)</f>
        <v>0</v>
      </c>
      <c r="L40" s="584"/>
      <c r="M40" s="585"/>
      <c r="N40" s="586"/>
    </row>
    <row r="41" spans="1:17" ht="15.75" customHeight="1" x14ac:dyDescent="0.55000000000000004">
      <c r="A41" s="6" t="s">
        <v>71</v>
      </c>
      <c r="B41" s="7">
        <f t="shared" ref="B41:I41" si="35">SUMIFS($J$94:$J$4617,$A$94:$A$4617,B39&amp;"-01-2023",$D$94:$D$4617,$A$41,$K$94:$K$4617,"1")</f>
        <v>0</v>
      </c>
      <c r="C41" s="7">
        <f t="shared" si="35"/>
        <v>0</v>
      </c>
      <c r="D41" s="7">
        <f t="shared" si="35"/>
        <v>0</v>
      </c>
      <c r="E41" s="7">
        <f t="shared" si="35"/>
        <v>0</v>
      </c>
      <c r="F41" s="7">
        <f t="shared" si="35"/>
        <v>0</v>
      </c>
      <c r="G41" s="7">
        <f t="shared" si="35"/>
        <v>0</v>
      </c>
      <c r="H41" s="7">
        <f t="shared" si="35"/>
        <v>0</v>
      </c>
      <c r="I41" s="7">
        <f t="shared" si="35"/>
        <v>0</v>
      </c>
      <c r="J41" s="845"/>
      <c r="K41" s="8">
        <f t="shared" si="34"/>
        <v>0</v>
      </c>
      <c r="L41" s="584"/>
      <c r="M41" s="585"/>
      <c r="N41" s="586"/>
    </row>
    <row r="42" spans="1:17" ht="15.75" customHeight="1" x14ac:dyDescent="0.55000000000000004">
      <c r="A42" s="6" t="s">
        <v>72</v>
      </c>
      <c r="B42" s="7">
        <f t="shared" ref="B42:I42" si="36">SUMIFS($J$94:$J$4617,$A$94:$A$4617,B39&amp;"-01-2023",$D$94:$D$4617,$A$42,$K$94:$K$4617,"1")</f>
        <v>0</v>
      </c>
      <c r="C42" s="7">
        <f t="shared" si="36"/>
        <v>0</v>
      </c>
      <c r="D42" s="7">
        <f t="shared" si="36"/>
        <v>0</v>
      </c>
      <c r="E42" s="7">
        <f t="shared" si="36"/>
        <v>0</v>
      </c>
      <c r="F42" s="7">
        <f t="shared" si="36"/>
        <v>0</v>
      </c>
      <c r="G42" s="7">
        <f t="shared" si="36"/>
        <v>0</v>
      </c>
      <c r="H42" s="7">
        <f t="shared" si="36"/>
        <v>0</v>
      </c>
      <c r="I42" s="7">
        <f t="shared" si="36"/>
        <v>0</v>
      </c>
      <c r="J42" s="845"/>
      <c r="K42" s="8">
        <f t="shared" si="34"/>
        <v>0</v>
      </c>
      <c r="L42" s="584"/>
      <c r="M42" s="585"/>
      <c r="N42" s="586"/>
    </row>
    <row r="43" spans="1:17" ht="15.75" customHeight="1" x14ac:dyDescent="0.55000000000000004">
      <c r="A43" s="6" t="s">
        <v>73</v>
      </c>
      <c r="B43" s="7">
        <f t="shared" ref="B43:I43" si="37">SUMIFS($J$94:$J$4617,$A$94:$A$4617,B39&amp;"-01-2023",$D$94:$D$4617,$A$43,$K$94:$K$4617,"1")</f>
        <v>0</v>
      </c>
      <c r="C43" s="7">
        <f t="shared" si="37"/>
        <v>0</v>
      </c>
      <c r="D43" s="7">
        <f t="shared" si="37"/>
        <v>0</v>
      </c>
      <c r="E43" s="7">
        <f t="shared" si="37"/>
        <v>0</v>
      </c>
      <c r="F43" s="7">
        <f t="shared" si="37"/>
        <v>0</v>
      </c>
      <c r="G43" s="7">
        <f t="shared" si="37"/>
        <v>0</v>
      </c>
      <c r="H43" s="7">
        <f t="shared" si="37"/>
        <v>0</v>
      </c>
      <c r="I43" s="7">
        <f t="shared" si="37"/>
        <v>0</v>
      </c>
      <c r="J43" s="845"/>
      <c r="K43" s="8">
        <f t="shared" si="34"/>
        <v>0</v>
      </c>
      <c r="L43" s="584"/>
      <c r="M43" s="585"/>
      <c r="N43" s="586"/>
    </row>
    <row r="44" spans="1:17" ht="15.75" customHeight="1" x14ac:dyDescent="0.55000000000000004">
      <c r="A44" s="6" t="s">
        <v>74</v>
      </c>
      <c r="B44" s="7">
        <f t="shared" ref="B44:I44" si="38">SUMIFS($J$94:$J$4617,$A$94:$A$4617,B39&amp;"-01-2023",$D$94:$D$4617,$A$44,$K$94:$K$4617,"1")</f>
        <v>0</v>
      </c>
      <c r="C44" s="7">
        <f t="shared" si="38"/>
        <v>0</v>
      </c>
      <c r="D44" s="7">
        <f t="shared" si="38"/>
        <v>0</v>
      </c>
      <c r="E44" s="7">
        <f t="shared" si="38"/>
        <v>0</v>
      </c>
      <c r="F44" s="7">
        <f t="shared" si="38"/>
        <v>0</v>
      </c>
      <c r="G44" s="7">
        <f t="shared" si="38"/>
        <v>0</v>
      </c>
      <c r="H44" s="7">
        <f t="shared" si="38"/>
        <v>0</v>
      </c>
      <c r="I44" s="7">
        <f t="shared" si="38"/>
        <v>0</v>
      </c>
      <c r="J44" s="845"/>
      <c r="K44" s="8">
        <f t="shared" si="34"/>
        <v>0</v>
      </c>
      <c r="L44" s="584"/>
      <c r="M44" s="585"/>
      <c r="N44" s="586"/>
      <c r="O44" s="259"/>
      <c r="P44" s="326"/>
      <c r="Q44" s="326"/>
    </row>
    <row r="45" spans="1:17" ht="15.75" customHeight="1" x14ac:dyDescent="0.55000000000000004">
      <c r="A45" s="6" t="s">
        <v>105</v>
      </c>
      <c r="B45" s="7">
        <f t="shared" ref="B45:I45" si="39">SUMIFS($J$94:$J$4617,$A$94:$A$4617,B39&amp;"-01-2023",$D$94:$D$4617,$A$45,$K$94:$K$4617,"1")</f>
        <v>0</v>
      </c>
      <c r="C45" s="7">
        <f t="shared" si="39"/>
        <v>0</v>
      </c>
      <c r="D45" s="7">
        <f t="shared" si="39"/>
        <v>0</v>
      </c>
      <c r="E45" s="7">
        <f t="shared" si="39"/>
        <v>0</v>
      </c>
      <c r="F45" s="7">
        <f t="shared" si="39"/>
        <v>0</v>
      </c>
      <c r="G45" s="7">
        <f t="shared" si="39"/>
        <v>0</v>
      </c>
      <c r="H45" s="7">
        <f t="shared" si="39"/>
        <v>0</v>
      </c>
      <c r="I45" s="7">
        <f t="shared" si="39"/>
        <v>0</v>
      </c>
      <c r="J45" s="239"/>
      <c r="K45" s="142">
        <f>SUM(B45:I45)</f>
        <v>0</v>
      </c>
      <c r="L45" s="584"/>
      <c r="M45" s="585"/>
      <c r="N45" s="586"/>
      <c r="O45" s="259"/>
      <c r="P45" s="326"/>
      <c r="Q45" s="326"/>
    </row>
    <row r="46" spans="1:17" ht="15.75" customHeight="1" x14ac:dyDescent="0.55000000000000004">
      <c r="A46" s="6" t="s">
        <v>166</v>
      </c>
      <c r="B46" s="7">
        <f t="shared" ref="B46:I46" si="40">SUMIFS($J$94:$J$4617,$A$94:$A$4617,B39&amp;"-01-2023",$D$94:$D$4617,$A$46,$K$94:$K$4617,"1")</f>
        <v>0</v>
      </c>
      <c r="C46" s="7">
        <f t="shared" si="40"/>
        <v>0</v>
      </c>
      <c r="D46" s="7">
        <f t="shared" si="40"/>
        <v>0</v>
      </c>
      <c r="E46" s="7">
        <f t="shared" si="40"/>
        <v>0</v>
      </c>
      <c r="F46" s="7">
        <f t="shared" si="40"/>
        <v>0</v>
      </c>
      <c r="G46" s="7">
        <f t="shared" si="40"/>
        <v>0</v>
      </c>
      <c r="H46" s="7">
        <f t="shared" si="40"/>
        <v>0</v>
      </c>
      <c r="I46" s="7">
        <f t="shared" si="40"/>
        <v>0</v>
      </c>
      <c r="J46" s="239"/>
      <c r="K46" s="142">
        <f>SUM(B46:I46)</f>
        <v>0</v>
      </c>
      <c r="L46" s="584"/>
      <c r="M46" s="585"/>
      <c r="N46" s="586"/>
      <c r="O46" s="259"/>
      <c r="P46" s="326"/>
      <c r="Q46" s="326"/>
    </row>
    <row r="47" spans="1:17" ht="15.75" customHeight="1" x14ac:dyDescent="0.55000000000000004">
      <c r="A47" s="6" t="s">
        <v>165</v>
      </c>
      <c r="B47" s="7">
        <f t="shared" ref="B47:I47" si="41">SUMIFS($J$94:$J$4617,$A$94:$A$4617,B39&amp;"-01-2023",$D$94:$D$4617,$A$47,$K$94:$K$4617,"1")</f>
        <v>0</v>
      </c>
      <c r="C47" s="7">
        <f t="shared" si="41"/>
        <v>0</v>
      </c>
      <c r="D47" s="7">
        <f t="shared" si="41"/>
        <v>0</v>
      </c>
      <c r="E47" s="7">
        <f t="shared" si="41"/>
        <v>0</v>
      </c>
      <c r="F47" s="7">
        <f t="shared" si="41"/>
        <v>0</v>
      </c>
      <c r="G47" s="7">
        <f t="shared" si="41"/>
        <v>0</v>
      </c>
      <c r="H47" s="7">
        <f t="shared" si="41"/>
        <v>0</v>
      </c>
      <c r="I47" s="7">
        <f t="shared" si="41"/>
        <v>0</v>
      </c>
      <c r="J47" s="239"/>
      <c r="K47" s="142">
        <f>SUM(B47:I47)</f>
        <v>0</v>
      </c>
      <c r="L47" s="587"/>
      <c r="M47" s="588"/>
      <c r="N47" s="589"/>
      <c r="O47" s="259"/>
      <c r="P47" s="326"/>
      <c r="Q47" s="326"/>
    </row>
    <row r="48" spans="1:17" ht="18.75" customHeight="1" x14ac:dyDescent="0.55000000000000004">
      <c r="A48" s="45"/>
      <c r="B48" s="867" t="s">
        <v>8</v>
      </c>
      <c r="C48" s="867"/>
      <c r="D48" s="867"/>
      <c r="E48" s="439" t="s">
        <v>75</v>
      </c>
      <c r="F48" s="115" t="s">
        <v>76</v>
      </c>
      <c r="G48" s="13" t="s">
        <v>77</v>
      </c>
      <c r="H48" s="115" t="s">
        <v>78</v>
      </c>
      <c r="I48" s="232"/>
      <c r="J48" s="238"/>
      <c r="K48" s="45"/>
      <c r="L48" s="867" t="s">
        <v>119</v>
      </c>
      <c r="M48" s="867"/>
      <c r="N48" s="867"/>
      <c r="O48" s="259"/>
      <c r="P48" s="326"/>
      <c r="Q48" s="326"/>
    </row>
    <row r="49" spans="1:17" ht="18.75" customHeight="1" x14ac:dyDescent="0.55000000000000004">
      <c r="A49" s="15" t="s">
        <v>70</v>
      </c>
      <c r="B49" s="868"/>
      <c r="C49" s="869"/>
      <c r="D49" s="870"/>
      <c r="E49" s="440"/>
      <c r="F49" s="25"/>
      <c r="G49" s="7"/>
      <c r="H49" s="25"/>
      <c r="I49" s="232"/>
      <c r="J49" s="238"/>
      <c r="K49" s="15" t="s">
        <v>70</v>
      </c>
      <c r="L49" s="866">
        <f>B49+M15-M61-O49</f>
        <v>77.039999999999992</v>
      </c>
      <c r="M49" s="866"/>
      <c r="N49" s="866"/>
      <c r="O49" s="402"/>
      <c r="P49" s="326"/>
      <c r="Q49" s="326"/>
    </row>
    <row r="50" spans="1:17" ht="18.75" customHeight="1" x14ac:dyDescent="0.55000000000000004">
      <c r="A50" s="266" t="s">
        <v>73</v>
      </c>
      <c r="B50" s="871"/>
      <c r="C50" s="872"/>
      <c r="D50" s="873"/>
      <c r="E50" s="440"/>
      <c r="F50" s="25"/>
      <c r="G50" s="7"/>
      <c r="H50" s="25"/>
      <c r="I50" s="232"/>
      <c r="J50" s="238"/>
      <c r="K50" s="15" t="s">
        <v>73</v>
      </c>
      <c r="L50" s="866">
        <f>B50+M24-M69-O50</f>
        <v>0</v>
      </c>
      <c r="M50" s="866"/>
      <c r="N50" s="866"/>
      <c r="O50" s="402"/>
      <c r="P50" s="326"/>
      <c r="Q50" s="326"/>
    </row>
    <row r="51" spans="1:17" ht="18.75" customHeight="1" x14ac:dyDescent="0.55000000000000004">
      <c r="A51" s="15" t="s">
        <v>72</v>
      </c>
      <c r="B51" s="868"/>
      <c r="C51" s="869"/>
      <c r="D51" s="870"/>
      <c r="E51" s="440"/>
      <c r="F51" s="25"/>
      <c r="G51" s="7"/>
      <c r="H51" s="25"/>
      <c r="I51" s="232"/>
      <c r="J51" s="238"/>
      <c r="K51" s="15" t="s">
        <v>72</v>
      </c>
      <c r="L51" s="866">
        <f>B51+M22-M66-O51</f>
        <v>50.399999999999991</v>
      </c>
      <c r="M51" s="866"/>
      <c r="N51" s="866"/>
      <c r="O51" s="402"/>
      <c r="P51" s="326"/>
      <c r="Q51" s="326"/>
    </row>
    <row r="52" spans="1:17" ht="18.75" customHeight="1" x14ac:dyDescent="0.55000000000000004">
      <c r="A52" s="15" t="s">
        <v>74</v>
      </c>
      <c r="B52" s="868"/>
      <c r="C52" s="869"/>
      <c r="D52" s="870"/>
      <c r="E52" s="440"/>
      <c r="F52" s="25"/>
      <c r="G52" s="7"/>
      <c r="H52" s="25"/>
      <c r="I52" s="232"/>
      <c r="J52" s="238"/>
      <c r="K52" s="15" t="s">
        <v>74</v>
      </c>
      <c r="L52" s="866">
        <f>B52+M27-M71-O52</f>
        <v>0</v>
      </c>
      <c r="M52" s="866"/>
      <c r="N52" s="866"/>
      <c r="O52" s="402"/>
      <c r="P52" s="326"/>
      <c r="Q52" s="326"/>
    </row>
    <row r="53" spans="1:17" ht="18.75" customHeight="1" x14ac:dyDescent="0.55000000000000004">
      <c r="A53" s="15" t="s">
        <v>71</v>
      </c>
      <c r="B53" s="868"/>
      <c r="C53" s="869"/>
      <c r="D53" s="870"/>
      <c r="E53" s="440"/>
      <c r="F53" s="25"/>
      <c r="G53" s="7"/>
      <c r="H53" s="25"/>
      <c r="I53" s="232"/>
      <c r="J53" s="238"/>
      <c r="K53" s="15" t="s">
        <v>71</v>
      </c>
      <c r="L53" s="866">
        <f>B53+M18-M63-O53</f>
        <v>24.48</v>
      </c>
      <c r="M53" s="866"/>
      <c r="N53" s="866"/>
      <c r="O53" s="402"/>
      <c r="P53" s="326"/>
      <c r="Q53" s="326"/>
    </row>
    <row r="54" spans="1:17" ht="18.75" customHeight="1" x14ac:dyDescent="0.55000000000000004">
      <c r="A54" s="15" t="s">
        <v>165</v>
      </c>
      <c r="B54" s="868">
        <v>0</v>
      </c>
      <c r="C54" s="869"/>
      <c r="D54" s="870"/>
      <c r="E54" s="440"/>
      <c r="F54" s="25"/>
      <c r="G54" s="7"/>
      <c r="H54" s="25"/>
      <c r="I54" s="232"/>
      <c r="J54" s="238"/>
      <c r="K54" s="15" t="s">
        <v>156</v>
      </c>
      <c r="L54" s="866">
        <f>B54+M30-M75-O54</f>
        <v>8.1</v>
      </c>
      <c r="M54" s="866"/>
      <c r="N54" s="866"/>
      <c r="O54" s="446"/>
      <c r="P54" s="326"/>
      <c r="Q54" s="326"/>
    </row>
    <row r="55" spans="1:17" ht="18.75" customHeight="1" x14ac:dyDescent="0.55000000000000004">
      <c r="A55" s="18"/>
      <c r="B55" s="16"/>
      <c r="C55" s="16"/>
      <c r="D55" s="16"/>
      <c r="E55" s="441"/>
      <c r="F55" s="16"/>
      <c r="G55" s="17"/>
      <c r="H55" s="16"/>
      <c r="I55" s="232"/>
      <c r="J55" s="238"/>
      <c r="K55" s="20"/>
      <c r="L55" s="252"/>
      <c r="M55" s="21"/>
      <c r="N55" s="21"/>
    </row>
    <row r="56" spans="1:17" ht="15.75" customHeight="1" x14ac:dyDescent="0.55000000000000004">
      <c r="A56" s="144" t="s">
        <v>79</v>
      </c>
      <c r="B56" s="145">
        <v>1</v>
      </c>
      <c r="C56" s="146">
        <v>2</v>
      </c>
      <c r="D56" s="145">
        <v>3</v>
      </c>
      <c r="E56" s="436">
        <v>4</v>
      </c>
      <c r="F56" s="145">
        <v>5</v>
      </c>
      <c r="G56" s="146">
        <v>6</v>
      </c>
      <c r="H56" s="145">
        <v>7</v>
      </c>
      <c r="I56" s="230"/>
      <c r="J56" s="555"/>
      <c r="K56" s="150" t="s">
        <v>1</v>
      </c>
      <c r="L56" s="721" t="s">
        <v>39</v>
      </c>
      <c r="M56" s="722"/>
      <c r="N56" s="723"/>
    </row>
    <row r="57" spans="1:17" ht="15.75" customHeight="1" x14ac:dyDescent="0.55000000000000004">
      <c r="A57" s="6" t="s">
        <v>70</v>
      </c>
      <c r="B57" s="7">
        <f t="shared" ref="B57:I57" si="42">SUMIFS($J$94:$J$4617,$A$94:$A$4617,B56&amp;"-01-2023",$D$94:$D$4617,$A$57,$L$94:$L$4617,"O")</f>
        <v>0</v>
      </c>
      <c r="C57" s="7">
        <f t="shared" si="42"/>
        <v>0</v>
      </c>
      <c r="D57" s="7">
        <f t="shared" si="42"/>
        <v>0</v>
      </c>
      <c r="E57" s="7">
        <f t="shared" si="42"/>
        <v>0</v>
      </c>
      <c r="F57" s="7">
        <f t="shared" si="42"/>
        <v>0</v>
      </c>
      <c r="G57" s="7">
        <f t="shared" si="42"/>
        <v>0</v>
      </c>
      <c r="H57" s="7">
        <f t="shared" si="42"/>
        <v>0</v>
      </c>
      <c r="I57" s="7">
        <f t="shared" si="42"/>
        <v>0</v>
      </c>
      <c r="J57" s="855"/>
      <c r="K57" s="8">
        <f t="shared" ref="K57:K64" si="43">SUM(B57:I57)</f>
        <v>0</v>
      </c>
      <c r="L57" s="724"/>
      <c r="M57" s="725"/>
      <c r="N57" s="726"/>
    </row>
    <row r="58" spans="1:17" ht="15.75" customHeight="1" x14ac:dyDescent="0.55000000000000004">
      <c r="A58" s="6" t="s">
        <v>71</v>
      </c>
      <c r="B58" s="7">
        <f t="shared" ref="B58:I58" si="44">SUMIFS($J$94:$J$4617,$A$94:$A$4617,B56&amp;"-01-2023",$D$94:$D$4617,$A$58,$L$94:$L$4617,"O")</f>
        <v>0</v>
      </c>
      <c r="C58" s="7">
        <f t="shared" si="44"/>
        <v>0</v>
      </c>
      <c r="D58" s="7">
        <f t="shared" si="44"/>
        <v>0</v>
      </c>
      <c r="E58" s="7">
        <f t="shared" si="44"/>
        <v>0</v>
      </c>
      <c r="F58" s="7">
        <f t="shared" si="44"/>
        <v>0</v>
      </c>
      <c r="G58" s="7">
        <f t="shared" si="44"/>
        <v>0</v>
      </c>
      <c r="H58" s="7">
        <f t="shared" si="44"/>
        <v>0</v>
      </c>
      <c r="I58" s="7">
        <f t="shared" si="44"/>
        <v>0</v>
      </c>
      <c r="J58" s="855"/>
      <c r="K58" s="8">
        <f t="shared" si="43"/>
        <v>0</v>
      </c>
      <c r="L58" s="724"/>
      <c r="M58" s="725"/>
      <c r="N58" s="726"/>
    </row>
    <row r="59" spans="1:17" ht="15.75" customHeight="1" x14ac:dyDescent="0.55000000000000004">
      <c r="A59" s="6" t="s">
        <v>105</v>
      </c>
      <c r="B59" s="7">
        <f t="shared" ref="B59:I59" si="45">SUMIFS($J$94:$J$4617,$A$94:$A$4617,B56&amp;"-01-2023",$D$94:$D$4617,$A$59,$L$94:$L$4617,"O")</f>
        <v>0</v>
      </c>
      <c r="C59" s="7">
        <f t="shared" si="45"/>
        <v>0</v>
      </c>
      <c r="D59" s="7">
        <f t="shared" si="45"/>
        <v>0</v>
      </c>
      <c r="E59" s="7">
        <f t="shared" si="45"/>
        <v>0</v>
      </c>
      <c r="F59" s="7">
        <f t="shared" si="45"/>
        <v>0</v>
      </c>
      <c r="G59" s="7">
        <f t="shared" si="45"/>
        <v>0</v>
      </c>
      <c r="H59" s="7">
        <f t="shared" si="45"/>
        <v>0</v>
      </c>
      <c r="I59" s="7">
        <f t="shared" si="45"/>
        <v>0</v>
      </c>
      <c r="J59" s="855"/>
      <c r="K59" s="8">
        <f t="shared" si="43"/>
        <v>0</v>
      </c>
      <c r="L59" s="477"/>
      <c r="M59" s="382"/>
      <c r="N59" s="430"/>
      <c r="O59" s="76"/>
    </row>
    <row r="60" spans="1:17" ht="15.75" customHeight="1" x14ac:dyDescent="0.55000000000000004">
      <c r="A60" s="6" t="s">
        <v>72</v>
      </c>
      <c r="B60" s="7">
        <f t="shared" ref="B60:I60" si="46">SUMIFS($J$94:$J$4617,$A$94:$A$4617,B56&amp;"-01-2023",$D$94:$D$4617,$A$60,$L$94:$L$4617,"O")</f>
        <v>0</v>
      </c>
      <c r="C60" s="7">
        <f t="shared" si="46"/>
        <v>0</v>
      </c>
      <c r="D60" s="7">
        <f t="shared" si="46"/>
        <v>0</v>
      </c>
      <c r="E60" s="7">
        <f t="shared" si="46"/>
        <v>0</v>
      </c>
      <c r="F60" s="7">
        <f t="shared" si="46"/>
        <v>0</v>
      </c>
      <c r="G60" s="7">
        <f t="shared" si="46"/>
        <v>0</v>
      </c>
      <c r="H60" s="7">
        <f t="shared" si="46"/>
        <v>0</v>
      </c>
      <c r="I60" s="7">
        <f t="shared" si="46"/>
        <v>0</v>
      </c>
      <c r="J60" s="855"/>
      <c r="K60" s="8">
        <f>SUM(B60:I60)</f>
        <v>0</v>
      </c>
      <c r="L60" s="477"/>
      <c r="M60" s="382"/>
      <c r="N60" s="430"/>
      <c r="O60" s="76"/>
    </row>
    <row r="61" spans="1:17" ht="15.75" customHeight="1" x14ac:dyDescent="0.55000000000000004">
      <c r="A61" s="6" t="s">
        <v>166</v>
      </c>
      <c r="B61" s="7">
        <f t="shared" ref="B61:I61" si="47">SUMIFS($J$94:$J$4617,$A$94:$A$4617,B56&amp;"-01-2023",$D$94:$D$4617,$A$61,$L$94:$L$4617,"O")</f>
        <v>0</v>
      </c>
      <c r="C61" s="7">
        <f t="shared" si="47"/>
        <v>0</v>
      </c>
      <c r="D61" s="7">
        <f t="shared" si="47"/>
        <v>0</v>
      </c>
      <c r="E61" s="7">
        <f t="shared" si="47"/>
        <v>0</v>
      </c>
      <c r="F61" s="7">
        <f t="shared" si="47"/>
        <v>0</v>
      </c>
      <c r="G61" s="7">
        <f t="shared" si="47"/>
        <v>0</v>
      </c>
      <c r="H61" s="7">
        <f t="shared" si="47"/>
        <v>0</v>
      </c>
      <c r="I61" s="7">
        <f t="shared" si="47"/>
        <v>0</v>
      </c>
      <c r="J61" s="855"/>
      <c r="K61" s="8">
        <f t="shared" si="43"/>
        <v>0</v>
      </c>
      <c r="L61" s="833" t="s">
        <v>70</v>
      </c>
      <c r="M61" s="798">
        <f>K57+K66+K75+K84+O62+O61</f>
        <v>0</v>
      </c>
      <c r="N61" s="800"/>
      <c r="O61" s="76"/>
    </row>
    <row r="62" spans="1:17" ht="15.75" customHeight="1" x14ac:dyDescent="0.55000000000000004">
      <c r="A62" s="6" t="s">
        <v>73</v>
      </c>
      <c r="B62" s="7">
        <f t="shared" ref="B62:I62" si="48">SUMIFS($J$94:$J$4617,$A$94:$A$4617,B56&amp;"-01-2023",$D$94:$D$4617,$A$62,$L$94:$L$4617,"O")</f>
        <v>0</v>
      </c>
      <c r="C62" s="7">
        <f t="shared" si="48"/>
        <v>0</v>
      </c>
      <c r="D62" s="7">
        <f t="shared" si="48"/>
        <v>0</v>
      </c>
      <c r="E62" s="7">
        <f t="shared" si="48"/>
        <v>0</v>
      </c>
      <c r="F62" s="7">
        <f t="shared" si="48"/>
        <v>0</v>
      </c>
      <c r="G62" s="7">
        <f t="shared" si="48"/>
        <v>0</v>
      </c>
      <c r="H62" s="7">
        <f t="shared" si="48"/>
        <v>0</v>
      </c>
      <c r="I62" s="7">
        <f t="shared" si="48"/>
        <v>0</v>
      </c>
      <c r="J62" s="855"/>
      <c r="K62" s="8">
        <f t="shared" si="43"/>
        <v>0</v>
      </c>
      <c r="L62" s="833"/>
      <c r="M62" s="801"/>
      <c r="N62" s="803"/>
    </row>
    <row r="63" spans="1:17" ht="15.75" customHeight="1" x14ac:dyDescent="0.55000000000000004">
      <c r="A63" s="6" t="s">
        <v>74</v>
      </c>
      <c r="B63" s="7">
        <f t="shared" ref="B63:I63" si="49">SUMIFS($J$94:$J$4617,$A$94:$A$4617,B56&amp;"-01-2023",$D$94:$D$4617,$A$63,$L$94:$L$4617,"O")</f>
        <v>0</v>
      </c>
      <c r="C63" s="7">
        <f t="shared" si="49"/>
        <v>0</v>
      </c>
      <c r="D63" s="7">
        <f t="shared" si="49"/>
        <v>0</v>
      </c>
      <c r="E63" s="7">
        <f t="shared" si="49"/>
        <v>0</v>
      </c>
      <c r="F63" s="7">
        <f t="shared" si="49"/>
        <v>0</v>
      </c>
      <c r="G63" s="7">
        <f t="shared" si="49"/>
        <v>0</v>
      </c>
      <c r="H63" s="7">
        <f t="shared" si="49"/>
        <v>0</v>
      </c>
      <c r="I63" s="7">
        <f t="shared" si="49"/>
        <v>0</v>
      </c>
      <c r="J63" s="855"/>
      <c r="K63" s="8">
        <f t="shared" si="43"/>
        <v>0</v>
      </c>
      <c r="L63" s="833" t="s">
        <v>71</v>
      </c>
      <c r="M63" s="798">
        <f>K58+K67+K76+K85+O65+O63</f>
        <v>0</v>
      </c>
      <c r="N63" s="800"/>
    </row>
    <row r="64" spans="1:17" ht="15.75" customHeight="1" x14ac:dyDescent="0.55000000000000004">
      <c r="A64" s="6" t="s">
        <v>165</v>
      </c>
      <c r="B64" s="7">
        <f t="shared" ref="B64:I64" si="50">SUMIFS($J$94:$J$4617,$A$94:$A$4617,B56&amp;"-12-2022",$D$94:$D$4617,$A$64,$L$94:$L$4617,"O")</f>
        <v>0</v>
      </c>
      <c r="C64" s="7">
        <f t="shared" si="50"/>
        <v>0</v>
      </c>
      <c r="D64" s="7">
        <f t="shared" si="50"/>
        <v>0</v>
      </c>
      <c r="E64" s="7">
        <f t="shared" si="50"/>
        <v>0</v>
      </c>
      <c r="F64" s="7">
        <f t="shared" si="50"/>
        <v>0</v>
      </c>
      <c r="G64" s="7">
        <f t="shared" si="50"/>
        <v>0</v>
      </c>
      <c r="H64" s="7">
        <f t="shared" si="50"/>
        <v>0</v>
      </c>
      <c r="I64" s="7">
        <f t="shared" si="50"/>
        <v>0</v>
      </c>
      <c r="J64" s="445"/>
      <c r="K64" s="8">
        <f t="shared" si="43"/>
        <v>0</v>
      </c>
      <c r="L64" s="833"/>
      <c r="M64" s="810"/>
      <c r="N64" s="811"/>
    </row>
    <row r="65" spans="1:17" ht="15.75" customHeight="1" x14ac:dyDescent="0.55000000000000004">
      <c r="A65" s="144" t="s">
        <v>79</v>
      </c>
      <c r="B65" s="145">
        <v>8</v>
      </c>
      <c r="C65" s="147">
        <v>9</v>
      </c>
      <c r="D65" s="145">
        <v>10</v>
      </c>
      <c r="E65" s="437">
        <v>11</v>
      </c>
      <c r="F65" s="145">
        <v>12</v>
      </c>
      <c r="G65" s="147">
        <v>13</v>
      </c>
      <c r="H65" s="145">
        <v>14</v>
      </c>
      <c r="I65" s="231">
        <v>15</v>
      </c>
      <c r="J65" s="236"/>
      <c r="K65" s="152" t="s">
        <v>5</v>
      </c>
      <c r="L65" s="833"/>
      <c r="M65" s="801"/>
      <c r="N65" s="803"/>
      <c r="O65" s="336"/>
      <c r="P65" s="336"/>
      <c r="Q65" s="336"/>
    </row>
    <row r="66" spans="1:17" ht="15.75" customHeight="1" x14ac:dyDescent="0.55000000000000004">
      <c r="A66" s="6" t="s">
        <v>70</v>
      </c>
      <c r="B66" s="7">
        <f t="shared" ref="B66:I66" si="51">SUMIFS($J$94:$J$4617,$A$94:$A$4617,B65&amp;"-01-2023",$D$94:$D$4617,$A$66,$L$94:$L$4617,"O")</f>
        <v>0</v>
      </c>
      <c r="C66" s="7">
        <f t="shared" si="51"/>
        <v>0</v>
      </c>
      <c r="D66" s="7">
        <f t="shared" si="51"/>
        <v>0</v>
      </c>
      <c r="E66" s="7">
        <f t="shared" si="51"/>
        <v>0</v>
      </c>
      <c r="F66" s="7">
        <f t="shared" si="51"/>
        <v>0</v>
      </c>
      <c r="G66" s="7">
        <f t="shared" si="51"/>
        <v>0</v>
      </c>
      <c r="H66" s="7">
        <f t="shared" si="51"/>
        <v>0</v>
      </c>
      <c r="I66" s="7">
        <f t="shared" si="51"/>
        <v>0</v>
      </c>
      <c r="J66" s="845"/>
      <c r="K66" s="8">
        <f t="shared" ref="K66:K73" si="52">SUM(B66:I66)</f>
        <v>0</v>
      </c>
      <c r="L66" s="833" t="s">
        <v>72</v>
      </c>
      <c r="M66" s="834">
        <f>K60+K68+K77+K86</f>
        <v>0</v>
      </c>
      <c r="N66" s="834"/>
    </row>
    <row r="67" spans="1:17" ht="15.75" customHeight="1" x14ac:dyDescent="0.55000000000000004">
      <c r="A67" s="6" t="s">
        <v>71</v>
      </c>
      <c r="B67" s="7">
        <f t="shared" ref="B67:I67" si="53">SUMIFS($J$94:$J$4617,$A$94:$A$4617,B65&amp;"-01-2023",$D$94:$D$4617,$A$67,$L$94:$L$4617,"O")</f>
        <v>0</v>
      </c>
      <c r="C67" s="7">
        <f t="shared" si="53"/>
        <v>0</v>
      </c>
      <c r="D67" s="7">
        <f t="shared" si="53"/>
        <v>0</v>
      </c>
      <c r="E67" s="7">
        <f t="shared" si="53"/>
        <v>0</v>
      </c>
      <c r="F67" s="7">
        <f t="shared" si="53"/>
        <v>0</v>
      </c>
      <c r="G67" s="7">
        <f t="shared" si="53"/>
        <v>0</v>
      </c>
      <c r="H67" s="7">
        <f t="shared" si="53"/>
        <v>0</v>
      </c>
      <c r="I67" s="7">
        <f t="shared" si="53"/>
        <v>0</v>
      </c>
      <c r="J67" s="845"/>
      <c r="K67" s="8">
        <f t="shared" si="52"/>
        <v>0</v>
      </c>
      <c r="L67" s="833"/>
      <c r="M67" s="834"/>
      <c r="N67" s="834"/>
    </row>
    <row r="68" spans="1:17" ht="21" customHeight="1" x14ac:dyDescent="0.55000000000000004">
      <c r="A68" s="6" t="s">
        <v>72</v>
      </c>
      <c r="B68" s="7">
        <f t="shared" ref="B68:I68" si="54">SUMIFS($J$94:$J$4617,$A$94:$A$4617,B65&amp;"-01-2023",$D$94:$D$4617,$A$68,$L$94:$L$4617,"O")</f>
        <v>0</v>
      </c>
      <c r="C68" s="7">
        <f t="shared" si="54"/>
        <v>0</v>
      </c>
      <c r="D68" s="7">
        <f t="shared" si="54"/>
        <v>0</v>
      </c>
      <c r="E68" s="7">
        <f t="shared" si="54"/>
        <v>0</v>
      </c>
      <c r="F68" s="7">
        <f t="shared" si="54"/>
        <v>0</v>
      </c>
      <c r="G68" s="7">
        <f t="shared" si="54"/>
        <v>0</v>
      </c>
      <c r="H68" s="7">
        <f t="shared" si="54"/>
        <v>0</v>
      </c>
      <c r="I68" s="7">
        <f t="shared" si="54"/>
        <v>0</v>
      </c>
      <c r="J68" s="845"/>
      <c r="K68" s="8">
        <f t="shared" ref="K68" si="55">SUM(B68:I68)</f>
        <v>0</v>
      </c>
      <c r="L68" s="335" t="s">
        <v>166</v>
      </c>
      <c r="M68" s="874">
        <f>K61+K69+K78+K87</f>
        <v>0</v>
      </c>
      <c r="N68" s="875"/>
    </row>
    <row r="69" spans="1:17" ht="15.75" customHeight="1" x14ac:dyDescent="0.55000000000000004">
      <c r="A69" s="6" t="s">
        <v>166</v>
      </c>
      <c r="B69" s="7">
        <f t="shared" ref="B69:I69" si="56">SUMIFS($J$94:$J$4617,$A$94:$A$4617,B65&amp;"-01-2023",$D$94:$D$4617,$A$69,$L$94:$L$4617,"O")</f>
        <v>0</v>
      </c>
      <c r="C69" s="7">
        <f t="shared" si="56"/>
        <v>0</v>
      </c>
      <c r="D69" s="7">
        <f t="shared" si="56"/>
        <v>0</v>
      </c>
      <c r="E69" s="7">
        <f t="shared" si="56"/>
        <v>0</v>
      </c>
      <c r="F69" s="7">
        <f t="shared" si="56"/>
        <v>0</v>
      </c>
      <c r="G69" s="7">
        <f t="shared" si="56"/>
        <v>0</v>
      </c>
      <c r="H69" s="7">
        <f t="shared" si="56"/>
        <v>0</v>
      </c>
      <c r="I69" s="7">
        <f t="shared" si="56"/>
        <v>0</v>
      </c>
      <c r="J69" s="845"/>
      <c r="K69" s="8">
        <f t="shared" si="52"/>
        <v>0</v>
      </c>
      <c r="L69" s="833" t="s">
        <v>73</v>
      </c>
      <c r="M69" s="798">
        <f>K62+K70+K79+K88+O69</f>
        <v>0</v>
      </c>
      <c r="N69" s="800"/>
    </row>
    <row r="70" spans="1:17" ht="15.75" customHeight="1" x14ac:dyDescent="0.55000000000000004">
      <c r="A70" s="6" t="s">
        <v>73</v>
      </c>
      <c r="B70" s="7">
        <f t="shared" ref="B70:I70" si="57">SUMIFS($J$94:$J$4617,$A$94:$A$4617,B65&amp;"-01-2023",$D$94:$D$4617,$A$70,$L$94:$L$4617,"O")</f>
        <v>0</v>
      </c>
      <c r="C70" s="7">
        <f t="shared" si="57"/>
        <v>0</v>
      </c>
      <c r="D70" s="7">
        <f t="shared" si="57"/>
        <v>0</v>
      </c>
      <c r="E70" s="7">
        <f t="shared" si="57"/>
        <v>0</v>
      </c>
      <c r="F70" s="7">
        <f t="shared" si="57"/>
        <v>0</v>
      </c>
      <c r="G70" s="7">
        <f t="shared" si="57"/>
        <v>0</v>
      </c>
      <c r="H70" s="7">
        <f t="shared" si="57"/>
        <v>0</v>
      </c>
      <c r="I70" s="7">
        <f t="shared" si="57"/>
        <v>0</v>
      </c>
      <c r="J70" s="845"/>
      <c r="K70" s="8">
        <f t="shared" si="52"/>
        <v>0</v>
      </c>
      <c r="L70" s="833"/>
      <c r="M70" s="801"/>
      <c r="N70" s="803"/>
    </row>
    <row r="71" spans="1:17" ht="15.75" customHeight="1" x14ac:dyDescent="0.55000000000000004">
      <c r="A71" s="6" t="s">
        <v>74</v>
      </c>
      <c r="B71" s="7">
        <f t="shared" ref="B71:I71" si="58">SUMIFS($J$94:$J$4617,$A$94:$A$4617,B65&amp;"-01-2023",$D$94:$D$4617,$A$71,$L$94:$L$4617,"O")</f>
        <v>0</v>
      </c>
      <c r="C71" s="7">
        <f t="shared" si="58"/>
        <v>0</v>
      </c>
      <c r="D71" s="7">
        <f t="shared" si="58"/>
        <v>0</v>
      </c>
      <c r="E71" s="7">
        <f t="shared" si="58"/>
        <v>0</v>
      </c>
      <c r="F71" s="7">
        <f t="shared" si="58"/>
        <v>0</v>
      </c>
      <c r="G71" s="7">
        <f t="shared" si="58"/>
        <v>0</v>
      </c>
      <c r="H71" s="7">
        <f t="shared" si="58"/>
        <v>0</v>
      </c>
      <c r="I71" s="7">
        <f t="shared" si="58"/>
        <v>0</v>
      </c>
      <c r="J71" s="845"/>
      <c r="K71" s="8">
        <f t="shared" si="52"/>
        <v>0</v>
      </c>
      <c r="L71" s="833" t="s">
        <v>74</v>
      </c>
      <c r="M71" s="834">
        <f>K63+K71+K80+K89+P74+O71</f>
        <v>0</v>
      </c>
      <c r="N71" s="834"/>
      <c r="O71" s="76"/>
    </row>
    <row r="72" spans="1:17" ht="15.75" customHeight="1" x14ac:dyDescent="0.55000000000000004">
      <c r="A72" s="6" t="s">
        <v>105</v>
      </c>
      <c r="B72" s="7">
        <f t="shared" ref="B72:I72" si="59">SUMIFS($J$94:$J$4617,$A$94:$A$4617,B65&amp;"-01-2023",$D$94:$D$4617,$A$72,$L$94:$L$4617,"O")</f>
        <v>0</v>
      </c>
      <c r="C72" s="7">
        <f t="shared" si="59"/>
        <v>0</v>
      </c>
      <c r="D72" s="7">
        <f t="shared" si="59"/>
        <v>0</v>
      </c>
      <c r="E72" s="7">
        <f t="shared" si="59"/>
        <v>0</v>
      </c>
      <c r="F72" s="7">
        <f t="shared" si="59"/>
        <v>0</v>
      </c>
      <c r="G72" s="7">
        <f t="shared" si="59"/>
        <v>0</v>
      </c>
      <c r="H72" s="7">
        <f t="shared" si="59"/>
        <v>0</v>
      </c>
      <c r="I72" s="7">
        <f t="shared" si="59"/>
        <v>0</v>
      </c>
      <c r="J72" s="444"/>
      <c r="K72" s="8">
        <f t="shared" ref="K72" si="60">SUM(B72:I72)</f>
        <v>0</v>
      </c>
      <c r="L72" s="833"/>
      <c r="M72" s="834"/>
      <c r="N72" s="834"/>
      <c r="O72" s="76"/>
    </row>
    <row r="73" spans="1:17" ht="15.75" customHeight="1" x14ac:dyDescent="0.55000000000000004">
      <c r="A73" s="6" t="s">
        <v>165</v>
      </c>
      <c r="B73" s="7">
        <f t="shared" ref="B73:I73" si="61">SUMIFS($J$94:$J$4617,$A$94:$A$4617,B65&amp;"-01-2023",$D$94:$D$4617,$A$73,$L$94:$L$4617,"O")</f>
        <v>0</v>
      </c>
      <c r="C73" s="7">
        <f t="shared" si="61"/>
        <v>0</v>
      </c>
      <c r="D73" s="7">
        <f t="shared" si="61"/>
        <v>0</v>
      </c>
      <c r="E73" s="7">
        <f t="shared" si="61"/>
        <v>0</v>
      </c>
      <c r="F73" s="7">
        <f t="shared" si="61"/>
        <v>0</v>
      </c>
      <c r="G73" s="7">
        <f t="shared" si="61"/>
        <v>0</v>
      </c>
      <c r="H73" s="7">
        <f t="shared" si="61"/>
        <v>0</v>
      </c>
      <c r="I73" s="7">
        <f t="shared" si="61"/>
        <v>0</v>
      </c>
      <c r="J73" s="444"/>
      <c r="K73" s="8">
        <f t="shared" si="52"/>
        <v>0</v>
      </c>
      <c r="L73" s="833"/>
      <c r="M73" s="834"/>
      <c r="N73" s="834"/>
      <c r="O73" s="76"/>
    </row>
    <row r="74" spans="1:17" ht="15.75" customHeight="1" x14ac:dyDescent="0.55000000000000004">
      <c r="A74" s="144" t="s">
        <v>79</v>
      </c>
      <c r="B74" s="145">
        <v>16</v>
      </c>
      <c r="C74" s="145">
        <v>17</v>
      </c>
      <c r="D74" s="145">
        <v>18</v>
      </c>
      <c r="E74" s="438">
        <v>19</v>
      </c>
      <c r="F74" s="145">
        <v>20</v>
      </c>
      <c r="G74" s="145">
        <v>21</v>
      </c>
      <c r="H74" s="145">
        <v>22</v>
      </c>
      <c r="I74" s="145">
        <v>23</v>
      </c>
      <c r="J74" s="237"/>
      <c r="K74" s="97" t="s">
        <v>6</v>
      </c>
      <c r="L74" s="833"/>
      <c r="M74" s="834"/>
      <c r="N74" s="834"/>
    </row>
    <row r="75" spans="1:17" ht="15.75" customHeight="1" x14ac:dyDescent="0.55000000000000004">
      <c r="A75" s="6" t="s">
        <v>70</v>
      </c>
      <c r="B75" s="7">
        <f t="shared" ref="B75:I75" si="62">SUMIFS($J$94:$J$4617,$A$94:$A$4617,B74&amp;"-01-2023",$D$94:$D$4617,$A$75,$L$94:$L$4617,"O")</f>
        <v>0</v>
      </c>
      <c r="C75" s="7">
        <f t="shared" si="62"/>
        <v>0</v>
      </c>
      <c r="D75" s="7">
        <f t="shared" si="62"/>
        <v>0</v>
      </c>
      <c r="E75" s="7">
        <f t="shared" si="62"/>
        <v>0</v>
      </c>
      <c r="F75" s="7">
        <f t="shared" si="62"/>
        <v>0</v>
      </c>
      <c r="G75" s="7">
        <f t="shared" si="62"/>
        <v>0</v>
      </c>
      <c r="H75" s="7">
        <f t="shared" si="62"/>
        <v>0</v>
      </c>
      <c r="I75" s="7">
        <f t="shared" si="62"/>
        <v>0</v>
      </c>
      <c r="J75" s="845"/>
      <c r="K75" s="8">
        <f t="shared" ref="K75:K82" si="63">SUM(B75:I75)</f>
        <v>0</v>
      </c>
      <c r="L75" s="879" t="s">
        <v>156</v>
      </c>
      <c r="M75" s="829">
        <f>K64+K73+K81+K91</f>
        <v>0</v>
      </c>
      <c r="N75" s="830"/>
    </row>
    <row r="76" spans="1:17" ht="15.75" customHeight="1" x14ac:dyDescent="0.55000000000000004">
      <c r="A76" s="6" t="s">
        <v>71</v>
      </c>
      <c r="B76" s="7">
        <f t="shared" ref="B76:I76" si="64">SUMIFS($J$94:$J$4617,$A$94:$A$4617,B74&amp;"-01-2023",$D$94:$D$4617,$A$76,$L$94:$L$4617,"O")</f>
        <v>0</v>
      </c>
      <c r="C76" s="7">
        <f t="shared" si="64"/>
        <v>0</v>
      </c>
      <c r="D76" s="7">
        <f t="shared" si="64"/>
        <v>0</v>
      </c>
      <c r="E76" s="7">
        <f t="shared" si="64"/>
        <v>0</v>
      </c>
      <c r="F76" s="7">
        <f t="shared" si="64"/>
        <v>0</v>
      </c>
      <c r="G76" s="7">
        <f t="shared" si="64"/>
        <v>0</v>
      </c>
      <c r="H76" s="7">
        <f t="shared" si="64"/>
        <v>0</v>
      </c>
      <c r="I76" s="7">
        <f t="shared" si="64"/>
        <v>0</v>
      </c>
      <c r="J76" s="845"/>
      <c r="K76" s="8">
        <f t="shared" si="63"/>
        <v>0</v>
      </c>
      <c r="L76" s="880"/>
      <c r="M76" s="831"/>
      <c r="N76" s="832"/>
    </row>
    <row r="77" spans="1:17" ht="15.75" customHeight="1" x14ac:dyDescent="0.55000000000000004">
      <c r="A77" s="6" t="s">
        <v>72</v>
      </c>
      <c r="B77" s="7">
        <f t="shared" ref="B77:I77" si="65">SUMIFS($J$94:$J$4617,$A$94:$A$4617,B74&amp;"-01-2023",$D$94:$D$4617,$A$77,$L$94:$L$4617,"O")</f>
        <v>0</v>
      </c>
      <c r="C77" s="7">
        <f t="shared" si="65"/>
        <v>0</v>
      </c>
      <c r="D77" s="7">
        <f t="shared" si="65"/>
        <v>0</v>
      </c>
      <c r="E77" s="7">
        <f t="shared" si="65"/>
        <v>0</v>
      </c>
      <c r="F77" s="7">
        <f t="shared" si="65"/>
        <v>0</v>
      </c>
      <c r="G77" s="7">
        <f t="shared" si="65"/>
        <v>0</v>
      </c>
      <c r="H77" s="7">
        <f t="shared" si="65"/>
        <v>0</v>
      </c>
      <c r="I77" s="7">
        <f t="shared" si="65"/>
        <v>0</v>
      </c>
      <c r="J77" s="845"/>
      <c r="K77" s="8">
        <f t="shared" ref="K77" si="66">SUM(B77:I77)</f>
        <v>0</v>
      </c>
      <c r="L77" s="479"/>
      <c r="M77" s="480"/>
      <c r="N77" s="481"/>
    </row>
    <row r="78" spans="1:17" ht="15.75" customHeight="1" x14ac:dyDescent="0.55000000000000004">
      <c r="A78" s="6" t="s">
        <v>166</v>
      </c>
      <c r="B78" s="7">
        <f t="shared" ref="B78:I78" si="67">SUMIFS($J$94:$J$4617,$A$94:$A$4617,B74&amp;"-01-2023",$D$94:$D$4617,$A$78,$L$94:$L$4617,"O")</f>
        <v>0</v>
      </c>
      <c r="C78" s="7">
        <f t="shared" si="67"/>
        <v>0</v>
      </c>
      <c r="D78" s="7">
        <f t="shared" si="67"/>
        <v>0</v>
      </c>
      <c r="E78" s="7">
        <f t="shared" si="67"/>
        <v>0</v>
      </c>
      <c r="F78" s="7">
        <f t="shared" si="67"/>
        <v>0</v>
      </c>
      <c r="G78" s="7">
        <f t="shared" si="67"/>
        <v>0</v>
      </c>
      <c r="H78" s="7">
        <f t="shared" si="67"/>
        <v>0</v>
      </c>
      <c r="I78" s="7">
        <f t="shared" si="67"/>
        <v>0</v>
      </c>
      <c r="J78" s="845"/>
      <c r="K78" s="8">
        <f t="shared" si="63"/>
        <v>0</v>
      </c>
      <c r="L78" s="879" t="s">
        <v>105</v>
      </c>
      <c r="M78" s="829">
        <f>K82+K90+K72+K59</f>
        <v>0</v>
      </c>
      <c r="N78" s="881"/>
    </row>
    <row r="79" spans="1:17" ht="15.75" customHeight="1" x14ac:dyDescent="0.55000000000000004">
      <c r="A79" s="6" t="s">
        <v>73</v>
      </c>
      <c r="B79" s="7">
        <f t="shared" ref="B79:I79" si="68">SUMIFS($J$94:$J$4617,$A$94:$A$4617,B74&amp;"-01-2023",$D$94:$D$4617,$A$79,$L$94:$L$4617,"O")</f>
        <v>0</v>
      </c>
      <c r="C79" s="7">
        <f t="shared" si="68"/>
        <v>0</v>
      </c>
      <c r="D79" s="7">
        <f t="shared" si="68"/>
        <v>0</v>
      </c>
      <c r="E79" s="7">
        <f t="shared" si="68"/>
        <v>0</v>
      </c>
      <c r="F79" s="7">
        <f t="shared" si="68"/>
        <v>0</v>
      </c>
      <c r="G79" s="7">
        <f t="shared" si="68"/>
        <v>0</v>
      </c>
      <c r="H79" s="7">
        <f t="shared" si="68"/>
        <v>0</v>
      </c>
      <c r="I79" s="7">
        <f t="shared" si="68"/>
        <v>0</v>
      </c>
      <c r="J79" s="845"/>
      <c r="K79" s="8">
        <f t="shared" si="63"/>
        <v>0</v>
      </c>
      <c r="L79" s="880"/>
      <c r="M79" s="882"/>
      <c r="N79" s="883"/>
    </row>
    <row r="80" spans="1:17" ht="15.75" customHeight="1" x14ac:dyDescent="0.55000000000000004">
      <c r="A80" s="6" t="s">
        <v>74</v>
      </c>
      <c r="B80" s="7">
        <f t="shared" ref="B80:I80" si="69">SUMIFS($J$94:$J$4617,$A$94:$A$4617,B74&amp;"-01-2023",$D$94:$D$4617,$A$80,$L$94:$L$4617,"O")</f>
        <v>0</v>
      </c>
      <c r="C80" s="7">
        <f t="shared" si="69"/>
        <v>0</v>
      </c>
      <c r="D80" s="7">
        <f t="shared" si="69"/>
        <v>0</v>
      </c>
      <c r="E80" s="7">
        <f t="shared" si="69"/>
        <v>0</v>
      </c>
      <c r="F80" s="7">
        <f t="shared" si="69"/>
        <v>0</v>
      </c>
      <c r="G80" s="7">
        <f t="shared" si="69"/>
        <v>0</v>
      </c>
      <c r="H80" s="7">
        <f t="shared" si="69"/>
        <v>0</v>
      </c>
      <c r="I80" s="7">
        <f t="shared" si="69"/>
        <v>0</v>
      </c>
      <c r="J80" s="845"/>
      <c r="K80" s="8">
        <f t="shared" si="63"/>
        <v>0</v>
      </c>
      <c r="L80" s="876" t="s">
        <v>157</v>
      </c>
      <c r="M80" s="877"/>
      <c r="N80" s="878"/>
    </row>
    <row r="81" spans="1:16" ht="15.75" customHeight="1" x14ac:dyDescent="0.55000000000000004">
      <c r="A81" s="6" t="s">
        <v>165</v>
      </c>
      <c r="B81" s="7">
        <f t="shared" ref="B81:I81" si="70">SUMIFS($J$94:$J$4617,$A$94:$A$4617,B74&amp;"-01-2023",$D$94:$D$4617,$A$81,$L$94:$L$4617,"O")</f>
        <v>0</v>
      </c>
      <c r="C81" s="7">
        <f t="shared" si="70"/>
        <v>0</v>
      </c>
      <c r="D81" s="7">
        <f t="shared" si="70"/>
        <v>0</v>
      </c>
      <c r="E81" s="7">
        <f t="shared" si="70"/>
        <v>0</v>
      </c>
      <c r="F81" s="7">
        <f t="shared" si="70"/>
        <v>0</v>
      </c>
      <c r="G81" s="7">
        <f t="shared" si="70"/>
        <v>0</v>
      </c>
      <c r="H81" s="7">
        <f t="shared" si="70"/>
        <v>0</v>
      </c>
      <c r="I81" s="7">
        <f t="shared" si="70"/>
        <v>0</v>
      </c>
      <c r="J81" s="444"/>
      <c r="K81" s="8">
        <f t="shared" ref="K81" si="71">SUM(B81:I81)</f>
        <v>0</v>
      </c>
      <c r="L81" s="836">
        <f>SUM(M61:N79)</f>
        <v>0</v>
      </c>
      <c r="M81" s="837"/>
      <c r="N81" s="838"/>
    </row>
    <row r="82" spans="1:16" ht="15.75" customHeight="1" x14ac:dyDescent="0.55000000000000004">
      <c r="A82" s="6" t="s">
        <v>105</v>
      </c>
      <c r="B82" s="7">
        <f t="shared" ref="B82:I82" si="72">SUMIFS($J$94:$J$4617,$A$94:$A$4617,B74&amp;"-01-2023",$D$94:$D$4617,$A$82,$L$94:$L$4617,"O")</f>
        <v>0</v>
      </c>
      <c r="C82" s="7">
        <f t="shared" si="72"/>
        <v>0</v>
      </c>
      <c r="D82" s="7">
        <f t="shared" si="72"/>
        <v>0</v>
      </c>
      <c r="E82" s="7">
        <f t="shared" si="72"/>
        <v>0</v>
      </c>
      <c r="F82" s="7">
        <f t="shared" si="72"/>
        <v>0</v>
      </c>
      <c r="G82" s="7">
        <f t="shared" si="72"/>
        <v>0</v>
      </c>
      <c r="H82" s="7">
        <f t="shared" si="72"/>
        <v>0</v>
      </c>
      <c r="I82" s="7">
        <f t="shared" si="72"/>
        <v>0</v>
      </c>
      <c r="J82" s="444"/>
      <c r="K82" s="8">
        <f t="shared" si="63"/>
        <v>0</v>
      </c>
      <c r="L82" s="839"/>
      <c r="M82" s="840"/>
      <c r="N82" s="841"/>
    </row>
    <row r="83" spans="1:16" ht="15.75" customHeight="1" x14ac:dyDescent="0.55000000000000004">
      <c r="A83" s="144" t="s">
        <v>79</v>
      </c>
      <c r="B83" s="145">
        <v>24</v>
      </c>
      <c r="C83" s="145">
        <v>25</v>
      </c>
      <c r="D83" s="145">
        <v>26</v>
      </c>
      <c r="E83" s="438">
        <v>27</v>
      </c>
      <c r="F83" s="145">
        <v>28</v>
      </c>
      <c r="G83" s="145">
        <v>29</v>
      </c>
      <c r="H83" s="145">
        <v>30</v>
      </c>
      <c r="I83" s="145">
        <v>31</v>
      </c>
      <c r="J83" s="237"/>
      <c r="K83" s="148" t="s">
        <v>7</v>
      </c>
      <c r="L83" s="839"/>
      <c r="M83" s="840"/>
      <c r="N83" s="841"/>
    </row>
    <row r="84" spans="1:16" ht="15.75" customHeight="1" x14ac:dyDescent="0.55000000000000004">
      <c r="A84" s="6" t="s">
        <v>70</v>
      </c>
      <c r="B84" s="7">
        <f t="shared" ref="B84:I84" si="73">SUMIFS($J$94:$J$4617,$A$94:$A$4617,B83&amp;"-01-2023",$D$94:$D$4617,$A$84,$L$94:$L$4617,"O")</f>
        <v>0</v>
      </c>
      <c r="C84" s="7">
        <f t="shared" si="73"/>
        <v>0</v>
      </c>
      <c r="D84" s="7">
        <f t="shared" si="73"/>
        <v>0</v>
      </c>
      <c r="E84" s="7">
        <f t="shared" si="73"/>
        <v>0</v>
      </c>
      <c r="F84" s="7">
        <f t="shared" si="73"/>
        <v>0</v>
      </c>
      <c r="G84" s="7">
        <f t="shared" si="73"/>
        <v>0</v>
      </c>
      <c r="H84" s="7">
        <f t="shared" si="73"/>
        <v>0</v>
      </c>
      <c r="I84" s="7">
        <f t="shared" si="73"/>
        <v>0</v>
      </c>
      <c r="J84" s="845"/>
      <c r="K84" s="8">
        <f t="shared" ref="K84:K91" si="74">SUM(B84:I84)</f>
        <v>0</v>
      </c>
      <c r="L84" s="839"/>
      <c r="M84" s="840"/>
      <c r="N84" s="841"/>
    </row>
    <row r="85" spans="1:16" ht="15.75" customHeight="1" x14ac:dyDescent="0.55000000000000004">
      <c r="A85" s="6" t="s">
        <v>71</v>
      </c>
      <c r="B85" s="7">
        <f t="shared" ref="B85:I85" si="75">SUMIFS($J$94:$J$4617,$A$94:$A$4617,B83&amp;"-01-2023",$D$94:$D$4617,$A$85,$L$94:$L$4617,"O")</f>
        <v>0</v>
      </c>
      <c r="C85" s="7">
        <f t="shared" si="75"/>
        <v>0</v>
      </c>
      <c r="D85" s="7">
        <f t="shared" si="75"/>
        <v>0</v>
      </c>
      <c r="E85" s="7">
        <f t="shared" si="75"/>
        <v>0</v>
      </c>
      <c r="F85" s="7">
        <f t="shared" si="75"/>
        <v>0</v>
      </c>
      <c r="G85" s="7">
        <f t="shared" si="75"/>
        <v>0</v>
      </c>
      <c r="H85" s="7">
        <f t="shared" si="75"/>
        <v>0</v>
      </c>
      <c r="I85" s="7">
        <f t="shared" si="75"/>
        <v>0</v>
      </c>
      <c r="J85" s="845"/>
      <c r="K85" s="8">
        <f t="shared" si="74"/>
        <v>0</v>
      </c>
      <c r="L85" s="839"/>
      <c r="M85" s="840"/>
      <c r="N85" s="841"/>
    </row>
    <row r="86" spans="1:16" ht="15.75" customHeight="1" x14ac:dyDescent="0.55000000000000004">
      <c r="A86" s="6" t="s">
        <v>72</v>
      </c>
      <c r="B86" s="7">
        <f t="shared" ref="B86:I86" si="76">SUMIFS($J$94:$J$4617,$A$94:$A$4617,B83&amp;"-01-2023",$D$94:$D$4617,$A$86,$L$94:$L$4617,"O")</f>
        <v>0</v>
      </c>
      <c r="C86" s="7">
        <f t="shared" si="76"/>
        <v>0</v>
      </c>
      <c r="D86" s="7">
        <f t="shared" si="76"/>
        <v>0</v>
      </c>
      <c r="E86" s="7">
        <f t="shared" si="76"/>
        <v>0</v>
      </c>
      <c r="F86" s="7">
        <f t="shared" si="76"/>
        <v>0</v>
      </c>
      <c r="G86" s="7">
        <f t="shared" si="76"/>
        <v>0</v>
      </c>
      <c r="H86" s="7">
        <f t="shared" si="76"/>
        <v>0</v>
      </c>
      <c r="I86" s="7">
        <f t="shared" si="76"/>
        <v>0</v>
      </c>
      <c r="J86" s="845"/>
      <c r="K86" s="8">
        <f t="shared" ref="K86" si="77">SUM(B86:I86)</f>
        <v>0</v>
      </c>
      <c r="L86" s="839"/>
      <c r="M86" s="840"/>
      <c r="N86" s="841"/>
    </row>
    <row r="87" spans="1:16" ht="15.75" customHeight="1" x14ac:dyDescent="0.55000000000000004">
      <c r="A87" s="6" t="s">
        <v>166</v>
      </c>
      <c r="B87" s="7">
        <f t="shared" ref="B87:I87" si="78">SUMIFS($J$94:$J$4617,$A$94:$A$4617,B83&amp;"-01-2023",$D$94:$D$4617,$A$87,$L$94:$L$4617,"O")</f>
        <v>0</v>
      </c>
      <c r="C87" s="7">
        <f t="shared" si="78"/>
        <v>0</v>
      </c>
      <c r="D87" s="7">
        <f t="shared" si="78"/>
        <v>0</v>
      </c>
      <c r="E87" s="7">
        <f t="shared" si="78"/>
        <v>0</v>
      </c>
      <c r="F87" s="7">
        <f t="shared" si="78"/>
        <v>0</v>
      </c>
      <c r="G87" s="7">
        <f t="shared" si="78"/>
        <v>0</v>
      </c>
      <c r="H87" s="7">
        <f t="shared" si="78"/>
        <v>0</v>
      </c>
      <c r="I87" s="7">
        <f t="shared" si="78"/>
        <v>0</v>
      </c>
      <c r="J87" s="845"/>
      <c r="K87" s="8">
        <f t="shared" si="74"/>
        <v>0</v>
      </c>
      <c r="L87" s="839"/>
      <c r="M87" s="840"/>
      <c r="N87" s="841"/>
    </row>
    <row r="88" spans="1:16" ht="15.75" customHeight="1" x14ac:dyDescent="0.55000000000000004">
      <c r="A88" s="6" t="s">
        <v>73</v>
      </c>
      <c r="B88" s="7">
        <f t="shared" ref="B88:I88" si="79">SUMIFS($J$94:$J$4617,$A$94:$A$4617,B83&amp;"-01-2023",$D$94:$D$4617,$A$88,$L$94:$L$4617,"O")</f>
        <v>0</v>
      </c>
      <c r="C88" s="7">
        <f t="shared" si="79"/>
        <v>0</v>
      </c>
      <c r="D88" s="7">
        <f t="shared" si="79"/>
        <v>0</v>
      </c>
      <c r="E88" s="7">
        <f t="shared" si="79"/>
        <v>0</v>
      </c>
      <c r="F88" s="7">
        <f t="shared" si="79"/>
        <v>0</v>
      </c>
      <c r="G88" s="7">
        <f t="shared" si="79"/>
        <v>0</v>
      </c>
      <c r="H88" s="7">
        <f t="shared" si="79"/>
        <v>0</v>
      </c>
      <c r="I88" s="7">
        <f t="shared" si="79"/>
        <v>0</v>
      </c>
      <c r="J88" s="845"/>
      <c r="K88" s="8">
        <f t="shared" si="74"/>
        <v>0</v>
      </c>
      <c r="L88" s="839"/>
      <c r="M88" s="840"/>
      <c r="N88" s="841"/>
      <c r="P88" s="2" t="s">
        <v>160</v>
      </c>
    </row>
    <row r="89" spans="1:16" ht="15.75" customHeight="1" x14ac:dyDescent="0.55000000000000004">
      <c r="A89" s="6" t="s">
        <v>74</v>
      </c>
      <c r="B89" s="7">
        <f t="shared" ref="B89:I89" si="80">SUMIFS($J$94:$J$4617,$A$94:$A$4617,B83&amp;"-01-2023",$D$94:$D$4617,$A$89,$L$94:$L$4617,"O")</f>
        <v>0</v>
      </c>
      <c r="C89" s="7">
        <f t="shared" si="80"/>
        <v>0</v>
      </c>
      <c r="D89" s="7">
        <f t="shared" si="80"/>
        <v>0</v>
      </c>
      <c r="E89" s="7">
        <f t="shared" si="80"/>
        <v>0</v>
      </c>
      <c r="F89" s="7">
        <f t="shared" si="80"/>
        <v>0</v>
      </c>
      <c r="G89" s="7">
        <f t="shared" si="80"/>
        <v>0</v>
      </c>
      <c r="H89" s="7">
        <f t="shared" si="80"/>
        <v>0</v>
      </c>
      <c r="I89" s="7">
        <f t="shared" si="80"/>
        <v>0</v>
      </c>
      <c r="J89" s="845"/>
      <c r="K89" s="8">
        <f t="shared" si="74"/>
        <v>0</v>
      </c>
      <c r="L89" s="839"/>
      <c r="M89" s="840"/>
      <c r="N89" s="841"/>
    </row>
    <row r="90" spans="1:16" ht="15.75" customHeight="1" x14ac:dyDescent="0.55000000000000004">
      <c r="A90" s="360" t="s">
        <v>105</v>
      </c>
      <c r="B90" s="7">
        <f t="shared" ref="B90:I90" si="81">SUMIFS($J$94:$J$4617,$A$94:$A$4617,B83&amp;"-01-2023",$D$94:$D$4617,$A$90,$L$94:$L$4617,"O")</f>
        <v>0</v>
      </c>
      <c r="C90" s="7">
        <f t="shared" si="81"/>
        <v>0</v>
      </c>
      <c r="D90" s="7">
        <f t="shared" si="81"/>
        <v>0</v>
      </c>
      <c r="E90" s="7">
        <f t="shared" si="81"/>
        <v>0</v>
      </c>
      <c r="F90" s="7">
        <f t="shared" si="81"/>
        <v>0</v>
      </c>
      <c r="G90" s="7">
        <f t="shared" si="81"/>
        <v>0</v>
      </c>
      <c r="H90" s="7">
        <f t="shared" si="81"/>
        <v>0</v>
      </c>
      <c r="I90" s="7">
        <f t="shared" si="81"/>
        <v>0</v>
      </c>
      <c r="J90" s="239"/>
      <c r="K90" s="142">
        <f t="shared" ref="K90" si="82">SUM(B90:I90)</f>
        <v>0</v>
      </c>
      <c r="L90" s="839"/>
      <c r="M90" s="840"/>
      <c r="N90" s="841"/>
    </row>
    <row r="91" spans="1:16" ht="15.75" customHeight="1" x14ac:dyDescent="0.55000000000000004">
      <c r="A91" s="360" t="s">
        <v>165</v>
      </c>
      <c r="B91" s="7">
        <f t="shared" ref="B91:I91" si="83">SUMIFS($J$94:$J$4617,$A$94:$A$4617,B83&amp;"-01-2023",$D$94:$D$4617,$A$91,$L$94:$L$4617,"O")</f>
        <v>0</v>
      </c>
      <c r="C91" s="7">
        <f t="shared" si="83"/>
        <v>0</v>
      </c>
      <c r="D91" s="7">
        <f t="shared" si="83"/>
        <v>0</v>
      </c>
      <c r="E91" s="7">
        <f t="shared" si="83"/>
        <v>0</v>
      </c>
      <c r="F91" s="7">
        <f t="shared" si="83"/>
        <v>0</v>
      </c>
      <c r="G91" s="7">
        <f t="shared" si="83"/>
        <v>0</v>
      </c>
      <c r="H91" s="7">
        <f t="shared" si="83"/>
        <v>0</v>
      </c>
      <c r="I91" s="7">
        <f t="shared" si="83"/>
        <v>0</v>
      </c>
      <c r="J91" s="239"/>
      <c r="K91" s="142">
        <f t="shared" si="74"/>
        <v>0</v>
      </c>
      <c r="L91" s="842"/>
      <c r="M91" s="843"/>
      <c r="N91" s="844"/>
    </row>
    <row r="92" spans="1:16" ht="15.75" customHeight="1" thickBot="1" x14ac:dyDescent="0.6">
      <c r="A92" s="284"/>
      <c r="B92" s="285"/>
      <c r="C92" s="285"/>
      <c r="D92" s="285"/>
      <c r="E92" s="442"/>
      <c r="F92" s="285"/>
      <c r="G92" s="285"/>
      <c r="H92" s="285"/>
      <c r="I92" s="300"/>
      <c r="J92" s="239"/>
      <c r="K92" s="286"/>
    </row>
    <row r="93" spans="1:16" s="83" customFormat="1" ht="23.25" customHeight="1" x14ac:dyDescent="0.55000000000000004">
      <c r="A93" s="327" t="s">
        <v>17</v>
      </c>
      <c r="B93" s="328"/>
      <c r="C93" s="329" t="s">
        <v>18</v>
      </c>
      <c r="D93" s="329" t="s">
        <v>80</v>
      </c>
      <c r="E93" s="443" t="s">
        <v>54</v>
      </c>
      <c r="F93" s="330" t="s">
        <v>55</v>
      </c>
      <c r="G93" s="331" t="s">
        <v>56</v>
      </c>
      <c r="H93" s="331" t="s">
        <v>57</v>
      </c>
      <c r="I93" s="332" t="s">
        <v>58</v>
      </c>
      <c r="J93" s="333" t="s">
        <v>44</v>
      </c>
      <c r="K93" s="331" t="s">
        <v>81</v>
      </c>
      <c r="L93" s="448" t="s">
        <v>49</v>
      </c>
      <c r="M93" s="334" t="s">
        <v>43</v>
      </c>
    </row>
    <row r="94" spans="1:16" ht="18.75" x14ac:dyDescent="0.55000000000000004">
      <c r="A94" s="297">
        <v>44959</v>
      </c>
      <c r="B94" s="68"/>
      <c r="C94" s="141" t="s">
        <v>30</v>
      </c>
      <c r="D94" s="141" t="s">
        <v>70</v>
      </c>
      <c r="E94" s="648">
        <v>4824</v>
      </c>
      <c r="F94" s="35">
        <v>0.6</v>
      </c>
      <c r="G94" s="35">
        <v>0.3</v>
      </c>
      <c r="H94" s="299">
        <v>0.02</v>
      </c>
      <c r="I94" s="68">
        <v>160</v>
      </c>
      <c r="J94" s="299">
        <f>SUM(F94*G94*I94)</f>
        <v>28.799999999999997</v>
      </c>
      <c r="K94" s="68">
        <v>1</v>
      </c>
      <c r="L94" s="335"/>
      <c r="M94" s="68" t="s">
        <v>544</v>
      </c>
      <c r="O94" s="377"/>
    </row>
    <row r="95" spans="1:16" ht="18.75" x14ac:dyDescent="0.55000000000000004">
      <c r="A95" s="297">
        <v>44959</v>
      </c>
      <c r="B95" s="68"/>
      <c r="C95" s="141" t="s">
        <v>30</v>
      </c>
      <c r="D95" s="141" t="s">
        <v>70</v>
      </c>
      <c r="E95" s="606">
        <v>4825</v>
      </c>
      <c r="F95" s="35">
        <v>0.6</v>
      </c>
      <c r="G95" s="35">
        <v>0.3</v>
      </c>
      <c r="H95" s="299">
        <v>0.02</v>
      </c>
      <c r="I95" s="68">
        <v>160</v>
      </c>
      <c r="J95" s="299">
        <f>SUM(F95*G95*I95)</f>
        <v>28.799999999999997</v>
      </c>
      <c r="K95" s="68">
        <v>1</v>
      </c>
      <c r="L95" s="335"/>
      <c r="M95" s="68" t="s">
        <v>544</v>
      </c>
      <c r="O95" s="377"/>
    </row>
    <row r="96" spans="1:16" ht="18.75" x14ac:dyDescent="0.55000000000000004">
      <c r="A96" s="297">
        <v>44959</v>
      </c>
      <c r="B96" s="68"/>
      <c r="C96" s="141" t="s">
        <v>30</v>
      </c>
      <c r="D96" s="141" t="s">
        <v>70</v>
      </c>
      <c r="E96" s="606">
        <v>4826</v>
      </c>
      <c r="F96" s="35">
        <v>0.6</v>
      </c>
      <c r="G96" s="35">
        <v>0.3</v>
      </c>
      <c r="H96" s="299">
        <v>0.02</v>
      </c>
      <c r="I96" s="68">
        <v>108</v>
      </c>
      <c r="J96" s="299">
        <f>SUM(F96*G96*I96)</f>
        <v>19.439999999999998</v>
      </c>
      <c r="K96" s="68">
        <v>1</v>
      </c>
      <c r="L96" s="335"/>
      <c r="M96" s="68" t="s">
        <v>544</v>
      </c>
      <c r="O96" s="377"/>
    </row>
    <row r="97" spans="1:15" ht="20.25" x14ac:dyDescent="0.55000000000000004">
      <c r="A97" s="297">
        <v>44960</v>
      </c>
      <c r="B97" s="68"/>
      <c r="C97" s="141" t="s">
        <v>30</v>
      </c>
      <c r="D97" s="141" t="s">
        <v>165</v>
      </c>
      <c r="E97" s="606">
        <v>4827</v>
      </c>
      <c r="F97" s="35">
        <v>0.6</v>
      </c>
      <c r="G97" s="35">
        <v>0.3</v>
      </c>
      <c r="H97" s="299">
        <v>0.02</v>
      </c>
      <c r="I97" s="68">
        <v>45</v>
      </c>
      <c r="J97" s="299">
        <f>SUM(F97*G97*I97)</f>
        <v>8.1</v>
      </c>
      <c r="K97" s="68">
        <v>1</v>
      </c>
      <c r="L97" s="335"/>
      <c r="M97" s="68" t="s">
        <v>544</v>
      </c>
      <c r="O97" s="378"/>
    </row>
    <row r="98" spans="1:15" ht="18.75" x14ac:dyDescent="0.55000000000000004">
      <c r="A98" s="297">
        <v>44960</v>
      </c>
      <c r="B98" s="68"/>
      <c r="C98" s="141" t="s">
        <v>30</v>
      </c>
      <c r="D98" s="141" t="s">
        <v>71</v>
      </c>
      <c r="E98" s="606">
        <v>4828</v>
      </c>
      <c r="F98" s="35">
        <v>0.15</v>
      </c>
      <c r="G98" s="35">
        <v>0.15</v>
      </c>
      <c r="H98" s="299">
        <v>0.05</v>
      </c>
      <c r="I98" s="68">
        <v>544</v>
      </c>
      <c r="J98" s="299">
        <f t="shared" ref="J98" si="84">SUM(F98*G98*I98)</f>
        <v>12.24</v>
      </c>
      <c r="K98" s="68">
        <v>1</v>
      </c>
      <c r="L98" s="335"/>
      <c r="M98" s="68" t="s">
        <v>544</v>
      </c>
      <c r="O98" s="377"/>
    </row>
    <row r="99" spans="1:15" ht="18.75" x14ac:dyDescent="0.55000000000000004">
      <c r="A99" s="297">
        <v>44961</v>
      </c>
      <c r="B99" s="68"/>
      <c r="C99" s="141" t="s">
        <v>30</v>
      </c>
      <c r="D99" s="141" t="s">
        <v>71</v>
      </c>
      <c r="E99" s="606">
        <v>4829</v>
      </c>
      <c r="F99" s="35">
        <v>0.15</v>
      </c>
      <c r="G99" s="35">
        <v>0.15</v>
      </c>
      <c r="H99" s="299">
        <v>0.05</v>
      </c>
      <c r="I99" s="68">
        <v>544</v>
      </c>
      <c r="J99" s="299">
        <f t="shared" ref="J99" si="85">SUM(F99*G99*I99)</f>
        <v>12.24</v>
      </c>
      <c r="K99" s="68">
        <v>1</v>
      </c>
      <c r="L99" s="335"/>
      <c r="M99" s="68" t="s">
        <v>544</v>
      </c>
      <c r="N99" s="457"/>
      <c r="O99" s="377"/>
    </row>
    <row r="100" spans="1:15" ht="18.75" x14ac:dyDescent="0.55000000000000004">
      <c r="A100" s="297">
        <v>44962</v>
      </c>
      <c r="B100" s="68"/>
      <c r="C100" s="141" t="s">
        <v>30</v>
      </c>
      <c r="D100" s="141" t="s">
        <v>72</v>
      </c>
      <c r="E100" s="606">
        <v>4830</v>
      </c>
      <c r="F100" s="35">
        <v>0.15</v>
      </c>
      <c r="G100" s="35">
        <v>0.15</v>
      </c>
      <c r="H100" s="299">
        <v>0.03</v>
      </c>
      <c r="I100" s="68">
        <v>960</v>
      </c>
      <c r="J100" s="299">
        <f t="shared" ref="J100" si="86">SUM(F100*G100*I100)</f>
        <v>21.599999999999998</v>
      </c>
      <c r="K100" s="68">
        <v>1</v>
      </c>
      <c r="L100" s="335"/>
      <c r="M100" s="68" t="s">
        <v>544</v>
      </c>
      <c r="N100" s="457"/>
      <c r="O100" s="377"/>
    </row>
    <row r="101" spans="1:15" ht="18.75" x14ac:dyDescent="0.55000000000000004">
      <c r="A101" s="297">
        <v>44963</v>
      </c>
      <c r="B101" s="68"/>
      <c r="C101" s="141" t="s">
        <v>30</v>
      </c>
      <c r="D101" s="141" t="s">
        <v>72</v>
      </c>
      <c r="E101" s="606">
        <v>4831</v>
      </c>
      <c r="F101" s="35">
        <v>0.15</v>
      </c>
      <c r="G101" s="35">
        <v>0.15</v>
      </c>
      <c r="H101" s="299">
        <v>0.02</v>
      </c>
      <c r="I101" s="68">
        <v>960</v>
      </c>
      <c r="J101" s="299">
        <f>SUM(F101*G101*I101)</f>
        <v>21.599999999999998</v>
      </c>
      <c r="K101" s="68">
        <v>1</v>
      </c>
      <c r="L101" s="335"/>
      <c r="M101" s="68" t="s">
        <v>544</v>
      </c>
      <c r="N101" s="457"/>
      <c r="O101" s="377"/>
    </row>
    <row r="102" spans="1:15" ht="20.25" x14ac:dyDescent="0.55000000000000004">
      <c r="A102" s="297">
        <v>44963</v>
      </c>
      <c r="B102" s="68"/>
      <c r="C102" s="141" t="s">
        <v>30</v>
      </c>
      <c r="D102" s="141" t="s">
        <v>72</v>
      </c>
      <c r="E102" s="606">
        <v>4832</v>
      </c>
      <c r="F102" s="35">
        <v>0.15</v>
      </c>
      <c r="G102" s="35">
        <v>0.15</v>
      </c>
      <c r="H102" s="299">
        <v>0.02</v>
      </c>
      <c r="I102" s="68">
        <v>320</v>
      </c>
      <c r="J102" s="299">
        <f>SUM(F102*G102*I102)</f>
        <v>7.1999999999999993</v>
      </c>
      <c r="K102" s="68">
        <v>1</v>
      </c>
      <c r="L102" s="335"/>
      <c r="M102" s="68" t="s">
        <v>544</v>
      </c>
      <c r="N102" s="621"/>
      <c r="O102" s="377"/>
    </row>
    <row r="103" spans="1:15" ht="20.25" x14ac:dyDescent="0.55000000000000004">
      <c r="A103" s="297"/>
      <c r="B103" s="68"/>
      <c r="C103" s="141" t="s">
        <v>30</v>
      </c>
      <c r="D103" s="141"/>
      <c r="E103" s="606"/>
      <c r="F103" s="35"/>
      <c r="G103" s="35"/>
      <c r="H103" s="299">
        <v>0.02</v>
      </c>
      <c r="I103" s="68"/>
      <c r="J103" s="299">
        <f>SUM(F103*G103*I103)</f>
        <v>0</v>
      </c>
      <c r="K103" s="68">
        <v>1</v>
      </c>
      <c r="L103" s="335"/>
      <c r="M103" s="68"/>
      <c r="N103" s="621"/>
      <c r="O103" s="377"/>
    </row>
    <row r="104" spans="1:15" ht="20.25" x14ac:dyDescent="0.55000000000000004">
      <c r="A104" s="297"/>
      <c r="B104" s="68"/>
      <c r="C104" s="141" t="s">
        <v>30</v>
      </c>
      <c r="D104" s="141"/>
      <c r="E104" s="606"/>
      <c r="F104" s="35"/>
      <c r="G104" s="35"/>
      <c r="H104" s="299">
        <v>0.02</v>
      </c>
      <c r="I104" s="68"/>
      <c r="J104" s="299">
        <f t="shared" ref="J104:J117" si="87">SUM(F104*G104*I104)</f>
        <v>0</v>
      </c>
      <c r="K104" s="68">
        <v>1</v>
      </c>
      <c r="L104" s="335"/>
      <c r="M104" s="68"/>
      <c r="N104" s="621"/>
      <c r="O104" s="377"/>
    </row>
    <row r="105" spans="1:15" ht="18.75" x14ac:dyDescent="0.55000000000000004">
      <c r="A105" s="297"/>
      <c r="B105" s="68"/>
      <c r="C105" s="141" t="s">
        <v>30</v>
      </c>
      <c r="D105" s="141"/>
      <c r="E105" s="606"/>
      <c r="F105" s="35"/>
      <c r="G105" s="35"/>
      <c r="H105" s="299">
        <v>0.04</v>
      </c>
      <c r="I105" s="68"/>
      <c r="J105" s="299">
        <f t="shared" si="87"/>
        <v>0</v>
      </c>
      <c r="K105" s="68">
        <v>1</v>
      </c>
      <c r="L105" s="335"/>
      <c r="M105" s="68"/>
      <c r="N105" s="457"/>
      <c r="O105" s="377"/>
    </row>
    <row r="106" spans="1:15" ht="18.75" x14ac:dyDescent="0.55000000000000004">
      <c r="A106" s="297"/>
      <c r="B106" s="68"/>
      <c r="C106" s="141" t="s">
        <v>30</v>
      </c>
      <c r="D106" s="141"/>
      <c r="E106" s="606"/>
      <c r="F106" s="35"/>
      <c r="G106" s="35"/>
      <c r="H106" s="299">
        <v>0.04</v>
      </c>
      <c r="I106" s="68"/>
      <c r="J106" s="299">
        <f t="shared" si="87"/>
        <v>0</v>
      </c>
      <c r="K106" s="68">
        <v>1</v>
      </c>
      <c r="L106" s="335"/>
      <c r="M106" s="68"/>
      <c r="O106" s="377"/>
    </row>
    <row r="107" spans="1:15" ht="18.75" x14ac:dyDescent="0.55000000000000004">
      <c r="A107" s="297"/>
      <c r="B107" s="68"/>
      <c r="C107" s="141" t="s">
        <v>30</v>
      </c>
      <c r="D107" s="141"/>
      <c r="E107" s="606"/>
      <c r="F107" s="35"/>
      <c r="G107" s="35"/>
      <c r="H107" s="299">
        <v>0.04</v>
      </c>
      <c r="I107" s="68"/>
      <c r="J107" s="299">
        <f t="shared" si="87"/>
        <v>0</v>
      </c>
      <c r="K107" s="68">
        <v>1</v>
      </c>
      <c r="L107" s="335"/>
      <c r="M107" s="68"/>
      <c r="O107" s="377"/>
    </row>
    <row r="108" spans="1:15" ht="18.75" x14ac:dyDescent="0.55000000000000004">
      <c r="A108" s="297"/>
      <c r="B108" s="68"/>
      <c r="C108" s="141" t="s">
        <v>30</v>
      </c>
      <c r="D108" s="141"/>
      <c r="E108" s="606"/>
      <c r="F108" s="35"/>
      <c r="G108" s="35"/>
      <c r="H108" s="299">
        <v>0.04</v>
      </c>
      <c r="I108" s="68"/>
      <c r="J108" s="299">
        <f t="shared" si="87"/>
        <v>0</v>
      </c>
      <c r="K108" s="68">
        <v>1</v>
      </c>
      <c r="L108" s="335"/>
      <c r="M108" s="68"/>
      <c r="O108" s="377"/>
    </row>
    <row r="109" spans="1:15" ht="18.75" x14ac:dyDescent="0.55000000000000004">
      <c r="A109" s="297"/>
      <c r="B109" s="416"/>
      <c r="C109" s="135" t="s">
        <v>30</v>
      </c>
      <c r="D109" s="141"/>
      <c r="E109" s="606"/>
      <c r="F109" s="35"/>
      <c r="G109" s="35"/>
      <c r="H109" s="299">
        <v>0.04</v>
      </c>
      <c r="I109" s="68"/>
      <c r="J109" s="299">
        <f t="shared" si="87"/>
        <v>0</v>
      </c>
      <c r="K109" s="416">
        <v>1</v>
      </c>
      <c r="L109" s="335"/>
      <c r="M109" s="68"/>
      <c r="O109" s="377"/>
    </row>
    <row r="110" spans="1:15" ht="18.75" x14ac:dyDescent="0.55000000000000004">
      <c r="A110" s="297"/>
      <c r="B110" s="68"/>
      <c r="C110" s="141" t="s">
        <v>30</v>
      </c>
      <c r="D110" s="141"/>
      <c r="E110" s="680"/>
      <c r="F110" s="35"/>
      <c r="G110" s="35"/>
      <c r="H110" s="299">
        <v>0.02</v>
      </c>
      <c r="I110" s="68"/>
      <c r="J110" s="299">
        <f t="shared" si="87"/>
        <v>0</v>
      </c>
      <c r="K110" s="68">
        <v>1</v>
      </c>
      <c r="L110" s="335"/>
      <c r="M110" s="68"/>
      <c r="O110" s="377"/>
    </row>
    <row r="111" spans="1:15" ht="18.75" x14ac:dyDescent="0.55000000000000004">
      <c r="A111" s="297"/>
      <c r="B111" s="68"/>
      <c r="C111" s="141" t="s">
        <v>30</v>
      </c>
      <c r="D111" s="141"/>
      <c r="E111" s="835"/>
      <c r="F111" s="35"/>
      <c r="G111" s="35"/>
      <c r="H111" s="299">
        <v>0.02</v>
      </c>
      <c r="I111" s="68"/>
      <c r="J111" s="299">
        <f t="shared" si="87"/>
        <v>0</v>
      </c>
      <c r="K111" s="68">
        <v>1</v>
      </c>
      <c r="L111" s="335"/>
      <c r="M111" s="68"/>
      <c r="O111" s="377"/>
    </row>
    <row r="112" spans="1:15" ht="18.75" x14ac:dyDescent="0.55000000000000004">
      <c r="A112" s="297"/>
      <c r="B112" s="68"/>
      <c r="C112" s="141" t="s">
        <v>30</v>
      </c>
      <c r="D112" s="141"/>
      <c r="E112" s="828"/>
      <c r="F112" s="35"/>
      <c r="G112" s="35"/>
      <c r="H112" s="299">
        <v>0.02</v>
      </c>
      <c r="I112" s="68"/>
      <c r="J112" s="299">
        <f t="shared" si="87"/>
        <v>0</v>
      </c>
      <c r="K112" s="68">
        <v>1</v>
      </c>
      <c r="L112" s="335"/>
      <c r="M112" s="68"/>
      <c r="O112" s="377"/>
    </row>
    <row r="113" spans="1:16" ht="18.75" x14ac:dyDescent="0.55000000000000004">
      <c r="A113" s="297"/>
      <c r="B113" s="68"/>
      <c r="C113" s="141" t="s">
        <v>30</v>
      </c>
      <c r="D113" s="141"/>
      <c r="E113" s="828"/>
      <c r="F113" s="35"/>
      <c r="G113" s="35"/>
      <c r="H113" s="299">
        <v>0.02</v>
      </c>
      <c r="I113" s="68"/>
      <c r="J113" s="299">
        <f t="shared" si="87"/>
        <v>0</v>
      </c>
      <c r="K113" s="68">
        <v>1</v>
      </c>
      <c r="L113" s="335"/>
      <c r="M113" s="68"/>
      <c r="O113" s="377"/>
    </row>
    <row r="114" spans="1:16" ht="17.25" customHeight="1" x14ac:dyDescent="0.55000000000000004">
      <c r="A114" s="297"/>
      <c r="B114" s="68"/>
      <c r="C114" s="141" t="s">
        <v>30</v>
      </c>
      <c r="D114" s="141"/>
      <c r="E114" s="828"/>
      <c r="F114" s="35"/>
      <c r="G114" s="35"/>
      <c r="H114" s="299">
        <v>0.02</v>
      </c>
      <c r="I114" s="68"/>
      <c r="J114" s="299">
        <f t="shared" si="87"/>
        <v>0</v>
      </c>
      <c r="K114" s="68">
        <v>1</v>
      </c>
      <c r="L114" s="335"/>
      <c r="M114" s="68"/>
      <c r="P114" s="86"/>
    </row>
    <row r="115" spans="1:16" ht="18.75" customHeight="1" x14ac:dyDescent="0.55000000000000004">
      <c r="A115" s="297"/>
      <c r="B115" s="68"/>
      <c r="C115" s="141" t="s">
        <v>30</v>
      </c>
      <c r="D115" s="141"/>
      <c r="E115" s="828"/>
      <c r="F115" s="35"/>
      <c r="G115" s="35"/>
      <c r="H115" s="299">
        <v>0.02</v>
      </c>
      <c r="I115" s="68"/>
      <c r="J115" s="299">
        <f t="shared" si="87"/>
        <v>0</v>
      </c>
      <c r="K115" s="68">
        <v>1</v>
      </c>
      <c r="L115" s="335"/>
      <c r="M115" s="68"/>
      <c r="N115" s="457"/>
    </row>
    <row r="116" spans="1:16" ht="18.75" x14ac:dyDescent="0.55000000000000004">
      <c r="A116" s="297"/>
      <c r="B116" s="68"/>
      <c r="C116" s="141" t="s">
        <v>30</v>
      </c>
      <c r="D116" s="141"/>
      <c r="E116" s="606"/>
      <c r="F116" s="35"/>
      <c r="G116" s="35"/>
      <c r="H116" s="299">
        <v>0.03</v>
      </c>
      <c r="I116" s="68"/>
      <c r="J116" s="299">
        <f t="shared" si="87"/>
        <v>0</v>
      </c>
      <c r="K116" s="68">
        <v>1</v>
      </c>
      <c r="L116" s="335"/>
      <c r="M116" s="68"/>
      <c r="N116" s="457"/>
      <c r="O116" s="377"/>
    </row>
    <row r="117" spans="1:16" ht="18.75" x14ac:dyDescent="0.55000000000000004">
      <c r="A117" s="297"/>
      <c r="B117" s="68"/>
      <c r="C117" s="141" t="s">
        <v>30</v>
      </c>
      <c r="D117" s="141"/>
      <c r="E117" s="606"/>
      <c r="F117" s="35"/>
      <c r="G117" s="35"/>
      <c r="H117" s="299">
        <v>0.03</v>
      </c>
      <c r="I117" s="68"/>
      <c r="J117" s="299">
        <f t="shared" si="87"/>
        <v>0</v>
      </c>
      <c r="K117" s="68">
        <v>1</v>
      </c>
      <c r="L117" s="335"/>
      <c r="M117" s="68"/>
      <c r="O117" s="377"/>
    </row>
    <row r="118" spans="1:16" ht="18.75" x14ac:dyDescent="0.55000000000000004">
      <c r="A118" s="297"/>
      <c r="B118" s="68"/>
      <c r="C118" s="141" t="s">
        <v>30</v>
      </c>
      <c r="D118" s="141"/>
      <c r="E118" s="606"/>
      <c r="F118" s="35"/>
      <c r="G118" s="35"/>
      <c r="H118" s="299">
        <v>0.03</v>
      </c>
      <c r="I118" s="68"/>
      <c r="J118" s="299">
        <f t="shared" ref="J118:J121" si="88">SUM(F118*G118*I118)</f>
        <v>0</v>
      </c>
      <c r="K118" s="68">
        <v>1</v>
      </c>
      <c r="L118" s="335"/>
      <c r="M118" s="68"/>
      <c r="O118" s="377"/>
    </row>
    <row r="119" spans="1:16" ht="18.75" x14ac:dyDescent="0.55000000000000004">
      <c r="A119" s="297"/>
      <c r="B119" s="68"/>
      <c r="C119" s="141" t="s">
        <v>30</v>
      </c>
      <c r="D119" s="141"/>
      <c r="E119" s="606"/>
      <c r="F119" s="35"/>
      <c r="G119" s="35"/>
      <c r="H119" s="299">
        <v>0.03</v>
      </c>
      <c r="I119" s="68"/>
      <c r="J119" s="299">
        <f>SUM(F119*G119*I119)</f>
        <v>0</v>
      </c>
      <c r="K119" s="68">
        <v>1</v>
      </c>
      <c r="L119" s="335"/>
      <c r="M119" s="68"/>
      <c r="O119" s="377"/>
    </row>
    <row r="120" spans="1:16" ht="18.75" x14ac:dyDescent="0.55000000000000004">
      <c r="A120" s="297"/>
      <c r="B120" s="68"/>
      <c r="C120" s="141" t="s">
        <v>30</v>
      </c>
      <c r="D120" s="141"/>
      <c r="E120" s="828"/>
      <c r="F120" s="299"/>
      <c r="G120" s="35"/>
      <c r="H120" s="299">
        <v>0.02</v>
      </c>
      <c r="I120" s="68"/>
      <c r="J120" s="299">
        <f t="shared" si="88"/>
        <v>0</v>
      </c>
      <c r="K120" s="68">
        <v>1</v>
      </c>
      <c r="L120" s="335"/>
      <c r="M120" s="68"/>
      <c r="N120" s="457"/>
      <c r="O120" s="377"/>
    </row>
    <row r="121" spans="1:16" ht="18.75" x14ac:dyDescent="0.55000000000000004">
      <c r="A121" s="297"/>
      <c r="B121" s="68"/>
      <c r="C121" s="141" t="s">
        <v>30</v>
      </c>
      <c r="D121" s="141"/>
      <c r="E121" s="828"/>
      <c r="F121" s="35"/>
      <c r="G121" s="35"/>
      <c r="H121" s="299">
        <v>0.02</v>
      </c>
      <c r="I121" s="68"/>
      <c r="J121" s="299">
        <f t="shared" si="88"/>
        <v>0</v>
      </c>
      <c r="K121" s="68">
        <v>1</v>
      </c>
      <c r="L121" s="335"/>
      <c r="M121" s="68"/>
      <c r="O121" s="377"/>
    </row>
    <row r="122" spans="1:16" ht="18.75" x14ac:dyDescent="0.55000000000000004">
      <c r="A122" s="297"/>
      <c r="B122" s="68"/>
      <c r="C122" s="141" t="s">
        <v>30</v>
      </c>
      <c r="D122" s="141"/>
      <c r="E122" s="666"/>
      <c r="F122" s="35"/>
      <c r="G122" s="35"/>
      <c r="H122" s="299">
        <v>0.02</v>
      </c>
      <c r="I122" s="68"/>
      <c r="J122" s="299">
        <f t="shared" ref="J122:J123" si="89">SUM(F122*G122*I122)</f>
        <v>0</v>
      </c>
      <c r="K122" s="68">
        <v>1</v>
      </c>
      <c r="L122" s="335"/>
      <c r="M122" s="68"/>
      <c r="O122" s="377"/>
    </row>
    <row r="123" spans="1:16" ht="18.75" x14ac:dyDescent="0.55000000000000004">
      <c r="A123" s="297"/>
      <c r="B123" s="68"/>
      <c r="C123" s="141" t="s">
        <v>30</v>
      </c>
      <c r="D123" s="141"/>
      <c r="E123" s="666"/>
      <c r="F123" s="35"/>
      <c r="G123" s="35"/>
      <c r="H123" s="299">
        <v>0.02</v>
      </c>
      <c r="I123" s="68"/>
      <c r="J123" s="299">
        <f t="shared" si="89"/>
        <v>0</v>
      </c>
      <c r="K123" s="68">
        <v>1</v>
      </c>
      <c r="L123" s="335"/>
      <c r="M123" s="68"/>
      <c r="O123" s="377"/>
    </row>
    <row r="124" spans="1:16" x14ac:dyDescent="0.55000000000000004">
      <c r="A124" s="258"/>
      <c r="B124" s="258"/>
      <c r="C124" s="473"/>
      <c r="D124" s="474"/>
      <c r="E124" s="475"/>
      <c r="F124" s="258"/>
      <c r="G124" s="82"/>
      <c r="H124" s="258"/>
      <c r="I124" s="258"/>
      <c r="J124" s="600">
        <f t="shared" ref="J124" si="90">SUM(F124*G124*I124)</f>
        <v>0</v>
      </c>
      <c r="K124" s="258"/>
      <c r="L124" s="476"/>
      <c r="M124" s="258"/>
    </row>
  </sheetData>
  <autoFilter ref="A93:P123" xr:uid="{00000000-0009-0000-0000-000004000000}"/>
  <mergeCells count="68">
    <mergeCell ref="J57:J63"/>
    <mergeCell ref="L80:N80"/>
    <mergeCell ref="L78:L79"/>
    <mergeCell ref="M78:N79"/>
    <mergeCell ref="J75:J80"/>
    <mergeCell ref="L75:L76"/>
    <mergeCell ref="L49:N49"/>
    <mergeCell ref="M63:N65"/>
    <mergeCell ref="L54:N54"/>
    <mergeCell ref="L61:L62"/>
    <mergeCell ref="M68:N68"/>
    <mergeCell ref="B48:D48"/>
    <mergeCell ref="B49:D49"/>
    <mergeCell ref="B50:D50"/>
    <mergeCell ref="B54:D54"/>
    <mergeCell ref="B52:D52"/>
    <mergeCell ref="B53:D53"/>
    <mergeCell ref="B51:D51"/>
    <mergeCell ref="J40:J44"/>
    <mergeCell ref="J22:J27"/>
    <mergeCell ref="L24:L25"/>
    <mergeCell ref="M26:N26"/>
    <mergeCell ref="L71:L74"/>
    <mergeCell ref="L50:N50"/>
    <mergeCell ref="L63:L65"/>
    <mergeCell ref="L56:N58"/>
    <mergeCell ref="M61:N62"/>
    <mergeCell ref="L51:N51"/>
    <mergeCell ref="L52:N52"/>
    <mergeCell ref="L53:N53"/>
    <mergeCell ref="L48:N48"/>
    <mergeCell ref="J66:J71"/>
    <mergeCell ref="M66:N67"/>
    <mergeCell ref="L69:L70"/>
    <mergeCell ref="J13:J18"/>
    <mergeCell ref="J31:J36"/>
    <mergeCell ref="L33:N39"/>
    <mergeCell ref="L32:N32"/>
    <mergeCell ref="L30:L31"/>
    <mergeCell ref="M30:N31"/>
    <mergeCell ref="M24:N25"/>
    <mergeCell ref="L27:L29"/>
    <mergeCell ref="M27:N29"/>
    <mergeCell ref="A1:N1"/>
    <mergeCell ref="A2:A6"/>
    <mergeCell ref="F2:G2"/>
    <mergeCell ref="I2:I6"/>
    <mergeCell ref="A7:A11"/>
    <mergeCell ref="E7:E11"/>
    <mergeCell ref="I7:I11"/>
    <mergeCell ref="O13:P13"/>
    <mergeCell ref="O23:P23"/>
    <mergeCell ref="L18:L21"/>
    <mergeCell ref="M18:N21"/>
    <mergeCell ref="M17:N17"/>
    <mergeCell ref="L15:L16"/>
    <mergeCell ref="M15:N16"/>
    <mergeCell ref="L12:N14"/>
    <mergeCell ref="L22:L23"/>
    <mergeCell ref="M22:N23"/>
    <mergeCell ref="E120:E121"/>
    <mergeCell ref="M75:N76"/>
    <mergeCell ref="L66:L67"/>
    <mergeCell ref="M71:N74"/>
    <mergeCell ref="M69:N70"/>
    <mergeCell ref="E111:E115"/>
    <mergeCell ref="L81:N91"/>
    <mergeCell ref="J84:J89"/>
  </mergeCells>
  <phoneticPr fontId="35" type="noConversion"/>
  <pageMargins left="0.7" right="0.7" top="0.75" bottom="0.75" header="0.3" footer="0.3"/>
  <pageSetup scale="68" orientation="landscape" horizontalDpi="360" verticalDpi="360" r:id="rId1"/>
  <colBreaks count="1" manualBreakCount="1">
    <brk id="13" min="92" max="3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S184"/>
  <sheetViews>
    <sheetView tabSelected="1" topLeftCell="A100" workbookViewId="0">
      <selection activeCell="P50" sqref="P50"/>
    </sheetView>
  </sheetViews>
  <sheetFormatPr defaultColWidth="8.796875" defaultRowHeight="21" x14ac:dyDescent="0.55000000000000004"/>
  <cols>
    <col min="1" max="1" width="17.59765625" style="88" customWidth="1"/>
    <col min="2" max="2" width="8.19921875" style="88" customWidth="1"/>
    <col min="3" max="3" width="8.796875" style="91"/>
    <col min="4" max="4" width="9.19921875" style="91" customWidth="1"/>
    <col min="5" max="5" width="10.796875" style="91" customWidth="1"/>
    <col min="6" max="6" width="10.59765625" style="88" customWidth="1"/>
    <col min="7" max="7" width="10.19921875" style="88" customWidth="1"/>
    <col min="8" max="8" width="9.3984375" style="88" bestFit="1" customWidth="1"/>
    <col min="9" max="9" width="9.59765625" style="91" customWidth="1"/>
    <col min="10" max="10" width="10.19921875" style="91" bestFit="1" customWidth="1"/>
    <col min="11" max="11" width="8.19921875" style="88" customWidth="1"/>
    <col min="12" max="12" width="13" style="88" customWidth="1"/>
    <col min="13" max="13" width="10.3984375" style="88" customWidth="1"/>
    <col min="14" max="14" width="9.796875" style="88" customWidth="1"/>
    <col min="15" max="15" width="8.796875" style="88"/>
    <col min="16" max="16" width="13" style="88" bestFit="1" customWidth="1"/>
    <col min="17" max="16384" width="8.796875" style="88"/>
  </cols>
  <sheetData>
    <row r="1" spans="1:16" ht="30.75" customHeight="1" x14ac:dyDescent="0.55000000000000004">
      <c r="A1" s="696" t="s">
        <v>562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</row>
    <row r="2" spans="1:16" ht="15.6" hidden="1" customHeight="1" x14ac:dyDescent="0.55000000000000004">
      <c r="A2" s="907" t="s">
        <v>62</v>
      </c>
      <c r="B2" s="98"/>
      <c r="C2" s="47" t="s">
        <v>63</v>
      </c>
      <c r="D2" s="47" t="s">
        <v>44</v>
      </c>
      <c r="F2" s="849" t="s">
        <v>64</v>
      </c>
      <c r="G2" s="850"/>
      <c r="I2" s="910" t="s">
        <v>65</v>
      </c>
      <c r="J2" s="100"/>
      <c r="K2" s="215" t="s">
        <v>63</v>
      </c>
      <c r="L2" s="215" t="s">
        <v>44</v>
      </c>
    </row>
    <row r="3" spans="1:16" ht="15.75" hidden="1" customHeight="1" x14ac:dyDescent="0.55000000000000004">
      <c r="A3" s="908"/>
      <c r="B3" s="98" t="s">
        <v>66</v>
      </c>
      <c r="C3" s="47">
        <v>307</v>
      </c>
      <c r="D3" s="216">
        <v>10256.17</v>
      </c>
      <c r="F3" s="94" t="s">
        <v>63</v>
      </c>
      <c r="G3" s="94" t="s">
        <v>44</v>
      </c>
      <c r="I3" s="911"/>
      <c r="J3" s="100" t="s">
        <v>66</v>
      </c>
      <c r="K3" s="215">
        <v>43</v>
      </c>
      <c r="L3" s="95">
        <v>1732.3</v>
      </c>
    </row>
    <row r="4" spans="1:16" ht="15.75" hidden="1" customHeight="1" x14ac:dyDescent="0.55000000000000004">
      <c r="A4" s="908"/>
      <c r="B4" s="98" t="s">
        <v>48</v>
      </c>
      <c r="C4" s="47">
        <f ca="1">SUMIF($D:$D,"CPB",$K:$K)</f>
        <v>0</v>
      </c>
      <c r="D4" s="216">
        <f ca="1">SUMIF($D:$D,"CPB",$J:$J)</f>
        <v>0</v>
      </c>
      <c r="F4" s="96" t="e">
        <f>SUM(#REF!)</f>
        <v>#REF!</v>
      </c>
      <c r="G4" s="97" t="e">
        <f>SUM(#REF!)</f>
        <v>#REF!</v>
      </c>
      <c r="I4" s="911"/>
      <c r="J4" s="100" t="s">
        <v>48</v>
      </c>
      <c r="K4" s="215">
        <f ca="1">SUMIF($D:$D,"CNP",$K:$K)</f>
        <v>0</v>
      </c>
      <c r="L4" s="217">
        <f ca="1">SUMIF($D:$D,"CNP",$J:$J)</f>
        <v>0</v>
      </c>
    </row>
    <row r="5" spans="1:16" ht="15.75" hidden="1" customHeight="1" x14ac:dyDescent="0.55000000000000004">
      <c r="A5" s="908"/>
      <c r="B5" s="98" t="s">
        <v>49</v>
      </c>
      <c r="C5" s="47">
        <v>7</v>
      </c>
      <c r="D5" s="218">
        <f>[1]CPB!$C$6</f>
        <v>627.15</v>
      </c>
      <c r="I5" s="911"/>
      <c r="J5" s="100" t="s">
        <v>49</v>
      </c>
      <c r="K5" s="215">
        <f ca="1">SUMIFS($K:$K,$D:$D,"CNP",$L:$L,"O")</f>
        <v>0</v>
      </c>
      <c r="L5" s="219">
        <f ca="1">SUMIFS($J:$J,$D:$D,"CNP",$L:$L,"O")</f>
        <v>0</v>
      </c>
    </row>
    <row r="6" spans="1:16" ht="15.75" hidden="1" customHeight="1" x14ac:dyDescent="0.55000000000000004">
      <c r="A6" s="909"/>
      <c r="B6" s="98" t="s">
        <v>50</v>
      </c>
      <c r="C6" s="47">
        <f ca="1">C3+C4-C5</f>
        <v>300</v>
      </c>
      <c r="D6" s="218">
        <f ca="1">D3+D4-D5</f>
        <v>9629.02</v>
      </c>
      <c r="I6" s="912"/>
      <c r="J6" s="100" t="s">
        <v>50</v>
      </c>
      <c r="K6" s="215">
        <f ca="1">K3+K4-K5</f>
        <v>43</v>
      </c>
      <c r="L6" s="215">
        <f ca="1">L3+L4-L5</f>
        <v>1732.3</v>
      </c>
    </row>
    <row r="7" spans="1:16" ht="15.6" hidden="1" customHeight="1" x14ac:dyDescent="0.55000000000000004">
      <c r="A7" s="913" t="s">
        <v>67</v>
      </c>
      <c r="B7" s="101"/>
      <c r="C7" s="220" t="s">
        <v>63</v>
      </c>
      <c r="D7" s="220" t="s">
        <v>44</v>
      </c>
      <c r="E7" s="916" t="s">
        <v>68</v>
      </c>
      <c r="F7" s="103"/>
      <c r="G7" s="221" t="s">
        <v>63</v>
      </c>
      <c r="H7" s="221" t="s">
        <v>44</v>
      </c>
      <c r="I7" s="919" t="s">
        <v>69</v>
      </c>
      <c r="J7" s="112"/>
      <c r="K7" s="222" t="s">
        <v>63</v>
      </c>
      <c r="L7" s="222" t="s">
        <v>40</v>
      </c>
    </row>
    <row r="8" spans="1:16" ht="15" hidden="1" customHeight="1" x14ac:dyDescent="0.55000000000000004">
      <c r="A8" s="914"/>
      <c r="B8" s="101" t="s">
        <v>66</v>
      </c>
      <c r="C8" s="223">
        <v>151</v>
      </c>
      <c r="D8" s="223">
        <v>4561.12</v>
      </c>
      <c r="E8" s="917"/>
      <c r="F8" s="111" t="s">
        <v>66</v>
      </c>
      <c r="G8" s="221">
        <v>4</v>
      </c>
      <c r="H8" s="72">
        <v>144</v>
      </c>
      <c r="I8" s="920"/>
      <c r="J8" s="112" t="s">
        <v>66</v>
      </c>
      <c r="K8" s="109">
        <v>46</v>
      </c>
      <c r="L8" s="109">
        <v>46.65</v>
      </c>
    </row>
    <row r="9" spans="1:16" ht="15" hidden="1" customHeight="1" x14ac:dyDescent="0.55000000000000004">
      <c r="A9" s="914"/>
      <c r="B9" s="101" t="s">
        <v>48</v>
      </c>
      <c r="C9" s="220">
        <f ca="1">SUMIF($D:$D,"CSB",$K:$K)</f>
        <v>0</v>
      </c>
      <c r="D9" s="224">
        <f ca="1">SUMIF($D:$D,"CSB",$J:$J)</f>
        <v>0</v>
      </c>
      <c r="E9" s="917"/>
      <c r="F9" s="111" t="s">
        <v>48</v>
      </c>
      <c r="G9" s="221">
        <f ca="1">SUMIF($D:$D,"CAT",$K:$K)</f>
        <v>0</v>
      </c>
      <c r="H9" s="72">
        <f ca="1">SUMIF($D:$D,"CAT",$J:$J)</f>
        <v>0</v>
      </c>
      <c r="I9" s="920"/>
      <c r="J9" s="112" t="s">
        <v>48</v>
      </c>
      <c r="K9" s="222">
        <f ca="1">SUMIF($D:$D,"CBD",$K:$K)</f>
        <v>0</v>
      </c>
      <c r="L9" s="191">
        <f ca="1">SUMIF($D:$D,"CBD",$J:$J)</f>
        <v>0</v>
      </c>
    </row>
    <row r="10" spans="1:16" ht="15" hidden="1" customHeight="1" x14ac:dyDescent="0.55000000000000004">
      <c r="A10" s="914"/>
      <c r="B10" s="101" t="s">
        <v>49</v>
      </c>
      <c r="C10" s="220">
        <f ca="1">SUMIFS($K:$K,$D:$D,"CSB",$L:$L,"O")</f>
        <v>0</v>
      </c>
      <c r="D10" s="220">
        <f ca="1">SUMIFS($J:$J,$D:$D,"CSB",$L:$L,"O")</f>
        <v>0</v>
      </c>
      <c r="E10" s="917"/>
      <c r="F10" s="111" t="s">
        <v>49</v>
      </c>
      <c r="G10" s="221">
        <f ca="1">SUMIFS($K:$K,$D:$D,"CAT",$L:$L,"O")</f>
        <v>0</v>
      </c>
      <c r="H10" s="221">
        <f ca="1">SUMIFS($J:$J,$D:$D,"CAT",$L:$L,"O")</f>
        <v>0</v>
      </c>
      <c r="I10" s="920"/>
      <c r="J10" s="112" t="s">
        <v>49</v>
      </c>
      <c r="K10" s="222">
        <f ca="1">SUMIFS($K:$K,$D:$D,"CBD",$L:$L,"O")</f>
        <v>0</v>
      </c>
      <c r="L10" s="222">
        <f ca="1">SUMIFS($J:$J,$D:$D,"CBD",$L:$L,"O")</f>
        <v>0</v>
      </c>
    </row>
    <row r="11" spans="1:16" ht="15" hidden="1" customHeight="1" x14ac:dyDescent="0.55000000000000004">
      <c r="A11" s="915"/>
      <c r="B11" s="101" t="s">
        <v>50</v>
      </c>
      <c r="C11" s="220">
        <f ca="1">C8+C9-C10</f>
        <v>151</v>
      </c>
      <c r="D11" s="225">
        <f ca="1">D8+D9-D10</f>
        <v>4561.12</v>
      </c>
      <c r="E11" s="918"/>
      <c r="F11" s="111" t="s">
        <v>50</v>
      </c>
      <c r="G11" s="221">
        <f ca="1">G8+G9-G10</f>
        <v>4</v>
      </c>
      <c r="H11" s="226">
        <f ca="1">H8+H9-H10</f>
        <v>144</v>
      </c>
      <c r="I11" s="921"/>
      <c r="J11" s="301" t="s">
        <v>50</v>
      </c>
      <c r="K11" s="222">
        <f ca="1">K8+K9-K10</f>
        <v>46</v>
      </c>
      <c r="L11" s="222">
        <f ca="1">L8+L9-L10</f>
        <v>46.65</v>
      </c>
    </row>
    <row r="12" spans="1:16" s="2" customFormat="1" ht="21" customHeight="1" x14ac:dyDescent="0.55000000000000004">
      <c r="A12" s="144" t="s">
        <v>0</v>
      </c>
      <c r="B12" s="145">
        <v>1</v>
      </c>
      <c r="C12" s="146">
        <v>2</v>
      </c>
      <c r="D12" s="145">
        <v>3</v>
      </c>
      <c r="E12" s="146">
        <v>4</v>
      </c>
      <c r="F12" s="147">
        <v>5</v>
      </c>
      <c r="G12" s="146">
        <v>6</v>
      </c>
      <c r="H12" s="145">
        <v>7</v>
      </c>
      <c r="I12" s="148"/>
      <c r="J12" s="302"/>
      <c r="K12" s="150" t="s">
        <v>1</v>
      </c>
      <c r="L12" s="906" t="s">
        <v>37</v>
      </c>
      <c r="M12" s="906"/>
      <c r="N12" s="906"/>
    </row>
    <row r="13" spans="1:16" s="2" customFormat="1" ht="21" customHeight="1" x14ac:dyDescent="0.55000000000000004">
      <c r="A13" s="6" t="s">
        <v>100</v>
      </c>
      <c r="B13" s="7">
        <f>SUMIFS($J$42:$J$4917,$A$42:$A$4917,B12&amp;"-02-2023",$D$42:$D$4917,$A$13)</f>
        <v>0</v>
      </c>
      <c r="C13" s="7">
        <f t="shared" ref="C13:I13" si="0">SUMIFS($J$42:$J$4917,$A$42:$A$4917,C12&amp;"-02-2023",$D$42:$D$4917,$A$13)</f>
        <v>0</v>
      </c>
      <c r="D13" s="7">
        <f t="shared" si="0"/>
        <v>0</v>
      </c>
      <c r="E13" s="7">
        <f t="shared" si="0"/>
        <v>125.03999999999999</v>
      </c>
      <c r="F13" s="7">
        <f t="shared" si="0"/>
        <v>77.34</v>
      </c>
      <c r="G13" s="7">
        <f t="shared" si="0"/>
        <v>169.55999999999997</v>
      </c>
      <c r="H13" s="7">
        <f t="shared" si="0"/>
        <v>109.67999999999999</v>
      </c>
      <c r="I13" s="7">
        <f t="shared" si="0"/>
        <v>0</v>
      </c>
      <c r="J13" s="212"/>
      <c r="K13" s="8">
        <f>SUM(B13:I13)</f>
        <v>481.61999999999995</v>
      </c>
      <c r="L13" s="906"/>
      <c r="M13" s="906"/>
      <c r="N13" s="906"/>
      <c r="O13" s="591"/>
      <c r="P13" s="591"/>
    </row>
    <row r="14" spans="1:16" s="2" customFormat="1" ht="21" customHeight="1" x14ac:dyDescent="0.55000000000000004">
      <c r="A14" s="6" t="s">
        <v>98</v>
      </c>
      <c r="B14" s="7">
        <f>SUMIFS($J$42:$J$4917,$A$42:$A$4917,B12&amp;"-02-2023",$D$42:$D$4917,$A$17)</f>
        <v>0</v>
      </c>
      <c r="C14" s="7">
        <f t="shared" ref="C14:I14" si="1">SUMIFS($J$42:$J$4917,$A$42:$A$4917,C12&amp;"-02-2023",$D$42:$D$4917,$A$17)</f>
        <v>0</v>
      </c>
      <c r="D14" s="7">
        <f t="shared" si="1"/>
        <v>0</v>
      </c>
      <c r="E14" s="7">
        <f t="shared" si="1"/>
        <v>0</v>
      </c>
      <c r="F14" s="7">
        <f t="shared" si="1"/>
        <v>0</v>
      </c>
      <c r="G14" s="7">
        <f t="shared" si="1"/>
        <v>0</v>
      </c>
      <c r="H14" s="7">
        <f t="shared" si="1"/>
        <v>0</v>
      </c>
      <c r="I14" s="7">
        <f t="shared" si="1"/>
        <v>0</v>
      </c>
      <c r="J14" s="212"/>
      <c r="K14" s="8">
        <f>SUM(B14:I14)</f>
        <v>0</v>
      </c>
      <c r="L14" s="354"/>
      <c r="M14" s="356"/>
      <c r="N14" s="357"/>
      <c r="O14" s="83"/>
      <c r="P14" s="83"/>
    </row>
    <row r="15" spans="1:16" s="2" customFormat="1" ht="21" customHeight="1" x14ac:dyDescent="0.55000000000000004">
      <c r="A15" s="144" t="s">
        <v>0</v>
      </c>
      <c r="B15" s="145">
        <v>8</v>
      </c>
      <c r="C15" s="147">
        <v>9</v>
      </c>
      <c r="D15" s="145">
        <v>10</v>
      </c>
      <c r="E15" s="147">
        <v>11</v>
      </c>
      <c r="F15" s="145">
        <v>12</v>
      </c>
      <c r="G15" s="147">
        <v>13</v>
      </c>
      <c r="H15" s="145">
        <v>14</v>
      </c>
      <c r="I15" s="147">
        <v>15</v>
      </c>
      <c r="J15" s="151"/>
      <c r="K15" s="152" t="s">
        <v>5</v>
      </c>
      <c r="L15" s="159" t="s">
        <v>100</v>
      </c>
      <c r="M15" s="888">
        <f>K13+K16+K19+K22</f>
        <v>659.22</v>
      </c>
      <c r="N15" s="889"/>
      <c r="O15" s="18"/>
      <c r="P15" s="197"/>
    </row>
    <row r="16" spans="1:16" s="2" customFormat="1" ht="21" customHeight="1" x14ac:dyDescent="0.55000000000000004">
      <c r="A16" s="6" t="s">
        <v>100</v>
      </c>
      <c r="B16" s="7">
        <f>SUMIFS($J$42:$J$4917,$A$42:$A$4917,B15&amp;"-02-2023",$D$42:$D$4917,$A$16)</f>
        <v>177.60000000000005</v>
      </c>
      <c r="C16" s="7">
        <f t="shared" ref="C16:I16" si="2">SUMIFS($J$42:$J$4917,$A$42:$A$4917,C15&amp;"-02-2023",$D$42:$D$4917,$A$16)</f>
        <v>0</v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213"/>
      <c r="K16" s="8">
        <f>SUM(B16:I16)</f>
        <v>177.60000000000005</v>
      </c>
      <c r="L16" s="159" t="s">
        <v>98</v>
      </c>
      <c r="M16" s="888">
        <f>K14+K17+K20+K23</f>
        <v>0</v>
      </c>
      <c r="N16" s="889"/>
      <c r="O16" s="83"/>
      <c r="P16" s="198"/>
    </row>
    <row r="17" spans="1:19" s="2" customFormat="1" ht="21" customHeight="1" x14ac:dyDescent="0.55000000000000004">
      <c r="A17" s="6" t="s">
        <v>98</v>
      </c>
      <c r="B17" s="7">
        <f>SUMIFS($J$42:$J$4917,$A$42:$A$4917,B15&amp;"-02-2023",$D$42:$D$4917,$A$17)</f>
        <v>0</v>
      </c>
      <c r="C17" s="7">
        <f t="shared" ref="C17:I17" si="3">SUMIFS($J$42:$J$4917,$A$42:$A$4917,C15&amp;"-02-2023",$D$42:$D$4917,$A$17)</f>
        <v>0</v>
      </c>
      <c r="D17" s="7">
        <f t="shared" si="3"/>
        <v>0</v>
      </c>
      <c r="E17" s="7">
        <f t="shared" si="3"/>
        <v>0</v>
      </c>
      <c r="F17" s="7">
        <f t="shared" si="3"/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213"/>
      <c r="K17" s="8">
        <f>SUM(B17:I17)</f>
        <v>0</v>
      </c>
      <c r="L17" s="203"/>
      <c r="M17" s="353"/>
      <c r="N17" s="353"/>
      <c r="O17" s="83"/>
      <c r="P17" s="198"/>
    </row>
    <row r="18" spans="1:19" s="2" customFormat="1" ht="21" customHeight="1" x14ac:dyDescent="0.55000000000000004">
      <c r="A18" s="144" t="s">
        <v>0</v>
      </c>
      <c r="B18" s="145">
        <v>16</v>
      </c>
      <c r="C18" s="145">
        <v>17</v>
      </c>
      <c r="D18" s="145">
        <v>18</v>
      </c>
      <c r="E18" s="145">
        <v>19</v>
      </c>
      <c r="F18" s="145">
        <v>20</v>
      </c>
      <c r="G18" s="145">
        <v>21</v>
      </c>
      <c r="H18" s="145">
        <v>22</v>
      </c>
      <c r="I18" s="145">
        <v>23</v>
      </c>
      <c r="J18" s="153"/>
      <c r="K18" s="97" t="s">
        <v>6</v>
      </c>
      <c r="L18" s="203"/>
      <c r="M18" s="890"/>
      <c r="N18" s="890"/>
      <c r="O18" s="18"/>
      <c r="P18" s="197"/>
    </row>
    <row r="19" spans="1:19" s="2" customFormat="1" ht="21" customHeight="1" x14ac:dyDescent="0.55000000000000004">
      <c r="A19" s="6" t="s">
        <v>100</v>
      </c>
      <c r="B19" s="7">
        <f t="shared" ref="B19:I19" si="4">SUMIFS($J$42:$J$4917,$A$42:$A$4917,B18&amp;"-01-2023",$D$42:$D$4917,$A$19)</f>
        <v>0</v>
      </c>
      <c r="C19" s="7">
        <f t="shared" si="4"/>
        <v>0</v>
      </c>
      <c r="D19" s="7">
        <f t="shared" si="4"/>
        <v>0</v>
      </c>
      <c r="E19" s="7">
        <f t="shared" si="4"/>
        <v>0</v>
      </c>
      <c r="F19" s="7">
        <f t="shared" si="4"/>
        <v>0</v>
      </c>
      <c r="G19" s="7">
        <f t="shared" si="4"/>
        <v>0</v>
      </c>
      <c r="H19" s="7">
        <f t="shared" si="4"/>
        <v>0</v>
      </c>
      <c r="I19" s="7">
        <f t="shared" si="4"/>
        <v>0</v>
      </c>
      <c r="J19" s="213"/>
      <c r="K19" s="8">
        <f>SUM(B19:I19)</f>
        <v>0</v>
      </c>
      <c r="L19" s="891"/>
      <c r="M19" s="891"/>
      <c r="N19" s="892"/>
      <c r="O19" s="18"/>
      <c r="P19" s="197"/>
    </row>
    <row r="20" spans="1:19" s="2" customFormat="1" ht="21" customHeight="1" x14ac:dyDescent="0.55000000000000004">
      <c r="A20" s="6" t="s">
        <v>98</v>
      </c>
      <c r="B20" s="7">
        <f t="shared" ref="B20:I20" si="5">SUMIFS($J$42:$J$4917,$A$42:$A$4917,B18&amp;"-01-2023",$D$42:$D$4917,$A$20)</f>
        <v>0</v>
      </c>
      <c r="C20" s="7">
        <f t="shared" si="5"/>
        <v>0</v>
      </c>
      <c r="D20" s="7">
        <f t="shared" si="5"/>
        <v>0</v>
      </c>
      <c r="E20" s="7">
        <f t="shared" si="5"/>
        <v>0</v>
      </c>
      <c r="F20" s="7">
        <f t="shared" si="5"/>
        <v>0</v>
      </c>
      <c r="G20" s="7">
        <f t="shared" si="5"/>
        <v>0</v>
      </c>
      <c r="H20" s="7">
        <f t="shared" si="5"/>
        <v>0</v>
      </c>
      <c r="I20" s="7">
        <f t="shared" si="5"/>
        <v>0</v>
      </c>
      <c r="J20" s="213"/>
      <c r="K20" s="8">
        <f>SUM(B20:I20)</f>
        <v>0</v>
      </c>
      <c r="L20" s="355"/>
      <c r="M20" s="358"/>
      <c r="N20" s="358"/>
      <c r="O20" s="18"/>
      <c r="P20" s="197"/>
    </row>
    <row r="21" spans="1:19" s="2" customFormat="1" ht="21" customHeight="1" x14ac:dyDescent="0.55000000000000004">
      <c r="A21" s="144" t="s">
        <v>0</v>
      </c>
      <c r="B21" s="145">
        <v>24</v>
      </c>
      <c r="C21" s="145">
        <v>25</v>
      </c>
      <c r="D21" s="145">
        <v>26</v>
      </c>
      <c r="E21" s="145">
        <v>27</v>
      </c>
      <c r="F21" s="145">
        <v>28</v>
      </c>
      <c r="G21" s="145">
        <v>29</v>
      </c>
      <c r="H21" s="145">
        <v>30</v>
      </c>
      <c r="I21" s="94" t="s">
        <v>117</v>
      </c>
      <c r="J21" s="153"/>
      <c r="K21" s="148" t="s">
        <v>7</v>
      </c>
      <c r="L21" s="893"/>
      <c r="M21" s="894"/>
      <c r="N21" s="894"/>
    </row>
    <row r="22" spans="1:19" s="2" customFormat="1" ht="21" customHeight="1" x14ac:dyDescent="0.55000000000000004">
      <c r="A22" s="6" t="s">
        <v>100</v>
      </c>
      <c r="B22" s="7">
        <f t="shared" ref="B22:I22" si="6">SUMIFS($J$42:$J$4917,$A$42:$A$4917,B21&amp;"-01-2023",$D$42:$D$4917,$A$22)</f>
        <v>0</v>
      </c>
      <c r="C22" s="7">
        <f t="shared" si="6"/>
        <v>0</v>
      </c>
      <c r="D22" s="7">
        <f t="shared" si="6"/>
        <v>0</v>
      </c>
      <c r="E22" s="7">
        <f t="shared" si="6"/>
        <v>0</v>
      </c>
      <c r="F22" s="7">
        <f t="shared" si="6"/>
        <v>0</v>
      </c>
      <c r="G22" s="7">
        <f t="shared" si="6"/>
        <v>0</v>
      </c>
      <c r="H22" s="7">
        <f t="shared" si="6"/>
        <v>0</v>
      </c>
      <c r="I22" s="7">
        <f t="shared" si="6"/>
        <v>0</v>
      </c>
      <c r="J22" s="213"/>
      <c r="K22" s="8">
        <f>SUM(B22:I22)</f>
        <v>0</v>
      </c>
      <c r="L22" s="895"/>
      <c r="M22" s="896"/>
      <c r="N22" s="896"/>
    </row>
    <row r="23" spans="1:19" s="2" customFormat="1" ht="21" customHeight="1" x14ac:dyDescent="0.55000000000000004">
      <c r="A23" s="6" t="s">
        <v>98</v>
      </c>
      <c r="B23" s="7">
        <f t="shared" ref="B23:I23" si="7">SUMIFS($J$42:$J$4917,$A$42:$A$4917,B21&amp;"-01-2023",$D$42:$D$4917,$A$23)</f>
        <v>0</v>
      </c>
      <c r="C23" s="7">
        <f t="shared" si="7"/>
        <v>0</v>
      </c>
      <c r="D23" s="7">
        <f t="shared" si="7"/>
        <v>0</v>
      </c>
      <c r="E23" s="7">
        <f t="shared" si="7"/>
        <v>0</v>
      </c>
      <c r="F23" s="7">
        <f t="shared" si="7"/>
        <v>0</v>
      </c>
      <c r="G23" s="7">
        <f t="shared" si="7"/>
        <v>0</v>
      </c>
      <c r="H23" s="7">
        <f t="shared" si="7"/>
        <v>0</v>
      </c>
      <c r="I23" s="7">
        <f t="shared" si="7"/>
        <v>0</v>
      </c>
      <c r="J23" s="18"/>
      <c r="K23" s="8">
        <f>SUM(B23:I23)</f>
        <v>0</v>
      </c>
      <c r="L23" s="348"/>
      <c r="M23" s="349"/>
      <c r="N23" s="349"/>
    </row>
    <row r="24" spans="1:19" s="2" customFormat="1" ht="21" customHeight="1" x14ac:dyDescent="0.55000000000000004">
      <c r="A24" s="142"/>
      <c r="B24" s="897" t="s">
        <v>8</v>
      </c>
      <c r="C24" s="898"/>
      <c r="D24" s="899"/>
      <c r="E24" s="294"/>
      <c r="F24" s="295"/>
      <c r="G24" s="295"/>
      <c r="H24" s="295"/>
      <c r="I24" s="16"/>
      <c r="J24" s="17"/>
      <c r="K24" s="142"/>
      <c r="L24" s="897" t="s">
        <v>119</v>
      </c>
      <c r="M24" s="898"/>
      <c r="N24" s="899"/>
    </row>
    <row r="25" spans="1:19" s="2" customFormat="1" ht="21" customHeight="1" x14ac:dyDescent="0.55000000000000004">
      <c r="A25" s="191" t="s">
        <v>100</v>
      </c>
      <c r="B25" s="903"/>
      <c r="C25" s="904"/>
      <c r="D25" s="905"/>
      <c r="E25" s="296"/>
      <c r="F25" s="16"/>
      <c r="G25" s="16"/>
      <c r="H25" s="16"/>
      <c r="I25" s="16"/>
      <c r="J25" s="17"/>
      <c r="K25" s="191" t="s">
        <v>100</v>
      </c>
      <c r="L25" s="900">
        <f>B25+M15-M31-O25</f>
        <v>119.10000000000002</v>
      </c>
      <c r="M25" s="901"/>
      <c r="N25" s="902"/>
    </row>
    <row r="26" spans="1:19" s="2" customFormat="1" ht="21" customHeight="1" x14ac:dyDescent="0.55000000000000004">
      <c r="A26" s="359" t="s">
        <v>98</v>
      </c>
      <c r="B26" s="903"/>
      <c r="C26" s="904"/>
      <c r="D26" s="905"/>
      <c r="E26" s="16"/>
      <c r="F26" s="16"/>
      <c r="G26" s="16"/>
      <c r="H26" s="16"/>
      <c r="I26" s="16"/>
      <c r="J26" s="17"/>
      <c r="K26" s="359" t="s">
        <v>98</v>
      </c>
      <c r="L26" s="900">
        <f>B26+M16-M32-O26</f>
        <v>0</v>
      </c>
      <c r="M26" s="901"/>
      <c r="N26" s="902"/>
    </row>
    <row r="27" spans="1:19" s="2" customFormat="1" ht="21" customHeight="1" x14ac:dyDescent="0.55000000000000004">
      <c r="A27" s="18"/>
      <c r="B27" s="16"/>
      <c r="C27" s="16"/>
      <c r="D27" s="16"/>
      <c r="E27" s="16"/>
      <c r="F27" s="16"/>
      <c r="G27" s="16"/>
      <c r="H27" s="16"/>
      <c r="I27" s="16"/>
      <c r="J27" s="17"/>
      <c r="K27" s="192"/>
      <c r="L27" s="227"/>
      <c r="M27" s="227"/>
      <c r="N27" s="227"/>
    </row>
    <row r="28" spans="1:19" s="2" customFormat="1" ht="21" customHeight="1" x14ac:dyDescent="0.55000000000000004">
      <c r="A28" s="144" t="s">
        <v>79</v>
      </c>
      <c r="B28" s="145">
        <v>1</v>
      </c>
      <c r="C28" s="146">
        <v>2</v>
      </c>
      <c r="D28" s="145">
        <v>3</v>
      </c>
      <c r="E28" s="146">
        <v>4</v>
      </c>
      <c r="F28" s="147">
        <v>5</v>
      </c>
      <c r="G28" s="146">
        <v>6</v>
      </c>
      <c r="H28" s="145">
        <v>7</v>
      </c>
      <c r="I28" s="148"/>
      <c r="J28" s="302"/>
      <c r="K28" s="150" t="s">
        <v>1</v>
      </c>
      <c r="L28" s="697" t="s">
        <v>39</v>
      </c>
      <c r="M28" s="698"/>
      <c r="N28" s="699"/>
    </row>
    <row r="29" spans="1:19" s="2" customFormat="1" ht="21" customHeight="1" x14ac:dyDescent="0.55000000000000004">
      <c r="A29" s="6" t="s">
        <v>100</v>
      </c>
      <c r="B29" s="7">
        <f>SUMIFS($J$42:$J$4917,$A$42:$A$4917,B28&amp;"-02-2023",$D$42:$D$4917,$A$29,$L$42:$L$4917,"O")</f>
        <v>0</v>
      </c>
      <c r="C29" s="7">
        <f t="shared" ref="C29:I29" si="8">SUMIFS($J$42:$J$4917,$A$42:$A$4917,C28&amp;"-02-2023",$D$42:$D$4917,$A$29,$L$42:$L$4917,"O")</f>
        <v>0</v>
      </c>
      <c r="D29" s="7">
        <f t="shared" si="8"/>
        <v>0</v>
      </c>
      <c r="E29" s="7">
        <f t="shared" si="8"/>
        <v>125.03999999999999</v>
      </c>
      <c r="F29" s="7">
        <f t="shared" si="8"/>
        <v>0</v>
      </c>
      <c r="G29" s="7">
        <f t="shared" si="8"/>
        <v>127.8</v>
      </c>
      <c r="H29" s="7">
        <f t="shared" si="8"/>
        <v>109.67999999999999</v>
      </c>
      <c r="I29" s="7">
        <f t="shared" si="8"/>
        <v>0</v>
      </c>
      <c r="J29" s="199"/>
      <c r="K29" s="8">
        <f>SUM(B29:I29)</f>
        <v>362.52</v>
      </c>
      <c r="L29" s="700"/>
      <c r="M29" s="701"/>
      <c r="N29" s="702"/>
    </row>
    <row r="30" spans="1:19" s="2" customFormat="1" ht="21" customHeight="1" x14ac:dyDescent="0.55000000000000004">
      <c r="A30" s="6" t="s">
        <v>98</v>
      </c>
      <c r="B30" s="7">
        <f>SUMIFS($J$42:$J$4917,$A$42:$A$4917,B28&amp;"-02-2023",$D$42:$D$4917,$A$30,$L$42:$L$4917,"O")</f>
        <v>0</v>
      </c>
      <c r="C30" s="7">
        <f t="shared" ref="C30:I30" si="9">SUMIFS($J$42:$J$4917,$A$42:$A$4917,C28&amp;"-02-2023",$D$42:$D$4917,$A$30,$L$42:$L$4917,"O")</f>
        <v>0</v>
      </c>
      <c r="D30" s="7">
        <f t="shared" si="9"/>
        <v>0</v>
      </c>
      <c r="E30" s="7">
        <f t="shared" si="9"/>
        <v>0</v>
      </c>
      <c r="F30" s="7">
        <f t="shared" si="9"/>
        <v>0</v>
      </c>
      <c r="G30" s="7">
        <f t="shared" si="9"/>
        <v>0</v>
      </c>
      <c r="H30" s="7">
        <f t="shared" si="9"/>
        <v>0</v>
      </c>
      <c r="I30" s="7">
        <f t="shared" si="9"/>
        <v>0</v>
      </c>
      <c r="J30" s="7"/>
      <c r="K30" s="8">
        <f>SUM(B30:I30)</f>
        <v>0</v>
      </c>
      <c r="L30" s="346"/>
      <c r="M30" s="350"/>
      <c r="N30" s="347"/>
    </row>
    <row r="31" spans="1:19" s="2" customFormat="1" ht="21" customHeight="1" x14ac:dyDescent="0.55000000000000004">
      <c r="A31" s="144" t="s">
        <v>79</v>
      </c>
      <c r="B31" s="145">
        <v>8</v>
      </c>
      <c r="C31" s="147">
        <v>9</v>
      </c>
      <c r="D31" s="145">
        <v>10</v>
      </c>
      <c r="E31" s="147">
        <v>11</v>
      </c>
      <c r="F31" s="145">
        <v>12</v>
      </c>
      <c r="G31" s="147">
        <v>13</v>
      </c>
      <c r="H31" s="145">
        <v>14</v>
      </c>
      <c r="I31" s="147">
        <v>15</v>
      </c>
      <c r="J31" s="151"/>
      <c r="K31" s="152" t="s">
        <v>5</v>
      </c>
      <c r="L31" s="200" t="s">
        <v>100</v>
      </c>
      <c r="M31" s="884">
        <f>K29+K32+K35+K38</f>
        <v>540.12</v>
      </c>
      <c r="N31" s="885"/>
      <c r="O31" s="884"/>
      <c r="P31" s="885"/>
      <c r="Q31" s="326"/>
      <c r="R31" s="326"/>
      <c r="S31" s="326"/>
    </row>
    <row r="32" spans="1:19" s="2" customFormat="1" ht="21" customHeight="1" x14ac:dyDescent="0.55000000000000004">
      <c r="A32" s="6" t="s">
        <v>100</v>
      </c>
      <c r="B32" s="7">
        <f>SUMIFS($J$42:$J$4917,$A$42:$A$4917,B31&amp;"-02-2023",$D$42:$D$4917,$A$32,$L$42:$L$4917,"O")</f>
        <v>177.60000000000005</v>
      </c>
      <c r="C32" s="7">
        <f t="shared" ref="C32:I32" si="10">SUMIFS($J$42:$J$4917,$A$42:$A$4917,C31&amp;"-02-2023",$D$42:$D$4917,$A$32,$L$42:$L$4917,"O")</f>
        <v>0</v>
      </c>
      <c r="D32" s="7">
        <f t="shared" si="10"/>
        <v>0</v>
      </c>
      <c r="E32" s="7">
        <f t="shared" si="10"/>
        <v>0</v>
      </c>
      <c r="F32" s="7">
        <f t="shared" si="10"/>
        <v>0</v>
      </c>
      <c r="G32" s="7">
        <f t="shared" si="10"/>
        <v>0</v>
      </c>
      <c r="H32" s="7">
        <f t="shared" si="10"/>
        <v>0</v>
      </c>
      <c r="I32" s="7">
        <f t="shared" si="10"/>
        <v>0</v>
      </c>
      <c r="J32" s="201"/>
      <c r="K32" s="142">
        <f>SUM(B32:I32)</f>
        <v>177.60000000000005</v>
      </c>
      <c r="L32" s="200" t="s">
        <v>98</v>
      </c>
      <c r="M32" s="884">
        <f>K30+K33+K36+K39+O32+O33</f>
        <v>0</v>
      </c>
      <c r="N32" s="885"/>
      <c r="O32" s="886"/>
      <c r="P32" s="887"/>
      <c r="Q32" s="326"/>
      <c r="R32" s="326"/>
      <c r="S32" s="326"/>
    </row>
    <row r="33" spans="1:19" s="2" customFormat="1" ht="21" customHeight="1" x14ac:dyDescent="0.55000000000000004">
      <c r="A33" s="6" t="s">
        <v>98</v>
      </c>
      <c r="B33" s="7">
        <f>SUMIFS($J$42:$J$4917,$A$42:$A$4917,B31&amp;"-02-2023",$D$42:$D$4917,$A$33,$L$42:$L$4917,"O")</f>
        <v>0</v>
      </c>
      <c r="C33" s="7">
        <f t="shared" ref="C33:I33" si="11">SUMIFS($J$42:$J$4917,$A$42:$A$4917,C31&amp;"-02-2023",$D$42:$D$4917,$A$33,$L$42:$L$4917,"O")</f>
        <v>0</v>
      </c>
      <c r="D33" s="7">
        <f t="shared" si="11"/>
        <v>0</v>
      </c>
      <c r="E33" s="7">
        <f t="shared" si="11"/>
        <v>0</v>
      </c>
      <c r="F33" s="7">
        <f t="shared" si="11"/>
        <v>0</v>
      </c>
      <c r="G33" s="7">
        <f t="shared" si="11"/>
        <v>0</v>
      </c>
      <c r="H33" s="7">
        <f t="shared" si="11"/>
        <v>0</v>
      </c>
      <c r="I33" s="7">
        <f t="shared" si="11"/>
        <v>0</v>
      </c>
      <c r="J33" s="201"/>
      <c r="K33" s="142">
        <f>SUM(B33:I33)</f>
        <v>0</v>
      </c>
      <c r="L33" s="214"/>
      <c r="M33" s="351"/>
      <c r="N33" s="351"/>
      <c r="P33" s="325"/>
      <c r="Q33" s="326"/>
      <c r="R33" s="326"/>
      <c r="S33" s="326"/>
    </row>
    <row r="34" spans="1:19" s="2" customFormat="1" ht="21" customHeight="1" x14ac:dyDescent="0.55000000000000004">
      <c r="A34" s="144" t="s">
        <v>79</v>
      </c>
      <c r="B34" s="145">
        <v>16</v>
      </c>
      <c r="C34" s="145">
        <v>17</v>
      </c>
      <c r="D34" s="145">
        <v>18</v>
      </c>
      <c r="E34" s="145">
        <v>19</v>
      </c>
      <c r="F34" s="145">
        <v>20</v>
      </c>
      <c r="G34" s="145">
        <v>21</v>
      </c>
      <c r="H34" s="145">
        <v>22</v>
      </c>
      <c r="I34" s="145">
        <v>23</v>
      </c>
      <c r="J34" s="202"/>
      <c r="K34" s="97" t="s">
        <v>6</v>
      </c>
      <c r="L34" s="214"/>
      <c r="M34" s="459"/>
      <c r="N34" s="459"/>
      <c r="Q34" s="326"/>
      <c r="R34" s="326"/>
      <c r="S34" s="326"/>
    </row>
    <row r="35" spans="1:19" s="2" customFormat="1" ht="21" customHeight="1" x14ac:dyDescent="0.55000000000000004">
      <c r="A35" s="6" t="s">
        <v>100</v>
      </c>
      <c r="B35" s="7">
        <f>SUMIFS($J$184:$J$4917,$A$184:$A$4917,B34&amp;"-02-2023",$D$184:$D$4917,$A$35,$L$184:$L$4917,"O")</f>
        <v>0</v>
      </c>
      <c r="C35" s="7">
        <f t="shared" ref="C35:I35" si="12">SUMIFS($J$184:$J$4917,$A$184:$A$4917,C34&amp;"-01-2023",$D$184:$D$4917,$A$35,$L$184:$L$4917,"O")</f>
        <v>0</v>
      </c>
      <c r="D35" s="7">
        <f t="shared" si="12"/>
        <v>0</v>
      </c>
      <c r="E35" s="7">
        <f t="shared" si="12"/>
        <v>0</v>
      </c>
      <c r="F35" s="7">
        <f t="shared" si="12"/>
        <v>0</v>
      </c>
      <c r="G35" s="7">
        <f t="shared" si="12"/>
        <v>0</v>
      </c>
      <c r="H35" s="7">
        <f t="shared" si="12"/>
        <v>0</v>
      </c>
      <c r="I35" s="7">
        <f t="shared" si="12"/>
        <v>0</v>
      </c>
      <c r="J35" s="213"/>
      <c r="K35" s="142">
        <f>SUM(B35:I35)</f>
        <v>0</v>
      </c>
      <c r="L35" s="461"/>
      <c r="M35" s="460"/>
      <c r="N35" s="460"/>
      <c r="Q35" s="326"/>
      <c r="R35" s="326"/>
      <c r="S35" s="326"/>
    </row>
    <row r="36" spans="1:19" s="2" customFormat="1" ht="21" customHeight="1" x14ac:dyDescent="0.55000000000000004">
      <c r="A36" s="6" t="s">
        <v>98</v>
      </c>
      <c r="B36" s="7">
        <f>SUMIFS($J$184:$J$4917,$A$184:$A$4917,B34&amp;"-02-2023",$D$184:$D$4917,$A$36,$L$184:$L$4917,"O")</f>
        <v>0</v>
      </c>
      <c r="C36" s="7">
        <f t="shared" ref="C36:I36" si="13">SUMIFS($J$184:$J$4917,$A$184:$A$4917,C34&amp;"-01-2023",$D$184:$D$4917,$A$36,$L$184:$L$4917,"O")</f>
        <v>0</v>
      </c>
      <c r="D36" s="7">
        <f t="shared" si="13"/>
        <v>0</v>
      </c>
      <c r="E36" s="7">
        <f t="shared" si="13"/>
        <v>0</v>
      </c>
      <c r="F36" s="7">
        <f t="shared" si="13"/>
        <v>0</v>
      </c>
      <c r="G36" s="7">
        <f t="shared" si="13"/>
        <v>0</v>
      </c>
      <c r="H36" s="7">
        <f t="shared" si="13"/>
        <v>0</v>
      </c>
      <c r="I36" s="7">
        <f t="shared" si="13"/>
        <v>0</v>
      </c>
      <c r="J36" s="213"/>
      <c r="K36" s="142">
        <f>SUM(B36:I36)</f>
        <v>0</v>
      </c>
      <c r="L36" s="352"/>
      <c r="M36" s="352"/>
      <c r="N36" s="352"/>
      <c r="Q36" s="326"/>
      <c r="R36" s="326"/>
      <c r="S36" s="326"/>
    </row>
    <row r="37" spans="1:19" s="2" customFormat="1" ht="21" customHeight="1" x14ac:dyDescent="0.55000000000000004">
      <c r="A37" s="144" t="s">
        <v>79</v>
      </c>
      <c r="B37" s="145">
        <v>24</v>
      </c>
      <c r="C37" s="145">
        <v>25</v>
      </c>
      <c r="D37" s="145">
        <v>26</v>
      </c>
      <c r="E37" s="145">
        <v>27</v>
      </c>
      <c r="F37" s="145">
        <v>28</v>
      </c>
      <c r="G37" s="145">
        <v>29</v>
      </c>
      <c r="H37" s="145">
        <v>30</v>
      </c>
      <c r="I37" s="94">
        <v>31</v>
      </c>
      <c r="J37" s="153"/>
      <c r="K37" s="148" t="s">
        <v>7</v>
      </c>
      <c r="L37" s="326"/>
      <c r="M37" s="326"/>
      <c r="N37" s="326"/>
    </row>
    <row r="38" spans="1:19" s="2" customFormat="1" ht="21" customHeight="1" x14ac:dyDescent="0.55000000000000004">
      <c r="A38" s="6" t="s">
        <v>100</v>
      </c>
      <c r="B38" s="7">
        <f>SUMIFS($J$42:$J$4917,$A$42:$A$4917,B37&amp;"-02-2023",$D$42:$D$4917,$A$38,$L$42:$L$4917,"O")</f>
        <v>0</v>
      </c>
      <c r="C38" s="7">
        <f t="shared" ref="C38:I38" si="14">SUMIFS($J$42:$J$4917,$A$42:$A$4917,C37&amp;"-02-2023",$D$42:$D$4917,$A$38,$L$42:$L$4917,"O")</f>
        <v>0</v>
      </c>
      <c r="D38" s="7">
        <f t="shared" si="14"/>
        <v>0</v>
      </c>
      <c r="E38" s="7">
        <f t="shared" si="14"/>
        <v>0</v>
      </c>
      <c r="F38" s="7">
        <f t="shared" si="14"/>
        <v>0</v>
      </c>
      <c r="G38" s="7">
        <f t="shared" si="14"/>
        <v>0</v>
      </c>
      <c r="H38" s="7">
        <f t="shared" si="14"/>
        <v>0</v>
      </c>
      <c r="I38" s="7">
        <f t="shared" si="14"/>
        <v>0</v>
      </c>
      <c r="J38" s="213"/>
      <c r="K38" s="142">
        <f>SUM(B38:I38)</f>
        <v>0</v>
      </c>
      <c r="L38" s="326"/>
      <c r="M38" s="326"/>
      <c r="N38" s="326"/>
    </row>
    <row r="39" spans="1:19" s="2" customFormat="1" ht="21" customHeight="1" x14ac:dyDescent="0.55000000000000004">
      <c r="A39" s="360" t="s">
        <v>98</v>
      </c>
      <c r="B39" s="7">
        <f>SUMIFS($J$184:$J$4917,$A$184:$A$4917,B37&amp;"-02-2023",$D$184:$D$4917,$A$39,$L$184:$L$4917,"O")</f>
        <v>0</v>
      </c>
      <c r="C39" s="7">
        <f t="shared" ref="C39:I39" si="15">SUMIFS($J$184:$J$4917,$A$184:$A$4917,C37&amp;"-02-2023",$D$184:$D$4917,$A$39,$L$184:$L$4917,"O")</f>
        <v>0</v>
      </c>
      <c r="D39" s="7">
        <f t="shared" si="15"/>
        <v>0</v>
      </c>
      <c r="E39" s="7">
        <f t="shared" si="15"/>
        <v>0</v>
      </c>
      <c r="F39" s="7">
        <f t="shared" si="15"/>
        <v>0</v>
      </c>
      <c r="G39" s="7">
        <f t="shared" si="15"/>
        <v>0</v>
      </c>
      <c r="H39" s="7">
        <f t="shared" si="15"/>
        <v>0</v>
      </c>
      <c r="I39" s="7">
        <f t="shared" si="15"/>
        <v>0</v>
      </c>
      <c r="J39" s="18"/>
      <c r="K39" s="142">
        <f>SUM(B39:I39)</f>
        <v>0</v>
      </c>
    </row>
    <row r="40" spans="1:19" s="2" customFormat="1" ht="15.75" customHeight="1" thickBot="1" x14ac:dyDescent="0.6">
      <c r="A40" s="284"/>
      <c r="B40" s="285"/>
      <c r="C40" s="285"/>
      <c r="D40" s="285"/>
      <c r="E40" s="285"/>
      <c r="F40" s="285"/>
      <c r="G40" s="285"/>
      <c r="H40" s="285"/>
      <c r="I40" s="285"/>
      <c r="J40" s="18"/>
      <c r="K40" s="286"/>
    </row>
    <row r="41" spans="1:19" s="91" customFormat="1" ht="23.25" customHeight="1" thickBot="1" x14ac:dyDescent="0.6">
      <c r="A41" s="287" t="s">
        <v>17</v>
      </c>
      <c r="B41" s="288"/>
      <c r="C41" s="289" t="s">
        <v>18</v>
      </c>
      <c r="D41" s="289" t="s">
        <v>80</v>
      </c>
      <c r="E41" s="290" t="s">
        <v>54</v>
      </c>
      <c r="F41" s="291" t="s">
        <v>55</v>
      </c>
      <c r="G41" s="292" t="s">
        <v>56</v>
      </c>
      <c r="H41" s="292" t="s">
        <v>57</v>
      </c>
      <c r="I41" s="290" t="s">
        <v>58</v>
      </c>
      <c r="J41" s="361" t="s">
        <v>44</v>
      </c>
      <c r="K41" s="362" t="s">
        <v>49</v>
      </c>
      <c r="L41" s="293" t="s">
        <v>43</v>
      </c>
      <c r="M41" s="369"/>
    </row>
    <row r="42" spans="1:19" ht="16.5" customHeight="1" x14ac:dyDescent="0.25">
      <c r="A42" s="373">
        <v>44961</v>
      </c>
      <c r="B42" s="449" t="s">
        <v>31</v>
      </c>
      <c r="C42" s="417" t="s">
        <v>30</v>
      </c>
      <c r="D42" s="464" t="s">
        <v>100</v>
      </c>
      <c r="E42" s="620" t="s">
        <v>545</v>
      </c>
      <c r="F42" s="456">
        <v>1.2</v>
      </c>
      <c r="G42" s="374">
        <v>0.6</v>
      </c>
      <c r="H42" s="367">
        <v>0.05</v>
      </c>
      <c r="I42" s="375">
        <v>21</v>
      </c>
      <c r="J42" s="376">
        <f>F42*G42*I42</f>
        <v>15.12</v>
      </c>
      <c r="K42" s="418"/>
      <c r="L42" s="364" t="s">
        <v>493</v>
      </c>
      <c r="M42" s="922" t="s">
        <v>571</v>
      </c>
      <c r="N42" s="923"/>
    </row>
    <row r="43" spans="1:19" ht="15" customHeight="1" x14ac:dyDescent="0.25">
      <c r="A43" s="373">
        <v>44961</v>
      </c>
      <c r="B43" s="449" t="s">
        <v>31</v>
      </c>
      <c r="C43" s="261" t="s">
        <v>30</v>
      </c>
      <c r="D43" s="464" t="s">
        <v>100</v>
      </c>
      <c r="E43" s="604" t="s">
        <v>539</v>
      </c>
      <c r="F43" s="456">
        <v>1.2</v>
      </c>
      <c r="G43" s="374">
        <v>0.6</v>
      </c>
      <c r="H43" s="367">
        <v>0.05</v>
      </c>
      <c r="I43" s="375">
        <v>15</v>
      </c>
      <c r="J43" s="376">
        <f t="shared" ref="J43:J183" si="16">F43*G43*I43</f>
        <v>10.799999999999999</v>
      </c>
      <c r="K43" s="418"/>
      <c r="L43" s="364" t="s">
        <v>493</v>
      </c>
      <c r="M43" s="922" t="s">
        <v>570</v>
      </c>
      <c r="N43" s="923"/>
    </row>
    <row r="44" spans="1:19" ht="15" customHeight="1" x14ac:dyDescent="0.25">
      <c r="A44" s="373">
        <v>44961</v>
      </c>
      <c r="B44" s="449" t="s">
        <v>31</v>
      </c>
      <c r="C44" s="261" t="s">
        <v>30</v>
      </c>
      <c r="D44" s="464" t="s">
        <v>100</v>
      </c>
      <c r="E44" s="604" t="s">
        <v>187</v>
      </c>
      <c r="F44" s="456">
        <v>1.2</v>
      </c>
      <c r="G44" s="374">
        <v>0.6</v>
      </c>
      <c r="H44" s="367">
        <v>0.05</v>
      </c>
      <c r="I44" s="375">
        <v>6</v>
      </c>
      <c r="J44" s="376">
        <f t="shared" si="16"/>
        <v>4.32</v>
      </c>
      <c r="K44" s="418"/>
      <c r="L44" s="364" t="s">
        <v>493</v>
      </c>
      <c r="M44" s="922" t="s">
        <v>570</v>
      </c>
      <c r="N44" s="923"/>
    </row>
    <row r="45" spans="1:19" x14ac:dyDescent="0.25">
      <c r="A45" s="373">
        <v>44961</v>
      </c>
      <c r="B45" s="449" t="s">
        <v>31</v>
      </c>
      <c r="C45" s="261" t="s">
        <v>30</v>
      </c>
      <c r="D45" s="464" t="s">
        <v>100</v>
      </c>
      <c r="E45" s="604" t="s">
        <v>546</v>
      </c>
      <c r="F45" s="456">
        <v>0.9</v>
      </c>
      <c r="G45" s="374">
        <v>0.6</v>
      </c>
      <c r="H45" s="367">
        <v>0.05</v>
      </c>
      <c r="I45" s="375">
        <v>6</v>
      </c>
      <c r="J45" s="376">
        <f t="shared" si="16"/>
        <v>3.24</v>
      </c>
      <c r="K45" s="418"/>
      <c r="L45" s="364" t="s">
        <v>493</v>
      </c>
      <c r="M45" s="922" t="s">
        <v>570</v>
      </c>
      <c r="N45" s="923"/>
    </row>
    <row r="46" spans="1:19" x14ac:dyDescent="0.25">
      <c r="A46" s="373">
        <v>44961</v>
      </c>
      <c r="B46" s="449" t="s">
        <v>31</v>
      </c>
      <c r="C46" s="261" t="s">
        <v>30</v>
      </c>
      <c r="D46" s="464" t="s">
        <v>100</v>
      </c>
      <c r="E46" s="604" t="s">
        <v>182</v>
      </c>
      <c r="F46" s="456">
        <v>2.1</v>
      </c>
      <c r="G46" s="374">
        <v>0.6</v>
      </c>
      <c r="H46" s="367">
        <v>0.05</v>
      </c>
      <c r="I46" s="375">
        <v>16</v>
      </c>
      <c r="J46" s="376">
        <f t="shared" si="16"/>
        <v>20.16</v>
      </c>
      <c r="K46" s="418"/>
      <c r="L46" s="364" t="s">
        <v>493</v>
      </c>
      <c r="M46" s="922" t="s">
        <v>570</v>
      </c>
      <c r="N46" s="923"/>
    </row>
    <row r="47" spans="1:19" ht="15" customHeight="1" x14ac:dyDescent="0.25">
      <c r="A47" s="373">
        <v>44961</v>
      </c>
      <c r="B47" s="449" t="s">
        <v>31</v>
      </c>
      <c r="C47" s="261" t="s">
        <v>30</v>
      </c>
      <c r="D47" s="464" t="s">
        <v>100</v>
      </c>
      <c r="E47" s="604" t="s">
        <v>183</v>
      </c>
      <c r="F47" s="456">
        <v>1.2</v>
      </c>
      <c r="G47" s="374">
        <v>0.6</v>
      </c>
      <c r="H47" s="367">
        <v>0.05</v>
      </c>
      <c r="I47" s="375">
        <v>4</v>
      </c>
      <c r="J47" s="376">
        <f t="shared" si="16"/>
        <v>2.88</v>
      </c>
      <c r="K47" s="418"/>
      <c r="L47" s="364" t="s">
        <v>493</v>
      </c>
      <c r="M47" s="922" t="s">
        <v>570</v>
      </c>
      <c r="N47" s="923"/>
    </row>
    <row r="48" spans="1:19" ht="15" customHeight="1" x14ac:dyDescent="0.25">
      <c r="A48" s="373">
        <v>44961</v>
      </c>
      <c r="B48" s="449" t="s">
        <v>31</v>
      </c>
      <c r="C48" s="261" t="s">
        <v>30</v>
      </c>
      <c r="D48" s="464" t="s">
        <v>100</v>
      </c>
      <c r="E48" s="604" t="s">
        <v>188</v>
      </c>
      <c r="F48" s="456">
        <v>1.8</v>
      </c>
      <c r="G48" s="374">
        <v>0.6</v>
      </c>
      <c r="H48" s="367">
        <v>0.05</v>
      </c>
      <c r="I48" s="375">
        <v>6</v>
      </c>
      <c r="J48" s="376">
        <f t="shared" si="16"/>
        <v>6.48</v>
      </c>
      <c r="K48" s="418"/>
      <c r="L48" s="364" t="s">
        <v>493</v>
      </c>
      <c r="M48" s="922" t="s">
        <v>570</v>
      </c>
      <c r="N48" s="923"/>
    </row>
    <row r="49" spans="1:14" x14ac:dyDescent="0.25">
      <c r="A49" s="373">
        <v>44961</v>
      </c>
      <c r="B49" s="449" t="s">
        <v>31</v>
      </c>
      <c r="C49" s="261" t="s">
        <v>30</v>
      </c>
      <c r="D49" s="464" t="s">
        <v>100</v>
      </c>
      <c r="E49" s="604" t="s">
        <v>547</v>
      </c>
      <c r="F49" s="456">
        <v>1.5</v>
      </c>
      <c r="G49" s="374">
        <v>0.6</v>
      </c>
      <c r="H49" s="367">
        <v>0.05</v>
      </c>
      <c r="I49" s="375">
        <v>8</v>
      </c>
      <c r="J49" s="376">
        <f t="shared" ref="J49:J143" si="17">F49*G49*I49</f>
        <v>7.1999999999999993</v>
      </c>
      <c r="K49" s="418"/>
      <c r="L49" s="364" t="s">
        <v>493</v>
      </c>
      <c r="M49" s="922" t="s">
        <v>570</v>
      </c>
      <c r="N49" s="923"/>
    </row>
    <row r="50" spans="1:14" x14ac:dyDescent="0.25">
      <c r="A50" s="373">
        <v>44961</v>
      </c>
      <c r="B50" s="449" t="s">
        <v>31</v>
      </c>
      <c r="C50" s="261" t="s">
        <v>30</v>
      </c>
      <c r="D50" s="464" t="s">
        <v>100</v>
      </c>
      <c r="E50" s="604" t="s">
        <v>184</v>
      </c>
      <c r="F50" s="456">
        <v>2</v>
      </c>
      <c r="G50" s="374">
        <v>0.6</v>
      </c>
      <c r="H50" s="367">
        <v>0.05</v>
      </c>
      <c r="I50" s="375">
        <v>13</v>
      </c>
      <c r="J50" s="376">
        <f>F50*G50*I50</f>
        <v>15.6</v>
      </c>
      <c r="K50" s="418"/>
      <c r="L50" s="364" t="s">
        <v>493</v>
      </c>
      <c r="M50" s="922" t="s">
        <v>570</v>
      </c>
      <c r="N50" s="923"/>
    </row>
    <row r="51" spans="1:14" ht="15" customHeight="1" x14ac:dyDescent="0.25">
      <c r="A51" s="373">
        <v>44961</v>
      </c>
      <c r="B51" s="449" t="s">
        <v>31</v>
      </c>
      <c r="C51" s="261" t="s">
        <v>30</v>
      </c>
      <c r="D51" s="464" t="s">
        <v>100</v>
      </c>
      <c r="E51" s="604" t="s">
        <v>548</v>
      </c>
      <c r="F51" s="456">
        <v>1.5</v>
      </c>
      <c r="G51" s="374">
        <v>0.6</v>
      </c>
      <c r="H51" s="367">
        <v>0.05</v>
      </c>
      <c r="I51" s="375">
        <v>17</v>
      </c>
      <c r="J51" s="376">
        <f t="shared" ref="J51:J57" si="18">F51*G51*I51</f>
        <v>15.299999999999999</v>
      </c>
      <c r="K51" s="418"/>
      <c r="L51" s="364" t="s">
        <v>493</v>
      </c>
      <c r="M51" s="922" t="s">
        <v>570</v>
      </c>
      <c r="N51" s="923"/>
    </row>
    <row r="52" spans="1:14" ht="15" customHeight="1" x14ac:dyDescent="0.25">
      <c r="A52" s="373">
        <v>44961</v>
      </c>
      <c r="B52" s="449" t="s">
        <v>31</v>
      </c>
      <c r="C52" s="261" t="s">
        <v>30</v>
      </c>
      <c r="D52" s="464" t="s">
        <v>100</v>
      </c>
      <c r="E52" s="604" t="s">
        <v>549</v>
      </c>
      <c r="F52" s="456">
        <v>2.1</v>
      </c>
      <c r="G52" s="374">
        <v>0.6</v>
      </c>
      <c r="H52" s="367">
        <v>0.05</v>
      </c>
      <c r="I52" s="375">
        <v>19</v>
      </c>
      <c r="J52" s="376">
        <f t="shared" si="18"/>
        <v>23.94</v>
      </c>
      <c r="K52" s="418"/>
      <c r="L52" s="364" t="s">
        <v>493</v>
      </c>
      <c r="M52" s="922" t="s">
        <v>570</v>
      </c>
      <c r="N52" s="923"/>
    </row>
    <row r="53" spans="1:14" x14ac:dyDescent="0.25">
      <c r="A53" s="373">
        <v>44962</v>
      </c>
      <c r="B53" s="449" t="s">
        <v>31</v>
      </c>
      <c r="C53" s="261" t="s">
        <v>30</v>
      </c>
      <c r="D53" s="464" t="s">
        <v>100</v>
      </c>
      <c r="E53" s="604" t="s">
        <v>185</v>
      </c>
      <c r="F53" s="456">
        <v>2.2000000000000002</v>
      </c>
      <c r="G53" s="374">
        <v>0.6</v>
      </c>
      <c r="H53" s="367">
        <v>0.05</v>
      </c>
      <c r="I53" s="375">
        <v>14</v>
      </c>
      <c r="J53" s="376">
        <f t="shared" si="18"/>
        <v>18.48</v>
      </c>
      <c r="K53" s="418"/>
      <c r="L53" s="364"/>
      <c r="M53" s="922" t="s">
        <v>571</v>
      </c>
      <c r="N53" s="923"/>
    </row>
    <row r="54" spans="1:14" x14ac:dyDescent="0.25">
      <c r="A54" s="373">
        <v>44962</v>
      </c>
      <c r="B54" s="449" t="s">
        <v>31</v>
      </c>
      <c r="C54" s="261" t="s">
        <v>30</v>
      </c>
      <c r="D54" s="464" t="s">
        <v>100</v>
      </c>
      <c r="E54" s="604" t="s">
        <v>339</v>
      </c>
      <c r="F54" s="456">
        <v>2</v>
      </c>
      <c r="G54" s="374">
        <v>0.6</v>
      </c>
      <c r="H54" s="367">
        <v>0.05</v>
      </c>
      <c r="I54" s="375">
        <v>18</v>
      </c>
      <c r="J54" s="376">
        <f t="shared" si="18"/>
        <v>21.599999999999998</v>
      </c>
      <c r="K54" s="418"/>
      <c r="L54" s="364"/>
      <c r="M54" s="922" t="s">
        <v>571</v>
      </c>
      <c r="N54" s="923"/>
    </row>
    <row r="55" spans="1:14" ht="15" customHeight="1" x14ac:dyDescent="0.25">
      <c r="A55" s="373">
        <v>44962</v>
      </c>
      <c r="B55" s="449" t="s">
        <v>31</v>
      </c>
      <c r="C55" s="261" t="s">
        <v>30</v>
      </c>
      <c r="D55" s="464" t="s">
        <v>100</v>
      </c>
      <c r="E55" s="604" t="s">
        <v>550</v>
      </c>
      <c r="F55" s="456">
        <v>2.1</v>
      </c>
      <c r="G55" s="374">
        <v>0.6</v>
      </c>
      <c r="H55" s="367">
        <v>0.05</v>
      </c>
      <c r="I55" s="375">
        <v>15</v>
      </c>
      <c r="J55" s="376">
        <f t="shared" si="18"/>
        <v>18.899999999999999</v>
      </c>
      <c r="K55" s="418"/>
      <c r="L55" s="364"/>
      <c r="M55" s="922" t="s">
        <v>571</v>
      </c>
      <c r="N55" s="923"/>
    </row>
    <row r="56" spans="1:14" ht="15" customHeight="1" x14ac:dyDescent="0.25">
      <c r="A56" s="373">
        <v>44962</v>
      </c>
      <c r="B56" s="449" t="s">
        <v>31</v>
      </c>
      <c r="C56" s="261" t="s">
        <v>30</v>
      </c>
      <c r="D56" s="464" t="s">
        <v>100</v>
      </c>
      <c r="E56" s="604" t="s">
        <v>551</v>
      </c>
      <c r="F56" s="456">
        <v>1.7</v>
      </c>
      <c r="G56" s="374">
        <v>0.6</v>
      </c>
      <c r="H56" s="367">
        <v>0.05</v>
      </c>
      <c r="I56" s="375">
        <v>18</v>
      </c>
      <c r="J56" s="376">
        <f t="shared" si="18"/>
        <v>18.36</v>
      </c>
      <c r="K56" s="418"/>
      <c r="L56" s="364"/>
      <c r="M56" s="922" t="s">
        <v>571</v>
      </c>
      <c r="N56" s="923"/>
    </row>
    <row r="57" spans="1:14" x14ac:dyDescent="0.25">
      <c r="A57" s="373">
        <v>44963</v>
      </c>
      <c r="B57" s="449" t="s">
        <v>31</v>
      </c>
      <c r="C57" s="261" t="s">
        <v>30</v>
      </c>
      <c r="D57" s="464" t="s">
        <v>100</v>
      </c>
      <c r="E57" s="604" t="s">
        <v>572</v>
      </c>
      <c r="F57" s="456">
        <v>1.1000000000000001</v>
      </c>
      <c r="G57" s="374">
        <v>0.6</v>
      </c>
      <c r="H57" s="367">
        <v>0.05</v>
      </c>
      <c r="I57" s="375">
        <v>16</v>
      </c>
      <c r="J57" s="376">
        <f t="shared" si="18"/>
        <v>10.56</v>
      </c>
      <c r="K57" s="418"/>
      <c r="L57" s="364"/>
      <c r="M57" s="922" t="s">
        <v>571</v>
      </c>
      <c r="N57" s="923"/>
    </row>
    <row r="58" spans="1:14" x14ac:dyDescent="0.25">
      <c r="A58" s="373">
        <v>44963</v>
      </c>
      <c r="B58" s="449" t="s">
        <v>31</v>
      </c>
      <c r="C58" s="261" t="s">
        <v>30</v>
      </c>
      <c r="D58" s="464" t="s">
        <v>100</v>
      </c>
      <c r="E58" s="604" t="s">
        <v>573</v>
      </c>
      <c r="F58" s="456">
        <v>1.3</v>
      </c>
      <c r="G58" s="374">
        <v>0.6</v>
      </c>
      <c r="H58" s="367">
        <v>0.05</v>
      </c>
      <c r="I58" s="375">
        <v>18</v>
      </c>
      <c r="J58" s="376">
        <f t="shared" si="17"/>
        <v>14.040000000000001</v>
      </c>
      <c r="K58" s="418"/>
      <c r="L58" s="364"/>
      <c r="M58" s="922" t="s">
        <v>571</v>
      </c>
      <c r="N58" s="923"/>
    </row>
    <row r="59" spans="1:14" ht="15" customHeight="1" x14ac:dyDescent="0.25">
      <c r="A59" s="373">
        <v>44963</v>
      </c>
      <c r="B59" s="449" t="s">
        <v>31</v>
      </c>
      <c r="C59" s="261" t="s">
        <v>30</v>
      </c>
      <c r="D59" s="464" t="s">
        <v>100</v>
      </c>
      <c r="E59" s="604" t="s">
        <v>574</v>
      </c>
      <c r="F59" s="456">
        <v>1</v>
      </c>
      <c r="G59" s="374">
        <v>0.6</v>
      </c>
      <c r="H59" s="367">
        <v>0.05</v>
      </c>
      <c r="I59" s="375">
        <v>3</v>
      </c>
      <c r="J59" s="376">
        <f t="shared" si="17"/>
        <v>1.7999999999999998</v>
      </c>
      <c r="K59" s="418"/>
      <c r="L59" s="364"/>
      <c r="M59" s="922" t="s">
        <v>571</v>
      </c>
      <c r="N59" s="923"/>
    </row>
    <row r="60" spans="1:14" ht="15" customHeight="1" x14ac:dyDescent="0.25">
      <c r="A60" s="373">
        <v>44963</v>
      </c>
      <c r="B60" s="449" t="s">
        <v>31</v>
      </c>
      <c r="C60" s="261" t="s">
        <v>30</v>
      </c>
      <c r="D60" s="464" t="s">
        <v>100</v>
      </c>
      <c r="E60" s="604" t="s">
        <v>575</v>
      </c>
      <c r="F60" s="456">
        <v>1.6</v>
      </c>
      <c r="G60" s="374">
        <v>0.6</v>
      </c>
      <c r="H60" s="367">
        <v>0.05</v>
      </c>
      <c r="I60" s="375">
        <v>16</v>
      </c>
      <c r="J60" s="376">
        <f t="shared" si="17"/>
        <v>15.36</v>
      </c>
      <c r="K60" s="418"/>
      <c r="L60" s="364"/>
      <c r="M60" s="922" t="s">
        <v>571</v>
      </c>
      <c r="N60" s="923"/>
    </row>
    <row r="61" spans="1:14" x14ac:dyDescent="0.25">
      <c r="A61" s="373">
        <v>44963</v>
      </c>
      <c r="B61" s="449" t="s">
        <v>31</v>
      </c>
      <c r="C61" s="261" t="s">
        <v>30</v>
      </c>
      <c r="D61" s="464" t="s">
        <v>100</v>
      </c>
      <c r="E61" s="604" t="s">
        <v>576</v>
      </c>
      <c r="F61" s="456">
        <v>1.5</v>
      </c>
      <c r="G61" s="374">
        <v>0.6</v>
      </c>
      <c r="H61" s="367">
        <v>0.05</v>
      </c>
      <c r="I61" s="375">
        <v>16</v>
      </c>
      <c r="J61" s="376">
        <f t="shared" si="17"/>
        <v>14.399999999999999</v>
      </c>
      <c r="K61" s="418"/>
      <c r="L61" s="364" t="s">
        <v>493</v>
      </c>
      <c r="M61" s="922" t="s">
        <v>570</v>
      </c>
      <c r="N61" s="923"/>
    </row>
    <row r="62" spans="1:14" x14ac:dyDescent="0.25">
      <c r="A62" s="373">
        <v>44963</v>
      </c>
      <c r="B62" s="449" t="s">
        <v>31</v>
      </c>
      <c r="C62" s="261" t="s">
        <v>30</v>
      </c>
      <c r="D62" s="464" t="s">
        <v>100</v>
      </c>
      <c r="E62" s="604" t="s">
        <v>577</v>
      </c>
      <c r="F62" s="456">
        <v>1.5</v>
      </c>
      <c r="G62" s="374">
        <v>0.6</v>
      </c>
      <c r="H62" s="367">
        <v>0.05</v>
      </c>
      <c r="I62" s="375">
        <v>16</v>
      </c>
      <c r="J62" s="376">
        <f t="shared" si="17"/>
        <v>14.399999999999999</v>
      </c>
      <c r="K62" s="418"/>
      <c r="L62" s="364" t="s">
        <v>493</v>
      </c>
      <c r="M62" s="922" t="s">
        <v>570</v>
      </c>
      <c r="N62" s="923"/>
    </row>
    <row r="63" spans="1:14" ht="15" customHeight="1" x14ac:dyDescent="0.25">
      <c r="A63" s="373">
        <v>44963</v>
      </c>
      <c r="B63" s="449" t="s">
        <v>31</v>
      </c>
      <c r="C63" s="261" t="s">
        <v>30</v>
      </c>
      <c r="D63" s="464" t="s">
        <v>100</v>
      </c>
      <c r="E63" s="604" t="s">
        <v>578</v>
      </c>
      <c r="F63" s="456">
        <v>1.2</v>
      </c>
      <c r="G63" s="374">
        <v>0.6</v>
      </c>
      <c r="H63" s="367">
        <v>0.05</v>
      </c>
      <c r="I63" s="375">
        <v>18</v>
      </c>
      <c r="J63" s="376">
        <f t="shared" si="17"/>
        <v>12.959999999999999</v>
      </c>
      <c r="K63" s="418"/>
      <c r="L63" s="364" t="s">
        <v>493</v>
      </c>
      <c r="M63" s="922" t="s">
        <v>570</v>
      </c>
      <c r="N63" s="923"/>
    </row>
    <row r="64" spans="1:14" ht="15" customHeight="1" x14ac:dyDescent="0.25">
      <c r="A64" s="373">
        <v>44963</v>
      </c>
      <c r="B64" s="449" t="s">
        <v>31</v>
      </c>
      <c r="C64" s="261" t="s">
        <v>30</v>
      </c>
      <c r="D64" s="464" t="s">
        <v>100</v>
      </c>
      <c r="E64" s="604" t="s">
        <v>579</v>
      </c>
      <c r="F64" s="456">
        <v>1.2</v>
      </c>
      <c r="G64" s="374">
        <v>0.6</v>
      </c>
      <c r="H64" s="367">
        <v>0.05</v>
      </c>
      <c r="I64" s="375">
        <v>17</v>
      </c>
      <c r="J64" s="376">
        <f t="shared" si="17"/>
        <v>12.24</v>
      </c>
      <c r="K64" s="418"/>
      <c r="L64" s="364" t="s">
        <v>493</v>
      </c>
      <c r="M64" s="922" t="s">
        <v>570</v>
      </c>
      <c r="N64" s="923"/>
    </row>
    <row r="65" spans="1:14" x14ac:dyDescent="0.25">
      <c r="A65" s="373">
        <v>44963</v>
      </c>
      <c r="B65" s="449" t="s">
        <v>31</v>
      </c>
      <c r="C65" s="261" t="s">
        <v>30</v>
      </c>
      <c r="D65" s="464" t="s">
        <v>100</v>
      </c>
      <c r="E65" s="604" t="s">
        <v>196</v>
      </c>
      <c r="F65" s="456">
        <v>1.2</v>
      </c>
      <c r="G65" s="374">
        <v>0.6</v>
      </c>
      <c r="H65" s="367">
        <v>0.05</v>
      </c>
      <c r="I65" s="375">
        <v>16</v>
      </c>
      <c r="J65" s="376">
        <f t="shared" si="17"/>
        <v>11.52</v>
      </c>
      <c r="K65" s="418"/>
      <c r="L65" s="364" t="s">
        <v>493</v>
      </c>
      <c r="M65" s="922" t="s">
        <v>570</v>
      </c>
      <c r="N65" s="923"/>
    </row>
    <row r="66" spans="1:14" x14ac:dyDescent="0.25">
      <c r="A66" s="373">
        <v>44963</v>
      </c>
      <c r="B66" s="449" t="s">
        <v>31</v>
      </c>
      <c r="C66" s="261" t="s">
        <v>30</v>
      </c>
      <c r="D66" s="464" t="s">
        <v>100</v>
      </c>
      <c r="E66" s="604" t="s">
        <v>481</v>
      </c>
      <c r="F66" s="456">
        <v>1.2</v>
      </c>
      <c r="G66" s="374">
        <v>0.6</v>
      </c>
      <c r="H66" s="367">
        <v>0.05</v>
      </c>
      <c r="I66" s="375">
        <v>16</v>
      </c>
      <c r="J66" s="376">
        <f t="shared" si="17"/>
        <v>11.52</v>
      </c>
      <c r="K66" s="418"/>
      <c r="L66" s="364" t="s">
        <v>493</v>
      </c>
      <c r="M66" s="922" t="s">
        <v>570</v>
      </c>
      <c r="N66" s="923"/>
    </row>
    <row r="67" spans="1:14" ht="15" customHeight="1" x14ac:dyDescent="0.25">
      <c r="A67" s="373">
        <v>44963</v>
      </c>
      <c r="B67" s="449" t="s">
        <v>31</v>
      </c>
      <c r="C67" s="261" t="s">
        <v>30</v>
      </c>
      <c r="D67" s="464" t="s">
        <v>100</v>
      </c>
      <c r="E67" s="604" t="s">
        <v>580</v>
      </c>
      <c r="F67" s="456">
        <v>0.8</v>
      </c>
      <c r="G67" s="374">
        <v>0.6</v>
      </c>
      <c r="H67" s="367">
        <v>0.05</v>
      </c>
      <c r="I67" s="375">
        <v>10</v>
      </c>
      <c r="J67" s="376">
        <f t="shared" si="17"/>
        <v>4.8</v>
      </c>
      <c r="K67" s="418"/>
      <c r="L67" s="364" t="s">
        <v>493</v>
      </c>
      <c r="M67" s="922" t="s">
        <v>570</v>
      </c>
      <c r="N67" s="923"/>
    </row>
    <row r="68" spans="1:14" ht="15" customHeight="1" x14ac:dyDescent="0.25">
      <c r="A68" s="373">
        <v>44963</v>
      </c>
      <c r="B68" s="449" t="s">
        <v>31</v>
      </c>
      <c r="C68" s="261" t="s">
        <v>30</v>
      </c>
      <c r="D68" s="464" t="s">
        <v>100</v>
      </c>
      <c r="E68" s="604" t="s">
        <v>581</v>
      </c>
      <c r="F68" s="456">
        <v>1.8</v>
      </c>
      <c r="G68" s="374">
        <v>0.6</v>
      </c>
      <c r="H68" s="367">
        <v>0.05</v>
      </c>
      <c r="I68" s="375">
        <v>11</v>
      </c>
      <c r="J68" s="376">
        <f t="shared" si="17"/>
        <v>11.88</v>
      </c>
      <c r="K68" s="418"/>
      <c r="L68" s="364" t="s">
        <v>493</v>
      </c>
      <c r="M68" s="922" t="s">
        <v>570</v>
      </c>
      <c r="N68" s="923"/>
    </row>
    <row r="69" spans="1:14" x14ac:dyDescent="0.25">
      <c r="A69" s="373">
        <v>44963</v>
      </c>
      <c r="B69" s="449" t="s">
        <v>31</v>
      </c>
      <c r="C69" s="261" t="s">
        <v>30</v>
      </c>
      <c r="D69" s="464" t="s">
        <v>100</v>
      </c>
      <c r="E69" s="604" t="s">
        <v>582</v>
      </c>
      <c r="F69" s="456">
        <v>1.8</v>
      </c>
      <c r="G69" s="374">
        <v>0.6</v>
      </c>
      <c r="H69" s="367">
        <v>0.05</v>
      </c>
      <c r="I69" s="375">
        <v>14</v>
      </c>
      <c r="J69" s="376">
        <f t="shared" si="17"/>
        <v>15.120000000000001</v>
      </c>
      <c r="K69" s="418"/>
      <c r="L69" s="364" t="s">
        <v>493</v>
      </c>
      <c r="M69" s="922" t="s">
        <v>570</v>
      </c>
      <c r="N69" s="923"/>
    </row>
    <row r="70" spans="1:14" x14ac:dyDescent="0.25">
      <c r="A70" s="373">
        <v>44963</v>
      </c>
      <c r="B70" s="449" t="s">
        <v>31</v>
      </c>
      <c r="C70" s="261" t="s">
        <v>30</v>
      </c>
      <c r="D70" s="464" t="s">
        <v>100</v>
      </c>
      <c r="E70" s="604" t="s">
        <v>583</v>
      </c>
      <c r="F70" s="456">
        <v>0.8</v>
      </c>
      <c r="G70" s="374">
        <v>0.6</v>
      </c>
      <c r="H70" s="367">
        <v>0.05</v>
      </c>
      <c r="I70" s="375">
        <v>26</v>
      </c>
      <c r="J70" s="376">
        <f t="shared" si="17"/>
        <v>12.48</v>
      </c>
      <c r="K70" s="418"/>
      <c r="L70" s="364" t="s">
        <v>493</v>
      </c>
      <c r="M70" s="922" t="s">
        <v>570</v>
      </c>
      <c r="N70" s="923"/>
    </row>
    <row r="71" spans="1:14" ht="15" customHeight="1" x14ac:dyDescent="0.25">
      <c r="A71" s="373">
        <v>44963</v>
      </c>
      <c r="B71" s="449" t="s">
        <v>31</v>
      </c>
      <c r="C71" s="261" t="s">
        <v>30</v>
      </c>
      <c r="D71" s="464" t="s">
        <v>100</v>
      </c>
      <c r="E71" s="604" t="s">
        <v>209</v>
      </c>
      <c r="F71" s="456">
        <v>1.8</v>
      </c>
      <c r="G71" s="374">
        <v>0.6</v>
      </c>
      <c r="H71" s="367">
        <v>0.05</v>
      </c>
      <c r="I71" s="375">
        <v>6</v>
      </c>
      <c r="J71" s="376">
        <f t="shared" si="17"/>
        <v>6.48</v>
      </c>
      <c r="K71" s="418"/>
      <c r="L71" s="364" t="s">
        <v>493</v>
      </c>
      <c r="M71" s="922" t="s">
        <v>570</v>
      </c>
      <c r="N71" s="923"/>
    </row>
    <row r="72" spans="1:14" ht="15" customHeight="1" x14ac:dyDescent="0.25">
      <c r="A72" s="373">
        <v>44964</v>
      </c>
      <c r="B72" s="449" t="s">
        <v>31</v>
      </c>
      <c r="C72" s="261" t="s">
        <v>30</v>
      </c>
      <c r="D72" s="464" t="s">
        <v>100</v>
      </c>
      <c r="E72" s="604" t="s">
        <v>197</v>
      </c>
      <c r="F72" s="456">
        <v>1.5</v>
      </c>
      <c r="G72" s="374">
        <v>0.6</v>
      </c>
      <c r="H72" s="367">
        <v>0.05</v>
      </c>
      <c r="I72" s="375">
        <v>14</v>
      </c>
      <c r="J72" s="376">
        <f t="shared" si="17"/>
        <v>12.599999999999998</v>
      </c>
      <c r="K72" s="418"/>
      <c r="L72" s="364" t="s">
        <v>493</v>
      </c>
      <c r="M72" s="922" t="s">
        <v>570</v>
      </c>
      <c r="N72" s="923"/>
    </row>
    <row r="73" spans="1:14" x14ac:dyDescent="0.25">
      <c r="A73" s="373">
        <v>44964</v>
      </c>
      <c r="B73" s="449" t="s">
        <v>31</v>
      </c>
      <c r="C73" s="261" t="s">
        <v>30</v>
      </c>
      <c r="D73" s="464" t="s">
        <v>100</v>
      </c>
      <c r="E73" s="604" t="s">
        <v>198</v>
      </c>
      <c r="F73" s="456">
        <v>1.3</v>
      </c>
      <c r="G73" s="374">
        <v>0.6</v>
      </c>
      <c r="H73" s="367">
        <v>0.05</v>
      </c>
      <c r="I73" s="375">
        <v>18</v>
      </c>
      <c r="J73" s="376">
        <f t="shared" si="17"/>
        <v>14.040000000000001</v>
      </c>
      <c r="K73" s="418"/>
      <c r="L73" s="364" t="s">
        <v>493</v>
      </c>
      <c r="M73" s="922" t="s">
        <v>570</v>
      </c>
      <c r="N73" s="923"/>
    </row>
    <row r="74" spans="1:14" x14ac:dyDescent="0.25">
      <c r="A74" s="373">
        <v>44964</v>
      </c>
      <c r="B74" s="449" t="s">
        <v>31</v>
      </c>
      <c r="C74" s="261" t="s">
        <v>30</v>
      </c>
      <c r="D74" s="464" t="s">
        <v>100</v>
      </c>
      <c r="E74" s="604" t="s">
        <v>340</v>
      </c>
      <c r="F74" s="456">
        <v>1.2</v>
      </c>
      <c r="G74" s="374">
        <v>0.6</v>
      </c>
      <c r="H74" s="367">
        <v>0.05</v>
      </c>
      <c r="I74" s="375">
        <v>11</v>
      </c>
      <c r="J74" s="376">
        <f t="shared" si="17"/>
        <v>7.92</v>
      </c>
      <c r="K74" s="418"/>
      <c r="L74" s="364" t="s">
        <v>493</v>
      </c>
      <c r="M74" s="922" t="s">
        <v>570</v>
      </c>
      <c r="N74" s="923"/>
    </row>
    <row r="75" spans="1:14" x14ac:dyDescent="0.25">
      <c r="A75" s="373">
        <v>44964</v>
      </c>
      <c r="B75" s="449" t="s">
        <v>31</v>
      </c>
      <c r="C75" s="261" t="s">
        <v>30</v>
      </c>
      <c r="D75" s="464" t="s">
        <v>100</v>
      </c>
      <c r="E75" s="604" t="s">
        <v>199</v>
      </c>
      <c r="F75" s="456">
        <v>1.3</v>
      </c>
      <c r="G75" s="374">
        <v>0.6</v>
      </c>
      <c r="H75" s="367">
        <v>0.05</v>
      </c>
      <c r="I75" s="375">
        <v>16</v>
      </c>
      <c r="J75" s="376">
        <f t="shared" si="17"/>
        <v>12.48</v>
      </c>
      <c r="K75" s="418"/>
      <c r="L75" s="364" t="s">
        <v>493</v>
      </c>
      <c r="M75" s="922" t="s">
        <v>570</v>
      </c>
      <c r="N75" s="923"/>
    </row>
    <row r="76" spans="1:14" x14ac:dyDescent="0.25">
      <c r="A76" s="373">
        <v>44964</v>
      </c>
      <c r="B76" s="449" t="s">
        <v>31</v>
      </c>
      <c r="C76" s="261" t="s">
        <v>30</v>
      </c>
      <c r="D76" s="464" t="s">
        <v>100</v>
      </c>
      <c r="E76" s="604" t="s">
        <v>584</v>
      </c>
      <c r="F76" s="456">
        <v>1.3</v>
      </c>
      <c r="G76" s="374">
        <v>0.6</v>
      </c>
      <c r="H76" s="367">
        <v>0.05</v>
      </c>
      <c r="I76" s="375">
        <v>12</v>
      </c>
      <c r="J76" s="376">
        <f t="shared" si="17"/>
        <v>9.36</v>
      </c>
      <c r="K76" s="418"/>
      <c r="L76" s="364" t="s">
        <v>493</v>
      </c>
      <c r="M76" s="922" t="s">
        <v>570</v>
      </c>
      <c r="N76" s="923"/>
    </row>
    <row r="77" spans="1:14" ht="15" customHeight="1" x14ac:dyDescent="0.25">
      <c r="A77" s="373">
        <v>44964</v>
      </c>
      <c r="B77" s="449" t="s">
        <v>31</v>
      </c>
      <c r="C77" s="261" t="s">
        <v>30</v>
      </c>
      <c r="D77" s="464" t="s">
        <v>100</v>
      </c>
      <c r="E77" s="604" t="s">
        <v>210</v>
      </c>
      <c r="F77" s="456">
        <v>1.2</v>
      </c>
      <c r="G77" s="374">
        <v>0.6</v>
      </c>
      <c r="H77" s="367">
        <v>0.05</v>
      </c>
      <c r="I77" s="375">
        <v>14</v>
      </c>
      <c r="J77" s="376">
        <f t="shared" si="17"/>
        <v>10.08</v>
      </c>
      <c r="K77" s="418"/>
      <c r="L77" s="364" t="s">
        <v>493</v>
      </c>
      <c r="M77" s="922" t="s">
        <v>570</v>
      </c>
      <c r="N77" s="923"/>
    </row>
    <row r="78" spans="1:14" x14ac:dyDescent="0.25">
      <c r="A78" s="373">
        <v>44964</v>
      </c>
      <c r="B78" s="449" t="s">
        <v>31</v>
      </c>
      <c r="C78" s="261" t="s">
        <v>30</v>
      </c>
      <c r="D78" s="464" t="s">
        <v>100</v>
      </c>
      <c r="E78" s="604" t="s">
        <v>189</v>
      </c>
      <c r="F78" s="456">
        <v>1.2</v>
      </c>
      <c r="G78" s="374">
        <v>0.6</v>
      </c>
      <c r="H78" s="367">
        <v>0.05</v>
      </c>
      <c r="I78" s="375">
        <v>14</v>
      </c>
      <c r="J78" s="376">
        <f t="shared" si="17"/>
        <v>10.08</v>
      </c>
      <c r="K78" s="418"/>
      <c r="L78" s="364" t="s">
        <v>493</v>
      </c>
      <c r="M78" s="922" t="s">
        <v>570</v>
      </c>
      <c r="N78" s="923"/>
    </row>
    <row r="79" spans="1:14" ht="15" customHeight="1" x14ac:dyDescent="0.25">
      <c r="A79" s="373">
        <v>44964</v>
      </c>
      <c r="B79" s="449" t="s">
        <v>31</v>
      </c>
      <c r="C79" s="261" t="s">
        <v>30</v>
      </c>
      <c r="D79" s="464" t="s">
        <v>100</v>
      </c>
      <c r="E79" s="604" t="s">
        <v>190</v>
      </c>
      <c r="F79" s="456">
        <v>1.4</v>
      </c>
      <c r="G79" s="374">
        <v>0.6</v>
      </c>
      <c r="H79" s="367">
        <v>0.05</v>
      </c>
      <c r="I79" s="375">
        <v>12</v>
      </c>
      <c r="J79" s="376">
        <f t="shared" si="17"/>
        <v>10.08</v>
      </c>
      <c r="K79" s="418"/>
      <c r="L79" s="364" t="s">
        <v>493</v>
      </c>
      <c r="M79" s="922" t="s">
        <v>570</v>
      </c>
      <c r="N79" s="923"/>
    </row>
    <row r="80" spans="1:14" ht="15" customHeight="1" x14ac:dyDescent="0.25">
      <c r="A80" s="373">
        <v>44964</v>
      </c>
      <c r="B80" s="449" t="s">
        <v>31</v>
      </c>
      <c r="C80" s="261" t="s">
        <v>30</v>
      </c>
      <c r="D80" s="464" t="s">
        <v>100</v>
      </c>
      <c r="E80" s="604" t="s">
        <v>585</v>
      </c>
      <c r="F80" s="456">
        <v>1.2</v>
      </c>
      <c r="G80" s="374">
        <v>0.6</v>
      </c>
      <c r="H80" s="367">
        <v>0.05</v>
      </c>
      <c r="I80" s="375">
        <v>16</v>
      </c>
      <c r="J80" s="376">
        <f t="shared" si="17"/>
        <v>11.52</v>
      </c>
      <c r="K80" s="418"/>
      <c r="L80" s="364" t="s">
        <v>493</v>
      </c>
      <c r="M80" s="922" t="s">
        <v>570</v>
      </c>
      <c r="N80" s="923"/>
    </row>
    <row r="81" spans="1:14" x14ac:dyDescent="0.25">
      <c r="A81" s="373">
        <v>44964</v>
      </c>
      <c r="B81" s="449" t="s">
        <v>31</v>
      </c>
      <c r="C81" s="261" t="s">
        <v>30</v>
      </c>
      <c r="D81" s="464" t="s">
        <v>100</v>
      </c>
      <c r="E81" s="604" t="s">
        <v>267</v>
      </c>
      <c r="F81" s="456">
        <v>1.2</v>
      </c>
      <c r="G81" s="374">
        <v>0.6</v>
      </c>
      <c r="H81" s="367">
        <v>0.05</v>
      </c>
      <c r="I81" s="375">
        <v>16</v>
      </c>
      <c r="J81" s="376">
        <f t="shared" si="17"/>
        <v>11.52</v>
      </c>
      <c r="K81" s="418"/>
      <c r="L81" s="364" t="s">
        <v>493</v>
      </c>
      <c r="M81" s="922" t="s">
        <v>570</v>
      </c>
      <c r="N81" s="923"/>
    </row>
    <row r="82" spans="1:14" x14ac:dyDescent="0.25">
      <c r="A82" s="373">
        <v>44965</v>
      </c>
      <c r="B82" s="449" t="s">
        <v>31</v>
      </c>
      <c r="C82" s="261" t="s">
        <v>30</v>
      </c>
      <c r="D82" s="464" t="s">
        <v>100</v>
      </c>
      <c r="E82" s="604" t="s">
        <v>586</v>
      </c>
      <c r="F82" s="456">
        <v>1.2</v>
      </c>
      <c r="G82" s="374">
        <v>0.6</v>
      </c>
      <c r="H82" s="367">
        <v>0.05</v>
      </c>
      <c r="I82" s="375">
        <v>17</v>
      </c>
      <c r="J82" s="376">
        <f t="shared" si="17"/>
        <v>12.24</v>
      </c>
      <c r="K82" s="418"/>
      <c r="L82" s="364" t="s">
        <v>493</v>
      </c>
      <c r="M82" s="922" t="s">
        <v>570</v>
      </c>
      <c r="N82" s="923"/>
    </row>
    <row r="83" spans="1:14" ht="15" customHeight="1" x14ac:dyDescent="0.25">
      <c r="A83" s="373">
        <v>44965</v>
      </c>
      <c r="B83" s="449" t="s">
        <v>31</v>
      </c>
      <c r="C83" s="261" t="s">
        <v>30</v>
      </c>
      <c r="D83" s="464" t="s">
        <v>100</v>
      </c>
      <c r="E83" s="604" t="s">
        <v>211</v>
      </c>
      <c r="F83" s="456">
        <v>2.1</v>
      </c>
      <c r="G83" s="374">
        <v>0.6</v>
      </c>
      <c r="H83" s="367">
        <v>0.05</v>
      </c>
      <c r="I83" s="375">
        <v>14</v>
      </c>
      <c r="J83" s="376">
        <f t="shared" si="17"/>
        <v>17.64</v>
      </c>
      <c r="K83" s="418"/>
      <c r="L83" s="364" t="s">
        <v>493</v>
      </c>
      <c r="M83" s="922" t="s">
        <v>570</v>
      </c>
      <c r="N83" s="923"/>
    </row>
    <row r="84" spans="1:14" ht="15" customHeight="1" x14ac:dyDescent="0.25">
      <c r="A84" s="373">
        <v>44965</v>
      </c>
      <c r="B84" s="449" t="s">
        <v>31</v>
      </c>
      <c r="C84" s="261" t="s">
        <v>30</v>
      </c>
      <c r="D84" s="464" t="s">
        <v>100</v>
      </c>
      <c r="E84" s="604" t="s">
        <v>587</v>
      </c>
      <c r="F84" s="456">
        <v>1.8</v>
      </c>
      <c r="G84" s="374">
        <v>0.6</v>
      </c>
      <c r="H84" s="367">
        <v>0.05</v>
      </c>
      <c r="I84" s="375">
        <v>9</v>
      </c>
      <c r="J84" s="376">
        <f t="shared" si="17"/>
        <v>9.7200000000000006</v>
      </c>
      <c r="K84" s="418"/>
      <c r="L84" s="364" t="s">
        <v>493</v>
      </c>
      <c r="M84" s="922" t="s">
        <v>570</v>
      </c>
      <c r="N84" s="923"/>
    </row>
    <row r="85" spans="1:14" x14ac:dyDescent="0.25">
      <c r="A85" s="373">
        <v>44965</v>
      </c>
      <c r="B85" s="449" t="s">
        <v>31</v>
      </c>
      <c r="C85" s="261" t="s">
        <v>30</v>
      </c>
      <c r="D85" s="464" t="s">
        <v>100</v>
      </c>
      <c r="E85" s="604" t="s">
        <v>212</v>
      </c>
      <c r="F85" s="456">
        <v>2</v>
      </c>
      <c r="G85" s="374">
        <v>0.6</v>
      </c>
      <c r="H85" s="367">
        <v>0.05</v>
      </c>
      <c r="I85" s="375">
        <v>3</v>
      </c>
      <c r="J85" s="376">
        <f t="shared" si="17"/>
        <v>3.5999999999999996</v>
      </c>
      <c r="K85" s="418"/>
      <c r="L85" s="364" t="s">
        <v>493</v>
      </c>
      <c r="M85" s="922" t="s">
        <v>570</v>
      </c>
      <c r="N85" s="923"/>
    </row>
    <row r="86" spans="1:14" x14ac:dyDescent="0.25">
      <c r="A86" s="373">
        <v>44965</v>
      </c>
      <c r="B86" s="449" t="s">
        <v>31</v>
      </c>
      <c r="C86" s="261" t="s">
        <v>30</v>
      </c>
      <c r="D86" s="464" t="s">
        <v>100</v>
      </c>
      <c r="E86" s="604" t="s">
        <v>588</v>
      </c>
      <c r="F86" s="456">
        <v>2</v>
      </c>
      <c r="G86" s="374">
        <v>0.6</v>
      </c>
      <c r="H86" s="367">
        <v>0.05</v>
      </c>
      <c r="I86" s="375">
        <v>5</v>
      </c>
      <c r="J86" s="376">
        <f t="shared" si="17"/>
        <v>6</v>
      </c>
      <c r="K86" s="418"/>
      <c r="L86" s="364" t="s">
        <v>493</v>
      </c>
      <c r="M86" s="922" t="s">
        <v>570</v>
      </c>
      <c r="N86" s="923"/>
    </row>
    <row r="87" spans="1:14" x14ac:dyDescent="0.25">
      <c r="A87" s="373">
        <v>44965</v>
      </c>
      <c r="B87" s="449" t="s">
        <v>31</v>
      </c>
      <c r="C87" s="261" t="s">
        <v>30</v>
      </c>
      <c r="D87" s="464" t="s">
        <v>100</v>
      </c>
      <c r="E87" s="604" t="s">
        <v>589</v>
      </c>
      <c r="F87" s="456">
        <v>1.2</v>
      </c>
      <c r="G87" s="374">
        <v>0.6</v>
      </c>
      <c r="H87" s="367">
        <v>0.05</v>
      </c>
      <c r="I87" s="375">
        <v>13</v>
      </c>
      <c r="J87" s="376">
        <f t="shared" ref="J87:J93" si="19">F87*G87*I87</f>
        <v>9.36</v>
      </c>
      <c r="K87" s="418"/>
      <c r="L87" s="364" t="s">
        <v>493</v>
      </c>
      <c r="M87" s="922" t="s">
        <v>570</v>
      </c>
      <c r="N87" s="923"/>
    </row>
    <row r="88" spans="1:14" ht="15" customHeight="1" x14ac:dyDescent="0.25">
      <c r="A88" s="373">
        <v>44965</v>
      </c>
      <c r="B88" s="449" t="s">
        <v>31</v>
      </c>
      <c r="C88" s="261" t="s">
        <v>30</v>
      </c>
      <c r="D88" s="464" t="s">
        <v>100</v>
      </c>
      <c r="E88" s="604" t="s">
        <v>268</v>
      </c>
      <c r="F88" s="456">
        <v>1.2</v>
      </c>
      <c r="G88" s="374">
        <v>0.6</v>
      </c>
      <c r="H88" s="367">
        <v>0.05</v>
      </c>
      <c r="I88" s="375">
        <v>20</v>
      </c>
      <c r="J88" s="376">
        <f t="shared" si="19"/>
        <v>14.399999999999999</v>
      </c>
      <c r="K88" s="418"/>
      <c r="L88" s="364" t="s">
        <v>493</v>
      </c>
      <c r="M88" s="922" t="s">
        <v>570</v>
      </c>
      <c r="N88" s="923"/>
    </row>
    <row r="89" spans="1:14" ht="15" customHeight="1" x14ac:dyDescent="0.25">
      <c r="A89" s="373">
        <v>44965</v>
      </c>
      <c r="B89" s="449" t="s">
        <v>31</v>
      </c>
      <c r="C89" s="261" t="s">
        <v>30</v>
      </c>
      <c r="D89" s="464" t="s">
        <v>100</v>
      </c>
      <c r="E89" s="604" t="s">
        <v>590</v>
      </c>
      <c r="F89" s="456">
        <v>1.2</v>
      </c>
      <c r="G89" s="374">
        <v>0.6</v>
      </c>
      <c r="H89" s="367">
        <v>0.05</v>
      </c>
      <c r="I89" s="375">
        <v>19</v>
      </c>
      <c r="J89" s="376">
        <f t="shared" si="19"/>
        <v>13.68</v>
      </c>
      <c r="K89" s="418"/>
      <c r="L89" s="364" t="s">
        <v>493</v>
      </c>
      <c r="M89" s="922" t="s">
        <v>570</v>
      </c>
      <c r="N89" s="923"/>
    </row>
    <row r="90" spans="1:14" x14ac:dyDescent="0.25">
      <c r="A90" s="373">
        <v>44965</v>
      </c>
      <c r="B90" s="449" t="s">
        <v>31</v>
      </c>
      <c r="C90" s="261" t="s">
        <v>30</v>
      </c>
      <c r="D90" s="464" t="s">
        <v>100</v>
      </c>
      <c r="E90" s="604" t="s">
        <v>200</v>
      </c>
      <c r="F90" s="456">
        <v>1.3</v>
      </c>
      <c r="G90" s="374">
        <v>0.6</v>
      </c>
      <c r="H90" s="367">
        <v>0.05</v>
      </c>
      <c r="I90" s="375">
        <v>15</v>
      </c>
      <c r="J90" s="376">
        <f t="shared" si="19"/>
        <v>11.700000000000001</v>
      </c>
      <c r="K90" s="418"/>
      <c r="L90" s="364" t="s">
        <v>493</v>
      </c>
      <c r="M90" s="922" t="s">
        <v>570</v>
      </c>
      <c r="N90" s="923"/>
    </row>
    <row r="91" spans="1:14" x14ac:dyDescent="0.25">
      <c r="A91" s="373">
        <v>44965</v>
      </c>
      <c r="B91" s="449" t="s">
        <v>31</v>
      </c>
      <c r="C91" s="261" t="s">
        <v>30</v>
      </c>
      <c r="D91" s="464" t="s">
        <v>100</v>
      </c>
      <c r="E91" s="604" t="s">
        <v>591</v>
      </c>
      <c r="F91" s="456">
        <v>1.3</v>
      </c>
      <c r="G91" s="374">
        <v>0.6</v>
      </c>
      <c r="H91" s="367">
        <v>0.05</v>
      </c>
      <c r="I91" s="375">
        <v>17</v>
      </c>
      <c r="J91" s="376">
        <f t="shared" si="19"/>
        <v>13.26</v>
      </c>
      <c r="K91" s="418"/>
      <c r="L91" s="364" t="s">
        <v>493</v>
      </c>
      <c r="M91" s="922" t="s">
        <v>570</v>
      </c>
      <c r="N91" s="923"/>
    </row>
    <row r="92" spans="1:14" ht="15" customHeight="1" x14ac:dyDescent="0.25">
      <c r="A92" s="373">
        <v>44965</v>
      </c>
      <c r="B92" s="449" t="s">
        <v>31</v>
      </c>
      <c r="C92" s="261" t="s">
        <v>30</v>
      </c>
      <c r="D92" s="464" t="s">
        <v>100</v>
      </c>
      <c r="E92" s="604" t="s">
        <v>214</v>
      </c>
      <c r="F92" s="456">
        <v>1.2</v>
      </c>
      <c r="G92" s="374">
        <v>0.6</v>
      </c>
      <c r="H92" s="367">
        <v>0.05</v>
      </c>
      <c r="I92" s="375">
        <v>17</v>
      </c>
      <c r="J92" s="376">
        <f t="shared" si="19"/>
        <v>12.24</v>
      </c>
      <c r="K92" s="418"/>
      <c r="L92" s="364" t="s">
        <v>493</v>
      </c>
      <c r="M92" s="922" t="s">
        <v>570</v>
      </c>
      <c r="N92" s="923"/>
    </row>
    <row r="93" spans="1:14" ht="15" customHeight="1" x14ac:dyDescent="0.25">
      <c r="A93" s="373">
        <v>44965</v>
      </c>
      <c r="B93" s="449" t="s">
        <v>31</v>
      </c>
      <c r="C93" s="261" t="s">
        <v>30</v>
      </c>
      <c r="D93" s="464" t="s">
        <v>100</v>
      </c>
      <c r="E93" s="604" t="s">
        <v>201</v>
      </c>
      <c r="F93" s="456">
        <v>0.8</v>
      </c>
      <c r="G93" s="374">
        <v>0.6</v>
      </c>
      <c r="H93" s="367">
        <v>0.05</v>
      </c>
      <c r="I93" s="375">
        <v>15</v>
      </c>
      <c r="J93" s="376">
        <f t="shared" si="19"/>
        <v>7.1999999999999993</v>
      </c>
      <c r="K93" s="418"/>
      <c r="L93" s="364" t="s">
        <v>493</v>
      </c>
      <c r="M93" s="922" t="s">
        <v>570</v>
      </c>
      <c r="N93" s="923"/>
    </row>
    <row r="94" spans="1:14" x14ac:dyDescent="0.25">
      <c r="A94" s="373">
        <v>44965</v>
      </c>
      <c r="B94" s="449" t="s">
        <v>31</v>
      </c>
      <c r="C94" s="261" t="s">
        <v>30</v>
      </c>
      <c r="D94" s="464" t="s">
        <v>100</v>
      </c>
      <c r="E94" s="604" t="s">
        <v>592</v>
      </c>
      <c r="F94" s="456">
        <v>1.4</v>
      </c>
      <c r="G94" s="374">
        <v>0.6</v>
      </c>
      <c r="H94" s="367">
        <v>0.05</v>
      </c>
      <c r="I94" s="375">
        <v>16</v>
      </c>
      <c r="J94" s="376">
        <f t="shared" ref="J94:J102" si="20">F94*G94*I94</f>
        <v>13.44</v>
      </c>
      <c r="K94" s="418"/>
      <c r="L94" s="364" t="s">
        <v>493</v>
      </c>
      <c r="M94" s="922" t="s">
        <v>570</v>
      </c>
      <c r="N94" s="923"/>
    </row>
    <row r="95" spans="1:14" ht="15" customHeight="1" x14ac:dyDescent="0.25">
      <c r="A95" s="373">
        <v>44965</v>
      </c>
      <c r="B95" s="449" t="s">
        <v>31</v>
      </c>
      <c r="C95" s="261" t="s">
        <v>30</v>
      </c>
      <c r="D95" s="464" t="s">
        <v>100</v>
      </c>
      <c r="E95" s="604" t="s">
        <v>202</v>
      </c>
      <c r="F95" s="456">
        <v>1.2</v>
      </c>
      <c r="G95" s="374">
        <v>0.6</v>
      </c>
      <c r="H95" s="367">
        <v>0.05</v>
      </c>
      <c r="I95" s="375">
        <v>18</v>
      </c>
      <c r="J95" s="376">
        <f t="shared" si="20"/>
        <v>12.959999999999999</v>
      </c>
      <c r="K95" s="418"/>
      <c r="L95" s="364" t="s">
        <v>493</v>
      </c>
      <c r="M95" s="922" t="s">
        <v>570</v>
      </c>
      <c r="N95" s="923"/>
    </row>
    <row r="96" spans="1:14" ht="15" customHeight="1" x14ac:dyDescent="0.25">
      <c r="A96" s="373">
        <v>44965</v>
      </c>
      <c r="B96" s="449" t="s">
        <v>31</v>
      </c>
      <c r="C96" s="261" t="s">
        <v>30</v>
      </c>
      <c r="D96" s="464" t="s">
        <v>100</v>
      </c>
      <c r="E96" s="604" t="s">
        <v>593</v>
      </c>
      <c r="F96" s="456">
        <v>1.2</v>
      </c>
      <c r="G96" s="374">
        <v>0.6</v>
      </c>
      <c r="H96" s="367">
        <v>0.05</v>
      </c>
      <c r="I96" s="375">
        <v>14</v>
      </c>
      <c r="J96" s="376">
        <f t="shared" si="20"/>
        <v>10.08</v>
      </c>
      <c r="K96" s="418"/>
      <c r="L96" s="364" t="s">
        <v>493</v>
      </c>
      <c r="M96" s="922" t="s">
        <v>570</v>
      </c>
      <c r="N96" s="923"/>
    </row>
    <row r="97" spans="1:14" x14ac:dyDescent="0.25">
      <c r="A97" s="373">
        <v>44965</v>
      </c>
      <c r="B97" s="449" t="s">
        <v>31</v>
      </c>
      <c r="C97" s="261" t="s">
        <v>30</v>
      </c>
      <c r="D97" s="464" t="s">
        <v>100</v>
      </c>
      <c r="E97" s="604" t="s">
        <v>215</v>
      </c>
      <c r="F97" s="456">
        <v>1.2</v>
      </c>
      <c r="G97" s="374">
        <v>0.6</v>
      </c>
      <c r="H97" s="367">
        <v>0.05</v>
      </c>
      <c r="I97" s="375">
        <v>14</v>
      </c>
      <c r="J97" s="376">
        <f t="shared" si="20"/>
        <v>10.08</v>
      </c>
      <c r="K97" s="418"/>
      <c r="L97" s="364" t="s">
        <v>493</v>
      </c>
      <c r="M97" s="922" t="s">
        <v>570</v>
      </c>
      <c r="N97" s="923"/>
    </row>
    <row r="98" spans="1:14" x14ac:dyDescent="0.25">
      <c r="A98" s="373"/>
      <c r="B98" s="449" t="s">
        <v>31</v>
      </c>
      <c r="C98" s="261" t="s">
        <v>30</v>
      </c>
      <c r="D98" s="464" t="s">
        <v>100</v>
      </c>
      <c r="E98" s="604"/>
      <c r="F98" s="456"/>
      <c r="G98" s="374">
        <v>0.6</v>
      </c>
      <c r="H98" s="367">
        <v>0.03</v>
      </c>
      <c r="I98" s="375"/>
      <c r="J98" s="376">
        <f t="shared" si="20"/>
        <v>0</v>
      </c>
      <c r="K98" s="418"/>
      <c r="L98" s="364"/>
      <c r="M98" s="372"/>
      <c r="N98" s="556"/>
    </row>
    <row r="99" spans="1:14" ht="15" customHeight="1" x14ac:dyDescent="0.3">
      <c r="A99" s="373"/>
      <c r="B99" s="449" t="s">
        <v>31</v>
      </c>
      <c r="C99" s="261" t="s">
        <v>30</v>
      </c>
      <c r="D99" s="464" t="s">
        <v>100</v>
      </c>
      <c r="E99" s="604"/>
      <c r="F99" s="456"/>
      <c r="G99" s="374">
        <v>0.6</v>
      </c>
      <c r="H99" s="367">
        <v>0.03</v>
      </c>
      <c r="I99" s="375"/>
      <c r="J99" s="376">
        <f t="shared" si="20"/>
        <v>0</v>
      </c>
      <c r="K99" s="418"/>
      <c r="L99" s="364"/>
      <c r="M99" s="372"/>
      <c r="N99" s="553"/>
    </row>
    <row r="100" spans="1:14" ht="15" customHeight="1" x14ac:dyDescent="0.3">
      <c r="A100" s="373"/>
      <c r="B100" s="449" t="s">
        <v>31</v>
      </c>
      <c r="C100" s="261" t="s">
        <v>30</v>
      </c>
      <c r="D100" s="464" t="s">
        <v>100</v>
      </c>
      <c r="E100" s="604"/>
      <c r="F100" s="456"/>
      <c r="G100" s="374">
        <v>0.6</v>
      </c>
      <c r="H100" s="367">
        <v>0.03</v>
      </c>
      <c r="I100" s="375"/>
      <c r="J100" s="376">
        <f t="shared" si="20"/>
        <v>0</v>
      </c>
      <c r="K100" s="418"/>
      <c r="L100" s="364"/>
      <c r="M100" s="372"/>
      <c r="N100" s="553"/>
    </row>
    <row r="101" spans="1:14" x14ac:dyDescent="0.25">
      <c r="A101" s="373"/>
      <c r="B101" s="449" t="s">
        <v>31</v>
      </c>
      <c r="C101" s="261" t="s">
        <v>30</v>
      </c>
      <c r="D101" s="464" t="s">
        <v>100</v>
      </c>
      <c r="E101" s="604"/>
      <c r="F101" s="456"/>
      <c r="G101" s="374">
        <v>0.6</v>
      </c>
      <c r="H101" s="367">
        <v>0.03</v>
      </c>
      <c r="I101" s="375"/>
      <c r="J101" s="376">
        <f t="shared" si="20"/>
        <v>0</v>
      </c>
      <c r="K101" s="418"/>
      <c r="L101" s="364"/>
      <c r="M101" s="372"/>
      <c r="N101" s="556"/>
    </row>
    <row r="102" spans="1:14" x14ac:dyDescent="0.25">
      <c r="A102" s="373"/>
      <c r="B102" s="449" t="s">
        <v>31</v>
      </c>
      <c r="C102" s="261" t="s">
        <v>30</v>
      </c>
      <c r="D102" s="464" t="s">
        <v>100</v>
      </c>
      <c r="E102" s="604"/>
      <c r="F102" s="456"/>
      <c r="G102" s="374">
        <v>0.6</v>
      </c>
      <c r="H102" s="367">
        <v>0.03</v>
      </c>
      <c r="I102" s="375"/>
      <c r="J102" s="376">
        <f t="shared" si="20"/>
        <v>0</v>
      </c>
      <c r="K102" s="418"/>
      <c r="L102" s="364"/>
      <c r="M102" s="372"/>
      <c r="N102" s="556"/>
    </row>
    <row r="103" spans="1:14" x14ac:dyDescent="0.25">
      <c r="A103" s="373"/>
      <c r="B103" s="449" t="s">
        <v>31</v>
      </c>
      <c r="C103" s="261" t="s">
        <v>30</v>
      </c>
      <c r="D103" s="464" t="s">
        <v>100</v>
      </c>
      <c r="E103" s="604"/>
      <c r="F103" s="456"/>
      <c r="G103" s="374">
        <v>0.6</v>
      </c>
      <c r="H103" s="367">
        <v>0.03</v>
      </c>
      <c r="I103" s="375"/>
      <c r="J103" s="376">
        <f t="shared" si="17"/>
        <v>0</v>
      </c>
      <c r="K103" s="418"/>
      <c r="L103" s="364"/>
      <c r="M103" s="372"/>
      <c r="N103" s="556"/>
    </row>
    <row r="104" spans="1:14" ht="15" customHeight="1" x14ac:dyDescent="0.3">
      <c r="A104" s="373"/>
      <c r="B104" s="449" t="s">
        <v>31</v>
      </c>
      <c r="C104" s="261" t="s">
        <v>30</v>
      </c>
      <c r="D104" s="464" t="s">
        <v>100</v>
      </c>
      <c r="E104" s="604"/>
      <c r="F104" s="456"/>
      <c r="G104" s="374">
        <v>0.6</v>
      </c>
      <c r="H104" s="367">
        <v>0.03</v>
      </c>
      <c r="I104" s="375"/>
      <c r="J104" s="376">
        <f t="shared" si="17"/>
        <v>0</v>
      </c>
      <c r="K104" s="418"/>
      <c r="L104" s="364"/>
      <c r="M104" s="372"/>
      <c r="N104" s="553"/>
    </row>
    <row r="105" spans="1:14" ht="15" customHeight="1" x14ac:dyDescent="0.3">
      <c r="A105" s="373"/>
      <c r="B105" s="449" t="s">
        <v>31</v>
      </c>
      <c r="C105" s="261" t="s">
        <v>30</v>
      </c>
      <c r="D105" s="464" t="s">
        <v>100</v>
      </c>
      <c r="E105" s="604"/>
      <c r="F105" s="456"/>
      <c r="G105" s="374">
        <v>0.6</v>
      </c>
      <c r="H105" s="367">
        <v>0.03</v>
      </c>
      <c r="I105" s="375"/>
      <c r="J105" s="376">
        <f t="shared" si="17"/>
        <v>0</v>
      </c>
      <c r="K105" s="418"/>
      <c r="L105" s="364"/>
      <c r="M105" s="372"/>
      <c r="N105" s="553"/>
    </row>
    <row r="106" spans="1:14" x14ac:dyDescent="0.25">
      <c r="A106" s="373"/>
      <c r="B106" s="449" t="s">
        <v>31</v>
      </c>
      <c r="C106" s="261" t="s">
        <v>30</v>
      </c>
      <c r="D106" s="464" t="s">
        <v>100</v>
      </c>
      <c r="E106" s="604"/>
      <c r="F106" s="456"/>
      <c r="G106" s="374">
        <v>0.6</v>
      </c>
      <c r="H106" s="367">
        <v>0.03</v>
      </c>
      <c r="I106" s="375"/>
      <c r="J106" s="376">
        <f t="shared" si="17"/>
        <v>0</v>
      </c>
      <c r="K106" s="418"/>
      <c r="L106" s="364"/>
      <c r="M106" s="372"/>
      <c r="N106" s="556"/>
    </row>
    <row r="107" spans="1:14" x14ac:dyDescent="0.25">
      <c r="A107" s="373"/>
      <c r="B107" s="449" t="s">
        <v>31</v>
      </c>
      <c r="C107" s="261" t="s">
        <v>30</v>
      </c>
      <c r="D107" s="464" t="s">
        <v>100</v>
      </c>
      <c r="E107" s="604"/>
      <c r="F107" s="456"/>
      <c r="G107" s="374">
        <v>0.6</v>
      </c>
      <c r="H107" s="367">
        <v>0.03</v>
      </c>
      <c r="I107" s="375"/>
      <c r="J107" s="376">
        <f t="shared" si="17"/>
        <v>0</v>
      </c>
      <c r="K107" s="418"/>
      <c r="L107" s="364"/>
      <c r="M107" s="372"/>
      <c r="N107" s="556"/>
    </row>
    <row r="108" spans="1:14" ht="15" customHeight="1" x14ac:dyDescent="0.3">
      <c r="A108" s="373"/>
      <c r="B108" s="449" t="s">
        <v>31</v>
      </c>
      <c r="C108" s="261" t="s">
        <v>30</v>
      </c>
      <c r="D108" s="464" t="s">
        <v>100</v>
      </c>
      <c r="E108" s="604"/>
      <c r="F108" s="456"/>
      <c r="G108" s="374">
        <v>0.6</v>
      </c>
      <c r="H108" s="367">
        <v>0.03</v>
      </c>
      <c r="I108" s="375"/>
      <c r="J108" s="376">
        <f t="shared" si="17"/>
        <v>0</v>
      </c>
      <c r="K108" s="418"/>
      <c r="L108" s="364"/>
      <c r="M108" s="372"/>
      <c r="N108" s="553"/>
    </row>
    <row r="109" spans="1:14" ht="15" customHeight="1" x14ac:dyDescent="0.3">
      <c r="A109" s="373"/>
      <c r="B109" s="449" t="s">
        <v>31</v>
      </c>
      <c r="C109" s="261" t="s">
        <v>30</v>
      </c>
      <c r="D109" s="464" t="s">
        <v>100</v>
      </c>
      <c r="E109" s="604"/>
      <c r="F109" s="456"/>
      <c r="G109" s="374">
        <v>0.6</v>
      </c>
      <c r="H109" s="367">
        <v>0.03</v>
      </c>
      <c r="I109" s="375"/>
      <c r="J109" s="376">
        <f t="shared" si="17"/>
        <v>0</v>
      </c>
      <c r="K109" s="418"/>
      <c r="L109" s="364"/>
      <c r="M109" s="372"/>
      <c r="N109" s="553"/>
    </row>
    <row r="110" spans="1:14" x14ac:dyDescent="0.25">
      <c r="A110" s="373"/>
      <c r="B110" s="449" t="s">
        <v>31</v>
      </c>
      <c r="C110" s="261" t="s">
        <v>30</v>
      </c>
      <c r="D110" s="464" t="s">
        <v>100</v>
      </c>
      <c r="E110" s="604"/>
      <c r="F110" s="456"/>
      <c r="G110" s="374">
        <v>0.6</v>
      </c>
      <c r="H110" s="367">
        <v>0.03</v>
      </c>
      <c r="I110" s="375"/>
      <c r="J110" s="376">
        <f t="shared" si="17"/>
        <v>0</v>
      </c>
      <c r="K110" s="418"/>
      <c r="L110" s="364"/>
      <c r="M110" s="372"/>
      <c r="N110" s="556"/>
    </row>
    <row r="111" spans="1:14" x14ac:dyDescent="0.25">
      <c r="A111" s="373"/>
      <c r="B111" s="449" t="s">
        <v>31</v>
      </c>
      <c r="C111" s="261" t="s">
        <v>30</v>
      </c>
      <c r="D111" s="464" t="s">
        <v>100</v>
      </c>
      <c r="E111" s="604"/>
      <c r="F111" s="456"/>
      <c r="G111" s="374">
        <v>0.6</v>
      </c>
      <c r="H111" s="367">
        <v>0.03</v>
      </c>
      <c r="I111" s="375"/>
      <c r="J111" s="376">
        <f t="shared" si="17"/>
        <v>0</v>
      </c>
      <c r="K111" s="418"/>
      <c r="L111" s="364"/>
      <c r="M111" s="372"/>
      <c r="N111" s="556"/>
    </row>
    <row r="112" spans="1:14" ht="15" customHeight="1" x14ac:dyDescent="0.3">
      <c r="A112" s="373"/>
      <c r="B112" s="449" t="s">
        <v>31</v>
      </c>
      <c r="C112" s="261" t="s">
        <v>30</v>
      </c>
      <c r="D112" s="464" t="s">
        <v>100</v>
      </c>
      <c r="E112" s="604"/>
      <c r="F112" s="456"/>
      <c r="G112" s="374">
        <v>0.6</v>
      </c>
      <c r="H112" s="367">
        <v>0.03</v>
      </c>
      <c r="I112" s="375"/>
      <c r="J112" s="376">
        <f t="shared" si="17"/>
        <v>0</v>
      </c>
      <c r="K112" s="418"/>
      <c r="L112" s="364"/>
      <c r="M112" s="372"/>
      <c r="N112" s="553"/>
    </row>
    <row r="113" spans="1:14" ht="15" customHeight="1" x14ac:dyDescent="0.3">
      <c r="A113" s="373"/>
      <c r="B113" s="449" t="s">
        <v>31</v>
      </c>
      <c r="C113" s="261" t="s">
        <v>30</v>
      </c>
      <c r="D113" s="464" t="s">
        <v>100</v>
      </c>
      <c r="E113" s="604"/>
      <c r="F113" s="456"/>
      <c r="G113" s="374">
        <v>0.6</v>
      </c>
      <c r="H113" s="367">
        <v>0.03</v>
      </c>
      <c r="I113" s="375"/>
      <c r="J113" s="376">
        <f t="shared" si="17"/>
        <v>0</v>
      </c>
      <c r="K113" s="418"/>
      <c r="L113" s="364"/>
      <c r="M113" s="372"/>
      <c r="N113" s="553"/>
    </row>
    <row r="114" spans="1:14" x14ac:dyDescent="0.25">
      <c r="A114" s="373"/>
      <c r="B114" s="449" t="s">
        <v>31</v>
      </c>
      <c r="C114" s="261" t="s">
        <v>30</v>
      </c>
      <c r="D114" s="464" t="s">
        <v>100</v>
      </c>
      <c r="E114" s="604"/>
      <c r="F114" s="456"/>
      <c r="G114" s="374">
        <v>0.6</v>
      </c>
      <c r="H114" s="367">
        <v>0.03</v>
      </c>
      <c r="I114" s="375"/>
      <c r="J114" s="376">
        <f t="shared" si="17"/>
        <v>0</v>
      </c>
      <c r="K114" s="418"/>
      <c r="L114" s="364"/>
      <c r="M114" s="372"/>
      <c r="N114" s="556"/>
    </row>
    <row r="115" spans="1:14" x14ac:dyDescent="0.25">
      <c r="A115" s="373"/>
      <c r="B115" s="449" t="s">
        <v>31</v>
      </c>
      <c r="C115" s="261" t="s">
        <v>30</v>
      </c>
      <c r="D115" s="464" t="s">
        <v>100</v>
      </c>
      <c r="E115" s="604"/>
      <c r="F115" s="456"/>
      <c r="G115" s="374">
        <v>0.6</v>
      </c>
      <c r="H115" s="367">
        <v>0.03</v>
      </c>
      <c r="I115" s="375"/>
      <c r="J115" s="376">
        <f t="shared" si="17"/>
        <v>0</v>
      </c>
      <c r="K115" s="418"/>
      <c r="L115" s="364"/>
      <c r="M115" s="372"/>
      <c r="N115" s="556"/>
    </row>
    <row r="116" spans="1:14" ht="15" customHeight="1" x14ac:dyDescent="0.3">
      <c r="A116" s="373"/>
      <c r="B116" s="449" t="s">
        <v>31</v>
      </c>
      <c r="C116" s="261" t="s">
        <v>30</v>
      </c>
      <c r="D116" s="464" t="s">
        <v>100</v>
      </c>
      <c r="E116" s="604"/>
      <c r="F116" s="456"/>
      <c r="G116" s="374">
        <v>0.6</v>
      </c>
      <c r="H116" s="367">
        <v>0.03</v>
      </c>
      <c r="I116" s="375"/>
      <c r="J116" s="376">
        <f t="shared" si="17"/>
        <v>0</v>
      </c>
      <c r="K116" s="418"/>
      <c r="L116" s="364"/>
      <c r="M116" s="372"/>
      <c r="N116" s="553"/>
    </row>
    <row r="117" spans="1:14" ht="15" customHeight="1" x14ac:dyDescent="0.3">
      <c r="A117" s="373"/>
      <c r="B117" s="449" t="s">
        <v>31</v>
      </c>
      <c r="C117" s="261" t="s">
        <v>30</v>
      </c>
      <c r="D117" s="464" t="s">
        <v>100</v>
      </c>
      <c r="E117" s="604"/>
      <c r="F117" s="456"/>
      <c r="G117" s="374">
        <v>0.6</v>
      </c>
      <c r="H117" s="367">
        <v>0.03</v>
      </c>
      <c r="I117" s="375"/>
      <c r="J117" s="376">
        <f t="shared" si="17"/>
        <v>0</v>
      </c>
      <c r="K117" s="418"/>
      <c r="L117" s="364"/>
      <c r="M117" s="372"/>
      <c r="N117" s="553"/>
    </row>
    <row r="118" spans="1:14" x14ac:dyDescent="0.25">
      <c r="A118" s="373"/>
      <c r="B118" s="449" t="s">
        <v>31</v>
      </c>
      <c r="C118" s="261" t="s">
        <v>30</v>
      </c>
      <c r="D118" s="464" t="s">
        <v>100</v>
      </c>
      <c r="E118" s="604"/>
      <c r="F118" s="456"/>
      <c r="G118" s="374">
        <v>0.6</v>
      </c>
      <c r="H118" s="367">
        <v>0.03</v>
      </c>
      <c r="I118" s="375"/>
      <c r="J118" s="376">
        <f t="shared" si="17"/>
        <v>0</v>
      </c>
      <c r="K118" s="418"/>
      <c r="L118" s="364"/>
      <c r="M118" s="372"/>
      <c r="N118" s="556"/>
    </row>
    <row r="119" spans="1:14" x14ac:dyDescent="0.25">
      <c r="A119" s="373"/>
      <c r="B119" s="449" t="s">
        <v>31</v>
      </c>
      <c r="C119" s="261" t="s">
        <v>30</v>
      </c>
      <c r="D119" s="464" t="s">
        <v>100</v>
      </c>
      <c r="E119" s="604"/>
      <c r="F119" s="456"/>
      <c r="G119" s="374">
        <v>0.6</v>
      </c>
      <c r="H119" s="367">
        <v>0.03</v>
      </c>
      <c r="I119" s="375"/>
      <c r="J119" s="376">
        <f t="shared" si="17"/>
        <v>0</v>
      </c>
      <c r="K119" s="418"/>
      <c r="L119" s="364"/>
      <c r="M119" s="372"/>
      <c r="N119" s="556"/>
    </row>
    <row r="120" spans="1:14" ht="15" customHeight="1" x14ac:dyDescent="0.3">
      <c r="A120" s="373"/>
      <c r="B120" s="449" t="s">
        <v>31</v>
      </c>
      <c r="C120" s="261" t="s">
        <v>30</v>
      </c>
      <c r="D120" s="464" t="s">
        <v>100</v>
      </c>
      <c r="E120" s="604"/>
      <c r="F120" s="456"/>
      <c r="G120" s="374">
        <v>0.6</v>
      </c>
      <c r="H120" s="367">
        <v>0.03</v>
      </c>
      <c r="I120" s="375"/>
      <c r="J120" s="376">
        <f t="shared" ref="J120:J140" si="21">F120*G120*I120</f>
        <v>0</v>
      </c>
      <c r="K120" s="418"/>
      <c r="L120" s="364"/>
      <c r="M120" s="372"/>
      <c r="N120" s="553"/>
    </row>
    <row r="121" spans="1:14" x14ac:dyDescent="0.25">
      <c r="A121" s="373"/>
      <c r="B121" s="449" t="s">
        <v>31</v>
      </c>
      <c r="C121" s="261" t="s">
        <v>30</v>
      </c>
      <c r="D121" s="464" t="s">
        <v>98</v>
      </c>
      <c r="E121" s="604"/>
      <c r="F121" s="456"/>
      <c r="G121" s="374">
        <v>0.6</v>
      </c>
      <c r="H121" s="367">
        <v>0.03</v>
      </c>
      <c r="I121" s="375"/>
      <c r="J121" s="376">
        <f t="shared" si="21"/>
        <v>0</v>
      </c>
      <c r="K121" s="418"/>
      <c r="L121" s="364"/>
      <c r="M121" s="372"/>
      <c r="N121" s="556"/>
    </row>
    <row r="122" spans="1:14" x14ac:dyDescent="0.25">
      <c r="A122" s="373"/>
      <c r="B122" s="449" t="s">
        <v>31</v>
      </c>
      <c r="C122" s="261" t="s">
        <v>30</v>
      </c>
      <c r="D122" s="464" t="s">
        <v>98</v>
      </c>
      <c r="E122" s="604"/>
      <c r="F122" s="456"/>
      <c r="G122" s="374">
        <v>0.6</v>
      </c>
      <c r="H122" s="367">
        <v>0.03</v>
      </c>
      <c r="I122" s="375"/>
      <c r="J122" s="376">
        <f t="shared" si="21"/>
        <v>0</v>
      </c>
      <c r="K122" s="418"/>
      <c r="L122" s="364"/>
      <c r="M122" s="372"/>
      <c r="N122" s="556"/>
    </row>
    <row r="123" spans="1:14" x14ac:dyDescent="0.25">
      <c r="A123" s="373"/>
      <c r="B123" s="449" t="s">
        <v>31</v>
      </c>
      <c r="C123" s="261" t="s">
        <v>30</v>
      </c>
      <c r="D123" s="464" t="s">
        <v>98</v>
      </c>
      <c r="E123" s="604"/>
      <c r="F123" s="456"/>
      <c r="G123" s="374">
        <v>0.6</v>
      </c>
      <c r="H123" s="367">
        <v>0.03</v>
      </c>
      <c r="I123" s="375"/>
      <c r="J123" s="376">
        <f t="shared" si="21"/>
        <v>0</v>
      </c>
      <c r="K123" s="418"/>
      <c r="L123" s="364"/>
      <c r="M123" s="372"/>
      <c r="N123" s="556"/>
    </row>
    <row r="124" spans="1:14" x14ac:dyDescent="0.25">
      <c r="A124" s="373"/>
      <c r="B124" s="449" t="s">
        <v>31</v>
      </c>
      <c r="C124" s="261" t="s">
        <v>30</v>
      </c>
      <c r="D124" s="464" t="s">
        <v>98</v>
      </c>
      <c r="E124" s="604"/>
      <c r="F124" s="456"/>
      <c r="G124" s="374">
        <v>0.6</v>
      </c>
      <c r="H124" s="367">
        <v>0.03</v>
      </c>
      <c r="I124" s="375"/>
      <c r="J124" s="376">
        <f t="shared" si="21"/>
        <v>0</v>
      </c>
      <c r="K124" s="418"/>
      <c r="L124" s="364"/>
      <c r="M124" s="372"/>
      <c r="N124" s="556"/>
    </row>
    <row r="125" spans="1:14" ht="15" customHeight="1" x14ac:dyDescent="0.3">
      <c r="A125" s="373"/>
      <c r="B125" s="449" t="s">
        <v>31</v>
      </c>
      <c r="C125" s="261" t="s">
        <v>30</v>
      </c>
      <c r="D125" s="464" t="s">
        <v>98</v>
      </c>
      <c r="E125" s="604"/>
      <c r="F125" s="456"/>
      <c r="G125" s="374">
        <v>0.6</v>
      </c>
      <c r="H125" s="367">
        <v>0.03</v>
      </c>
      <c r="I125" s="375"/>
      <c r="J125" s="376">
        <f t="shared" si="21"/>
        <v>0</v>
      </c>
      <c r="K125" s="418"/>
      <c r="L125" s="364"/>
      <c r="M125" s="372"/>
      <c r="N125" s="553"/>
    </row>
    <row r="126" spans="1:14" ht="15" customHeight="1" x14ac:dyDescent="0.3">
      <c r="A126" s="373"/>
      <c r="B126" s="449" t="s">
        <v>31</v>
      </c>
      <c r="C126" s="261" t="s">
        <v>30</v>
      </c>
      <c r="D126" s="464" t="s">
        <v>98</v>
      </c>
      <c r="E126" s="604"/>
      <c r="F126" s="456"/>
      <c r="G126" s="374">
        <v>0.6</v>
      </c>
      <c r="H126" s="367">
        <v>0.03</v>
      </c>
      <c r="I126" s="375"/>
      <c r="J126" s="376">
        <f t="shared" si="21"/>
        <v>0</v>
      </c>
      <c r="K126" s="418"/>
      <c r="L126" s="364"/>
      <c r="M126" s="372"/>
      <c r="N126" s="553"/>
    </row>
    <row r="127" spans="1:14" x14ac:dyDescent="0.25">
      <c r="A127" s="373"/>
      <c r="B127" s="449" t="s">
        <v>31</v>
      </c>
      <c r="C127" s="261" t="s">
        <v>30</v>
      </c>
      <c r="D127" s="464" t="s">
        <v>98</v>
      </c>
      <c r="E127" s="604"/>
      <c r="F127" s="456"/>
      <c r="G127" s="374">
        <v>0.6</v>
      </c>
      <c r="H127" s="367">
        <v>0.03</v>
      </c>
      <c r="I127" s="375"/>
      <c r="J127" s="376">
        <f t="shared" si="21"/>
        <v>0</v>
      </c>
      <c r="K127" s="418"/>
      <c r="L127" s="364"/>
      <c r="M127" s="372"/>
      <c r="N127" s="556"/>
    </row>
    <row r="128" spans="1:14" x14ac:dyDescent="0.25">
      <c r="A128" s="373"/>
      <c r="B128" s="449" t="s">
        <v>31</v>
      </c>
      <c r="C128" s="261" t="s">
        <v>30</v>
      </c>
      <c r="D128" s="464" t="s">
        <v>100</v>
      </c>
      <c r="E128" s="604"/>
      <c r="F128" s="456"/>
      <c r="G128" s="374">
        <v>0.6</v>
      </c>
      <c r="H128" s="367">
        <v>0.03</v>
      </c>
      <c r="I128" s="375"/>
      <c r="J128" s="376">
        <f t="shared" si="21"/>
        <v>0</v>
      </c>
      <c r="K128" s="418"/>
      <c r="L128" s="364"/>
      <c r="M128" s="372"/>
      <c r="N128" s="556"/>
    </row>
    <row r="129" spans="1:14" ht="15" customHeight="1" x14ac:dyDescent="0.3">
      <c r="A129" s="373"/>
      <c r="B129" s="449" t="s">
        <v>31</v>
      </c>
      <c r="C129" s="261" t="s">
        <v>30</v>
      </c>
      <c r="D129" s="464" t="s">
        <v>100</v>
      </c>
      <c r="E129" s="604"/>
      <c r="F129" s="456"/>
      <c r="G129" s="374">
        <v>0.6</v>
      </c>
      <c r="H129" s="367">
        <v>0.03</v>
      </c>
      <c r="I129" s="375"/>
      <c r="J129" s="376">
        <f t="shared" si="21"/>
        <v>0</v>
      </c>
      <c r="K129" s="418"/>
      <c r="L129" s="364"/>
      <c r="M129" s="372"/>
      <c r="N129" s="553"/>
    </row>
    <row r="130" spans="1:14" ht="15" customHeight="1" x14ac:dyDescent="0.3">
      <c r="A130" s="373"/>
      <c r="B130" s="449" t="s">
        <v>31</v>
      </c>
      <c r="C130" s="261" t="s">
        <v>30</v>
      </c>
      <c r="D130" s="464" t="s">
        <v>100</v>
      </c>
      <c r="E130" s="604"/>
      <c r="F130" s="456"/>
      <c r="G130" s="374">
        <v>0.6</v>
      </c>
      <c r="H130" s="367">
        <v>0.03</v>
      </c>
      <c r="I130" s="375"/>
      <c r="J130" s="376">
        <f t="shared" si="21"/>
        <v>0</v>
      </c>
      <c r="K130" s="418"/>
      <c r="L130" s="364"/>
      <c r="M130" s="372"/>
      <c r="N130" s="553"/>
    </row>
    <row r="131" spans="1:14" x14ac:dyDescent="0.25">
      <c r="A131" s="373"/>
      <c r="B131" s="449" t="s">
        <v>31</v>
      </c>
      <c r="C131" s="261" t="s">
        <v>30</v>
      </c>
      <c r="D131" s="464" t="s">
        <v>100</v>
      </c>
      <c r="E131" s="604"/>
      <c r="F131" s="456"/>
      <c r="G131" s="374">
        <v>0.6</v>
      </c>
      <c r="H131" s="367">
        <v>0.03</v>
      </c>
      <c r="I131" s="375"/>
      <c r="J131" s="376">
        <f t="shared" si="21"/>
        <v>0</v>
      </c>
      <c r="K131" s="418"/>
      <c r="L131" s="364"/>
      <c r="M131" s="372"/>
      <c r="N131" s="556"/>
    </row>
    <row r="132" spans="1:14" x14ac:dyDescent="0.25">
      <c r="A132" s="373"/>
      <c r="B132" s="449" t="s">
        <v>31</v>
      </c>
      <c r="C132" s="261" t="s">
        <v>30</v>
      </c>
      <c r="D132" s="464" t="s">
        <v>100</v>
      </c>
      <c r="E132" s="604"/>
      <c r="F132" s="456"/>
      <c r="G132" s="374">
        <v>0.6</v>
      </c>
      <c r="H132" s="367">
        <v>0.03</v>
      </c>
      <c r="I132" s="375"/>
      <c r="J132" s="376">
        <f t="shared" si="21"/>
        <v>0</v>
      </c>
      <c r="K132" s="418"/>
      <c r="L132" s="364"/>
      <c r="M132" s="372"/>
      <c r="N132" s="556"/>
    </row>
    <row r="133" spans="1:14" ht="15" customHeight="1" x14ac:dyDescent="0.3">
      <c r="A133" s="373"/>
      <c r="B133" s="449" t="s">
        <v>31</v>
      </c>
      <c r="C133" s="261" t="s">
        <v>30</v>
      </c>
      <c r="D133" s="464" t="s">
        <v>100</v>
      </c>
      <c r="E133" s="604"/>
      <c r="F133" s="456"/>
      <c r="G133" s="374">
        <v>0.6</v>
      </c>
      <c r="H133" s="367">
        <v>0.02</v>
      </c>
      <c r="I133" s="375"/>
      <c r="J133" s="376">
        <f t="shared" si="21"/>
        <v>0</v>
      </c>
      <c r="K133" s="418"/>
      <c r="L133" s="364"/>
      <c r="M133" s="372"/>
      <c r="N133" s="553"/>
    </row>
    <row r="134" spans="1:14" ht="15" customHeight="1" x14ac:dyDescent="0.3">
      <c r="A134" s="373"/>
      <c r="B134" s="449" t="s">
        <v>31</v>
      </c>
      <c r="C134" s="261" t="s">
        <v>30</v>
      </c>
      <c r="D134" s="464" t="s">
        <v>100</v>
      </c>
      <c r="E134" s="604"/>
      <c r="F134" s="456"/>
      <c r="G134" s="374">
        <v>0.6</v>
      </c>
      <c r="H134" s="367">
        <v>0.02</v>
      </c>
      <c r="I134" s="375"/>
      <c r="J134" s="376">
        <f t="shared" si="21"/>
        <v>0</v>
      </c>
      <c r="K134" s="418"/>
      <c r="L134" s="364"/>
      <c r="M134" s="372"/>
      <c r="N134" s="553"/>
    </row>
    <row r="135" spans="1:14" x14ac:dyDescent="0.25">
      <c r="A135" s="373"/>
      <c r="B135" s="449" t="s">
        <v>31</v>
      </c>
      <c r="C135" s="261" t="s">
        <v>30</v>
      </c>
      <c r="D135" s="464" t="s">
        <v>100</v>
      </c>
      <c r="E135" s="604"/>
      <c r="F135" s="456"/>
      <c r="G135" s="374">
        <v>0.6</v>
      </c>
      <c r="H135" s="367">
        <v>0.02</v>
      </c>
      <c r="I135" s="375"/>
      <c r="J135" s="376">
        <f t="shared" si="21"/>
        <v>0</v>
      </c>
      <c r="K135" s="418"/>
      <c r="L135" s="364"/>
      <c r="M135" s="372"/>
      <c r="N135" s="556"/>
    </row>
    <row r="136" spans="1:14" x14ac:dyDescent="0.25">
      <c r="A136" s="373"/>
      <c r="B136" s="449" t="s">
        <v>31</v>
      </c>
      <c r="C136" s="261" t="s">
        <v>30</v>
      </c>
      <c r="D136" s="464" t="s">
        <v>100</v>
      </c>
      <c r="E136" s="604"/>
      <c r="F136" s="456"/>
      <c r="G136" s="374">
        <v>0.6</v>
      </c>
      <c r="H136" s="367">
        <v>0.02</v>
      </c>
      <c r="I136" s="375"/>
      <c r="J136" s="376">
        <f t="shared" si="21"/>
        <v>0</v>
      </c>
      <c r="K136" s="418"/>
      <c r="L136" s="364"/>
      <c r="M136" s="372"/>
      <c r="N136" s="556"/>
    </row>
    <row r="137" spans="1:14" ht="15" customHeight="1" x14ac:dyDescent="0.3">
      <c r="A137" s="373"/>
      <c r="B137" s="449" t="s">
        <v>31</v>
      </c>
      <c r="C137" s="261" t="s">
        <v>30</v>
      </c>
      <c r="D137" s="464" t="s">
        <v>100</v>
      </c>
      <c r="E137" s="604"/>
      <c r="F137" s="456"/>
      <c r="G137" s="374">
        <v>0.6</v>
      </c>
      <c r="H137" s="367">
        <v>0.02</v>
      </c>
      <c r="I137" s="375"/>
      <c r="J137" s="376">
        <f t="shared" si="21"/>
        <v>0</v>
      </c>
      <c r="K137" s="418"/>
      <c r="L137" s="364"/>
      <c r="M137" s="372"/>
      <c r="N137" s="553"/>
    </row>
    <row r="138" spans="1:14" ht="15" customHeight="1" x14ac:dyDescent="0.3">
      <c r="A138" s="373"/>
      <c r="B138" s="449" t="s">
        <v>31</v>
      </c>
      <c r="C138" s="261" t="s">
        <v>30</v>
      </c>
      <c r="D138" s="464" t="s">
        <v>100</v>
      </c>
      <c r="E138" s="604"/>
      <c r="F138" s="456"/>
      <c r="G138" s="374">
        <v>0.6</v>
      </c>
      <c r="H138" s="367">
        <v>0.02</v>
      </c>
      <c r="I138" s="375"/>
      <c r="J138" s="376">
        <f t="shared" si="21"/>
        <v>0</v>
      </c>
      <c r="K138" s="418"/>
      <c r="L138" s="364"/>
      <c r="M138" s="372"/>
      <c r="N138" s="553"/>
    </row>
    <row r="139" spans="1:14" x14ac:dyDescent="0.25">
      <c r="A139" s="373"/>
      <c r="B139" s="449" t="s">
        <v>31</v>
      </c>
      <c r="C139" s="261" t="s">
        <v>30</v>
      </c>
      <c r="D139" s="464" t="s">
        <v>100</v>
      </c>
      <c r="E139" s="604"/>
      <c r="F139" s="456"/>
      <c r="G139" s="374">
        <v>0.6</v>
      </c>
      <c r="H139" s="367">
        <v>0.02</v>
      </c>
      <c r="I139" s="375"/>
      <c r="J139" s="376">
        <f t="shared" si="21"/>
        <v>0</v>
      </c>
      <c r="K139" s="418"/>
      <c r="L139" s="364"/>
      <c r="M139" s="372"/>
      <c r="N139" s="556"/>
    </row>
    <row r="140" spans="1:14" x14ac:dyDescent="0.25">
      <c r="A140" s="373"/>
      <c r="B140" s="449" t="s">
        <v>31</v>
      </c>
      <c r="C140" s="261" t="s">
        <v>30</v>
      </c>
      <c r="D140" s="464" t="s">
        <v>100</v>
      </c>
      <c r="E140" s="604"/>
      <c r="F140" s="456"/>
      <c r="G140" s="374">
        <v>0.6</v>
      </c>
      <c r="H140" s="367">
        <v>0.02</v>
      </c>
      <c r="I140" s="375"/>
      <c r="J140" s="376">
        <f t="shared" si="21"/>
        <v>0</v>
      </c>
      <c r="K140" s="418"/>
      <c r="L140" s="364"/>
      <c r="M140" s="372"/>
      <c r="N140" s="556"/>
    </row>
    <row r="141" spans="1:14" ht="15" customHeight="1" x14ac:dyDescent="0.3">
      <c r="A141" s="373"/>
      <c r="B141" s="449" t="s">
        <v>31</v>
      </c>
      <c r="C141" s="261" t="s">
        <v>30</v>
      </c>
      <c r="D141" s="464" t="s">
        <v>100</v>
      </c>
      <c r="E141" s="604"/>
      <c r="F141" s="456"/>
      <c r="G141" s="374">
        <v>0.6</v>
      </c>
      <c r="H141" s="367">
        <v>0.02</v>
      </c>
      <c r="I141" s="375"/>
      <c r="J141" s="376">
        <f t="shared" si="17"/>
        <v>0</v>
      </c>
      <c r="K141" s="418"/>
      <c r="L141" s="364"/>
      <c r="M141" s="372"/>
      <c r="N141" s="553"/>
    </row>
    <row r="142" spans="1:14" x14ac:dyDescent="0.25">
      <c r="A142" s="373"/>
      <c r="B142" s="449" t="s">
        <v>31</v>
      </c>
      <c r="C142" s="261" t="s">
        <v>30</v>
      </c>
      <c r="D142" s="464" t="s">
        <v>100</v>
      </c>
      <c r="E142" s="604"/>
      <c r="F142" s="456"/>
      <c r="G142" s="374">
        <v>0.6</v>
      </c>
      <c r="H142" s="367">
        <v>0.03</v>
      </c>
      <c r="I142" s="375"/>
      <c r="J142" s="376">
        <f t="shared" si="17"/>
        <v>0</v>
      </c>
      <c r="K142" s="418"/>
      <c r="L142" s="364"/>
      <c r="M142" s="372"/>
      <c r="N142" s="556"/>
    </row>
    <row r="143" spans="1:14" x14ac:dyDescent="0.25">
      <c r="A143" s="373"/>
      <c r="B143" s="449" t="s">
        <v>31</v>
      </c>
      <c r="C143" s="261" t="s">
        <v>30</v>
      </c>
      <c r="D143" s="464" t="s">
        <v>100</v>
      </c>
      <c r="E143" s="604"/>
      <c r="F143" s="456"/>
      <c r="G143" s="374">
        <v>0.6</v>
      </c>
      <c r="H143" s="367">
        <v>0.03</v>
      </c>
      <c r="I143" s="375"/>
      <c r="J143" s="376">
        <f t="shared" si="17"/>
        <v>0</v>
      </c>
      <c r="K143" s="418"/>
      <c r="L143" s="364"/>
      <c r="M143" s="372"/>
      <c r="N143" s="556"/>
    </row>
    <row r="144" spans="1:14" x14ac:dyDescent="0.25">
      <c r="A144" s="373"/>
      <c r="B144" s="449" t="s">
        <v>31</v>
      </c>
      <c r="C144" s="261" t="s">
        <v>30</v>
      </c>
      <c r="D144" s="464" t="s">
        <v>100</v>
      </c>
      <c r="E144" s="604"/>
      <c r="F144" s="456"/>
      <c r="G144" s="374">
        <v>0.6</v>
      </c>
      <c r="H144" s="367">
        <v>0.03</v>
      </c>
      <c r="I144" s="375"/>
      <c r="J144" s="376">
        <f t="shared" si="16"/>
        <v>0</v>
      </c>
      <c r="K144" s="418"/>
      <c r="L144" s="364"/>
      <c r="M144" s="372"/>
      <c r="N144" s="556"/>
    </row>
    <row r="145" spans="1:14" x14ac:dyDescent="0.25">
      <c r="A145" s="373"/>
      <c r="B145" s="449" t="s">
        <v>31</v>
      </c>
      <c r="C145" s="261" t="s">
        <v>30</v>
      </c>
      <c r="D145" s="464" t="s">
        <v>100</v>
      </c>
      <c r="E145" s="604"/>
      <c r="F145" s="456"/>
      <c r="G145" s="374">
        <v>0.6</v>
      </c>
      <c r="H145" s="367">
        <v>0.03</v>
      </c>
      <c r="I145" s="375"/>
      <c r="J145" s="376">
        <f t="shared" si="16"/>
        <v>0</v>
      </c>
      <c r="K145" s="418"/>
      <c r="L145" s="364"/>
      <c r="M145" s="372"/>
      <c r="N145" s="556"/>
    </row>
    <row r="146" spans="1:14" ht="15" customHeight="1" x14ac:dyDescent="0.3">
      <c r="A146" s="373"/>
      <c r="B146" s="449" t="s">
        <v>31</v>
      </c>
      <c r="C146" s="261" t="s">
        <v>30</v>
      </c>
      <c r="D146" s="464" t="s">
        <v>100</v>
      </c>
      <c r="E146" s="604"/>
      <c r="F146" s="456"/>
      <c r="G146" s="374">
        <v>0.6</v>
      </c>
      <c r="H146" s="367">
        <v>0.03</v>
      </c>
      <c r="I146" s="375"/>
      <c r="J146" s="376">
        <f t="shared" si="16"/>
        <v>0</v>
      </c>
      <c r="K146" s="418"/>
      <c r="L146" s="364"/>
      <c r="M146" s="372"/>
      <c r="N146" s="553"/>
    </row>
    <row r="147" spans="1:14" ht="15" customHeight="1" x14ac:dyDescent="0.3">
      <c r="A147" s="373"/>
      <c r="B147" s="449" t="s">
        <v>31</v>
      </c>
      <c r="C147" s="261" t="s">
        <v>30</v>
      </c>
      <c r="D147" s="464" t="s">
        <v>100</v>
      </c>
      <c r="E147" s="604"/>
      <c r="F147" s="456"/>
      <c r="G147" s="374">
        <v>0.6</v>
      </c>
      <c r="H147" s="367">
        <v>0.03</v>
      </c>
      <c r="I147" s="375"/>
      <c r="J147" s="376">
        <f t="shared" si="16"/>
        <v>0</v>
      </c>
      <c r="K147" s="418"/>
      <c r="L147" s="364"/>
      <c r="M147" s="372"/>
      <c r="N147" s="553"/>
    </row>
    <row r="148" spans="1:14" x14ac:dyDescent="0.25">
      <c r="A148" s="373"/>
      <c r="B148" s="449" t="s">
        <v>31</v>
      </c>
      <c r="C148" s="261" t="s">
        <v>30</v>
      </c>
      <c r="D148" s="464" t="s">
        <v>100</v>
      </c>
      <c r="E148" s="604"/>
      <c r="F148" s="456"/>
      <c r="G148" s="374">
        <v>0.6</v>
      </c>
      <c r="H148" s="367">
        <v>0.03</v>
      </c>
      <c r="I148" s="375"/>
      <c r="J148" s="376">
        <f t="shared" si="16"/>
        <v>0</v>
      </c>
      <c r="K148" s="418"/>
      <c r="L148" s="364"/>
      <c r="M148" s="372"/>
      <c r="N148" s="556"/>
    </row>
    <row r="149" spans="1:14" x14ac:dyDescent="0.25">
      <c r="A149" s="373"/>
      <c r="B149" s="449" t="s">
        <v>31</v>
      </c>
      <c r="C149" s="261" t="s">
        <v>30</v>
      </c>
      <c r="D149" s="464" t="s">
        <v>100</v>
      </c>
      <c r="E149" s="604"/>
      <c r="F149" s="456"/>
      <c r="G149" s="374">
        <v>0.6</v>
      </c>
      <c r="H149" s="367">
        <v>0.03</v>
      </c>
      <c r="I149" s="375"/>
      <c r="J149" s="376">
        <f t="shared" si="16"/>
        <v>0</v>
      </c>
      <c r="K149" s="418"/>
      <c r="L149" s="364"/>
      <c r="M149" s="372"/>
      <c r="N149" s="556"/>
    </row>
    <row r="150" spans="1:14" ht="15" customHeight="1" x14ac:dyDescent="0.3">
      <c r="A150" s="373"/>
      <c r="B150" s="449" t="s">
        <v>31</v>
      </c>
      <c r="C150" s="261" t="s">
        <v>30</v>
      </c>
      <c r="D150" s="464" t="s">
        <v>100</v>
      </c>
      <c r="E150" s="604"/>
      <c r="F150" s="456"/>
      <c r="G150" s="374">
        <v>0.6</v>
      </c>
      <c r="H150" s="367">
        <v>0.03</v>
      </c>
      <c r="I150" s="375"/>
      <c r="J150" s="376">
        <f t="shared" si="16"/>
        <v>0</v>
      </c>
      <c r="K150" s="418"/>
      <c r="L150" s="364"/>
      <c r="M150" s="372"/>
      <c r="N150" s="553"/>
    </row>
    <row r="151" spans="1:14" ht="15" customHeight="1" x14ac:dyDescent="0.3">
      <c r="A151" s="373"/>
      <c r="B151" s="449" t="s">
        <v>31</v>
      </c>
      <c r="C151" s="261" t="s">
        <v>30</v>
      </c>
      <c r="D151" s="464" t="s">
        <v>100</v>
      </c>
      <c r="E151" s="604"/>
      <c r="F151" s="456"/>
      <c r="G151" s="374">
        <v>0.6</v>
      </c>
      <c r="H151" s="367">
        <v>0.03</v>
      </c>
      <c r="I151" s="375"/>
      <c r="J151" s="376">
        <f t="shared" si="16"/>
        <v>0</v>
      </c>
      <c r="K151" s="418"/>
      <c r="L151" s="364"/>
      <c r="M151" s="372"/>
      <c r="N151" s="553"/>
    </row>
    <row r="152" spans="1:14" x14ac:dyDescent="0.25">
      <c r="A152" s="373"/>
      <c r="B152" s="449" t="s">
        <v>31</v>
      </c>
      <c r="C152" s="261" t="s">
        <v>30</v>
      </c>
      <c r="D152" s="464" t="s">
        <v>100</v>
      </c>
      <c r="E152" s="604"/>
      <c r="F152" s="456"/>
      <c r="G152" s="374">
        <v>0.6</v>
      </c>
      <c r="H152" s="367">
        <v>0.03</v>
      </c>
      <c r="I152" s="375"/>
      <c r="J152" s="376">
        <f t="shared" si="16"/>
        <v>0</v>
      </c>
      <c r="K152" s="418"/>
      <c r="L152" s="364"/>
      <c r="M152" s="372"/>
      <c r="N152" s="556"/>
    </row>
    <row r="153" spans="1:14" x14ac:dyDescent="0.25">
      <c r="A153" s="373"/>
      <c r="B153" s="449" t="s">
        <v>31</v>
      </c>
      <c r="C153" s="261" t="s">
        <v>30</v>
      </c>
      <c r="D153" s="464" t="s">
        <v>98</v>
      </c>
      <c r="E153" s="604"/>
      <c r="F153" s="456"/>
      <c r="G153" s="374">
        <v>0.6</v>
      </c>
      <c r="H153" s="367">
        <v>0.03</v>
      </c>
      <c r="I153" s="375"/>
      <c r="J153" s="376">
        <f t="shared" si="16"/>
        <v>0</v>
      </c>
      <c r="K153" s="418"/>
      <c r="L153" s="364"/>
      <c r="M153" s="372"/>
      <c r="N153" s="556"/>
    </row>
    <row r="154" spans="1:14" ht="15" customHeight="1" x14ac:dyDescent="0.3">
      <c r="A154" s="373"/>
      <c r="B154" s="449" t="s">
        <v>31</v>
      </c>
      <c r="C154" s="261" t="s">
        <v>30</v>
      </c>
      <c r="D154" s="464" t="s">
        <v>98</v>
      </c>
      <c r="E154" s="604"/>
      <c r="F154" s="456"/>
      <c r="G154" s="374">
        <v>0.6</v>
      </c>
      <c r="H154" s="367">
        <v>0.03</v>
      </c>
      <c r="I154" s="375"/>
      <c r="J154" s="376">
        <f t="shared" si="16"/>
        <v>0</v>
      </c>
      <c r="K154" s="418"/>
      <c r="L154" s="364"/>
      <c r="M154" s="372"/>
      <c r="N154" s="553"/>
    </row>
    <row r="155" spans="1:14" ht="15" customHeight="1" x14ac:dyDescent="0.3">
      <c r="A155" s="373"/>
      <c r="B155" s="449" t="s">
        <v>31</v>
      </c>
      <c r="C155" s="261" t="s">
        <v>30</v>
      </c>
      <c r="D155" s="464" t="s">
        <v>98</v>
      </c>
      <c r="E155" s="604"/>
      <c r="F155" s="456"/>
      <c r="G155" s="374">
        <v>0.6</v>
      </c>
      <c r="H155" s="367">
        <v>0.03</v>
      </c>
      <c r="I155" s="375"/>
      <c r="J155" s="376">
        <f t="shared" si="16"/>
        <v>0</v>
      </c>
      <c r="K155" s="418"/>
      <c r="L155" s="364"/>
      <c r="M155" s="372"/>
      <c r="N155" s="553"/>
    </row>
    <row r="156" spans="1:14" x14ac:dyDescent="0.25">
      <c r="A156" s="373"/>
      <c r="B156" s="449" t="s">
        <v>31</v>
      </c>
      <c r="C156" s="261" t="s">
        <v>30</v>
      </c>
      <c r="D156" s="464" t="s">
        <v>98</v>
      </c>
      <c r="E156" s="604"/>
      <c r="F156" s="456"/>
      <c r="G156" s="374">
        <v>0.6</v>
      </c>
      <c r="H156" s="367">
        <v>0.03</v>
      </c>
      <c r="I156" s="375"/>
      <c r="J156" s="376">
        <f t="shared" ref="J156:J182" si="22">F156*G156*I156</f>
        <v>0</v>
      </c>
      <c r="K156" s="418"/>
      <c r="L156" s="364"/>
      <c r="M156" s="372"/>
      <c r="N156" s="556"/>
    </row>
    <row r="157" spans="1:14" x14ac:dyDescent="0.25">
      <c r="A157" s="373"/>
      <c r="B157" s="449" t="s">
        <v>31</v>
      </c>
      <c r="C157" s="261" t="s">
        <v>30</v>
      </c>
      <c r="D157" s="464" t="s">
        <v>98</v>
      </c>
      <c r="E157" s="604"/>
      <c r="F157" s="456"/>
      <c r="G157" s="374">
        <v>0.6</v>
      </c>
      <c r="H157" s="367">
        <v>0.03</v>
      </c>
      <c r="I157" s="375"/>
      <c r="J157" s="376">
        <f t="shared" si="22"/>
        <v>0</v>
      </c>
      <c r="K157" s="418"/>
      <c r="L157" s="364"/>
      <c r="M157" s="372"/>
      <c r="N157" s="556"/>
    </row>
    <row r="158" spans="1:14" ht="15" customHeight="1" x14ac:dyDescent="0.3">
      <c r="A158" s="373"/>
      <c r="B158" s="449" t="s">
        <v>31</v>
      </c>
      <c r="C158" s="261" t="s">
        <v>30</v>
      </c>
      <c r="D158" s="464" t="s">
        <v>98</v>
      </c>
      <c r="E158" s="604"/>
      <c r="F158" s="456"/>
      <c r="G158" s="374">
        <v>0.6</v>
      </c>
      <c r="H158" s="367">
        <v>0.03</v>
      </c>
      <c r="I158" s="375"/>
      <c r="J158" s="376">
        <f t="shared" si="22"/>
        <v>0</v>
      </c>
      <c r="K158" s="418"/>
      <c r="L158" s="364"/>
      <c r="M158" s="372"/>
      <c r="N158" s="553"/>
    </row>
    <row r="159" spans="1:14" ht="15" customHeight="1" x14ac:dyDescent="0.3">
      <c r="A159" s="373"/>
      <c r="B159" s="449" t="s">
        <v>31</v>
      </c>
      <c r="C159" s="261" t="s">
        <v>30</v>
      </c>
      <c r="D159" s="464" t="s">
        <v>98</v>
      </c>
      <c r="E159" s="604"/>
      <c r="F159" s="456"/>
      <c r="G159" s="374">
        <v>0.6</v>
      </c>
      <c r="H159" s="367">
        <v>0.03</v>
      </c>
      <c r="I159" s="375"/>
      <c r="J159" s="376">
        <f t="shared" si="22"/>
        <v>0</v>
      </c>
      <c r="K159" s="418"/>
      <c r="L159" s="364"/>
      <c r="M159" s="372"/>
      <c r="N159" s="553"/>
    </row>
    <row r="160" spans="1:14" x14ac:dyDescent="0.25">
      <c r="A160" s="373"/>
      <c r="B160" s="449" t="s">
        <v>31</v>
      </c>
      <c r="C160" s="261" t="s">
        <v>30</v>
      </c>
      <c r="D160" s="464" t="s">
        <v>98</v>
      </c>
      <c r="E160" s="604"/>
      <c r="F160" s="456"/>
      <c r="G160" s="374">
        <v>0.6</v>
      </c>
      <c r="H160" s="367">
        <v>0.03</v>
      </c>
      <c r="I160" s="375"/>
      <c r="J160" s="376">
        <f t="shared" si="22"/>
        <v>0</v>
      </c>
      <c r="K160" s="418"/>
      <c r="L160" s="364"/>
      <c r="M160" s="372"/>
      <c r="N160" s="556"/>
    </row>
    <row r="161" spans="1:14" x14ac:dyDescent="0.25">
      <c r="A161" s="373"/>
      <c r="B161" s="449" t="s">
        <v>31</v>
      </c>
      <c r="C161" s="261" t="s">
        <v>30</v>
      </c>
      <c r="D161" s="464" t="s">
        <v>98</v>
      </c>
      <c r="E161" s="604"/>
      <c r="F161" s="456"/>
      <c r="G161" s="374">
        <v>0.6</v>
      </c>
      <c r="H161" s="367">
        <v>0.03</v>
      </c>
      <c r="I161" s="375"/>
      <c r="J161" s="376">
        <f t="shared" si="22"/>
        <v>0</v>
      </c>
      <c r="K161" s="418"/>
      <c r="L161" s="364"/>
      <c r="M161" s="372"/>
      <c r="N161" s="556"/>
    </row>
    <row r="162" spans="1:14" x14ac:dyDescent="0.25">
      <c r="A162" s="373"/>
      <c r="B162" s="449" t="s">
        <v>31</v>
      </c>
      <c r="C162" s="261" t="s">
        <v>30</v>
      </c>
      <c r="D162" s="464" t="s">
        <v>98</v>
      </c>
      <c r="E162" s="604"/>
      <c r="F162" s="456"/>
      <c r="G162" s="374">
        <v>0.6</v>
      </c>
      <c r="H162" s="367">
        <v>0.03</v>
      </c>
      <c r="I162" s="375"/>
      <c r="J162" s="376">
        <f t="shared" si="22"/>
        <v>0</v>
      </c>
      <c r="K162" s="418"/>
      <c r="L162" s="364"/>
      <c r="M162" s="372"/>
      <c r="N162" s="556"/>
    </row>
    <row r="163" spans="1:14" ht="15" customHeight="1" x14ac:dyDescent="0.3">
      <c r="A163" s="373"/>
      <c r="B163" s="449" t="s">
        <v>31</v>
      </c>
      <c r="C163" s="261" t="s">
        <v>30</v>
      </c>
      <c r="D163" s="464" t="s">
        <v>98</v>
      </c>
      <c r="E163" s="604"/>
      <c r="F163" s="456"/>
      <c r="G163" s="374">
        <v>0.6</v>
      </c>
      <c r="H163" s="367">
        <v>0.03</v>
      </c>
      <c r="I163" s="375"/>
      <c r="J163" s="376">
        <f t="shared" si="22"/>
        <v>0</v>
      </c>
      <c r="K163" s="418"/>
      <c r="L163" s="364"/>
      <c r="M163" s="372"/>
      <c r="N163" s="553"/>
    </row>
    <row r="164" spans="1:14" ht="15" customHeight="1" x14ac:dyDescent="0.3">
      <c r="A164" s="373"/>
      <c r="B164" s="449" t="s">
        <v>31</v>
      </c>
      <c r="C164" s="261" t="s">
        <v>30</v>
      </c>
      <c r="D164" s="464" t="s">
        <v>98</v>
      </c>
      <c r="E164" s="604"/>
      <c r="F164" s="456"/>
      <c r="G164" s="374">
        <v>0.6</v>
      </c>
      <c r="H164" s="367">
        <v>0.03</v>
      </c>
      <c r="I164" s="375"/>
      <c r="J164" s="376">
        <f t="shared" si="22"/>
        <v>0</v>
      </c>
      <c r="K164" s="418"/>
      <c r="L164" s="364"/>
      <c r="M164" s="372"/>
      <c r="N164" s="553"/>
    </row>
    <row r="165" spans="1:14" x14ac:dyDescent="0.25">
      <c r="A165" s="373"/>
      <c r="B165" s="449" t="s">
        <v>31</v>
      </c>
      <c r="C165" s="261" t="s">
        <v>30</v>
      </c>
      <c r="D165" s="464" t="s">
        <v>98</v>
      </c>
      <c r="E165" s="604"/>
      <c r="F165" s="456"/>
      <c r="G165" s="374">
        <v>0.6</v>
      </c>
      <c r="H165" s="367">
        <v>0.03</v>
      </c>
      <c r="I165" s="375"/>
      <c r="J165" s="376">
        <f t="shared" si="22"/>
        <v>0</v>
      </c>
      <c r="K165" s="418"/>
      <c r="L165" s="364"/>
      <c r="M165" s="372"/>
      <c r="N165" s="556"/>
    </row>
    <row r="166" spans="1:14" x14ac:dyDescent="0.25">
      <c r="A166" s="373"/>
      <c r="B166" s="449" t="s">
        <v>31</v>
      </c>
      <c r="C166" s="261" t="s">
        <v>30</v>
      </c>
      <c r="D166" s="464" t="s">
        <v>100</v>
      </c>
      <c r="E166" s="604"/>
      <c r="F166" s="456"/>
      <c r="G166" s="374">
        <v>0.6</v>
      </c>
      <c r="H166" s="367">
        <v>0.03</v>
      </c>
      <c r="I166" s="375"/>
      <c r="J166" s="376">
        <f t="shared" ref="J166:J176" si="23">F166*G166*I166</f>
        <v>0</v>
      </c>
      <c r="K166" s="418"/>
      <c r="L166" s="364"/>
      <c r="M166" s="372"/>
      <c r="N166" s="556"/>
    </row>
    <row r="167" spans="1:14" x14ac:dyDescent="0.25">
      <c r="A167" s="373"/>
      <c r="B167" s="449" t="s">
        <v>31</v>
      </c>
      <c r="C167" s="261" t="s">
        <v>30</v>
      </c>
      <c r="D167" s="464" t="s">
        <v>100</v>
      </c>
      <c r="E167" s="604"/>
      <c r="F167" s="456"/>
      <c r="G167" s="374">
        <v>0.6</v>
      </c>
      <c r="H167" s="367">
        <v>0.03</v>
      </c>
      <c r="I167" s="375"/>
      <c r="J167" s="376">
        <f t="shared" si="23"/>
        <v>0</v>
      </c>
      <c r="K167" s="418"/>
      <c r="L167" s="364"/>
      <c r="M167" s="372"/>
      <c r="N167" s="556"/>
    </row>
    <row r="168" spans="1:14" ht="15" customHeight="1" x14ac:dyDescent="0.3">
      <c r="A168" s="373"/>
      <c r="B168" s="449" t="s">
        <v>31</v>
      </c>
      <c r="C168" s="261" t="s">
        <v>30</v>
      </c>
      <c r="D168" s="464" t="s">
        <v>100</v>
      </c>
      <c r="E168" s="604"/>
      <c r="F168" s="456"/>
      <c r="G168" s="374">
        <v>0.6</v>
      </c>
      <c r="H168" s="367">
        <v>0.03</v>
      </c>
      <c r="I168" s="375"/>
      <c r="J168" s="376">
        <f t="shared" si="23"/>
        <v>0</v>
      </c>
      <c r="K168" s="418"/>
      <c r="L168" s="364"/>
      <c r="M168" s="372"/>
      <c r="N168" s="553"/>
    </row>
    <row r="169" spans="1:14" ht="15" customHeight="1" x14ac:dyDescent="0.3">
      <c r="A169" s="373"/>
      <c r="B169" s="449" t="s">
        <v>31</v>
      </c>
      <c r="C169" s="261" t="s">
        <v>30</v>
      </c>
      <c r="D169" s="464" t="s">
        <v>100</v>
      </c>
      <c r="E169" s="604"/>
      <c r="F169" s="456"/>
      <c r="G169" s="374">
        <v>0.6</v>
      </c>
      <c r="H169" s="367">
        <v>0.03</v>
      </c>
      <c r="I169" s="375"/>
      <c r="J169" s="376">
        <f t="shared" si="23"/>
        <v>0</v>
      </c>
      <c r="K169" s="418"/>
      <c r="L169" s="364"/>
      <c r="M169" s="372"/>
      <c r="N169" s="553"/>
    </row>
    <row r="170" spans="1:14" x14ac:dyDescent="0.25">
      <c r="A170" s="373"/>
      <c r="B170" s="449" t="s">
        <v>31</v>
      </c>
      <c r="C170" s="261" t="s">
        <v>30</v>
      </c>
      <c r="D170" s="464" t="s">
        <v>100</v>
      </c>
      <c r="E170" s="604"/>
      <c r="F170" s="456"/>
      <c r="G170" s="374">
        <v>0.6</v>
      </c>
      <c r="H170" s="367">
        <v>0.03</v>
      </c>
      <c r="I170" s="375"/>
      <c r="J170" s="376">
        <f t="shared" si="23"/>
        <v>0</v>
      </c>
      <c r="K170" s="418"/>
      <c r="L170" s="364"/>
      <c r="M170" s="372"/>
      <c r="N170" s="556"/>
    </row>
    <row r="171" spans="1:14" x14ac:dyDescent="0.25">
      <c r="A171" s="373"/>
      <c r="B171" s="449" t="s">
        <v>31</v>
      </c>
      <c r="C171" s="261" t="s">
        <v>30</v>
      </c>
      <c r="D171" s="464" t="s">
        <v>100</v>
      </c>
      <c r="E171" s="604"/>
      <c r="F171" s="456"/>
      <c r="G171" s="374">
        <v>0.6</v>
      </c>
      <c r="H171" s="367">
        <v>0.03</v>
      </c>
      <c r="I171" s="375"/>
      <c r="J171" s="376">
        <f t="shared" si="23"/>
        <v>0</v>
      </c>
      <c r="K171" s="418"/>
      <c r="L171" s="364"/>
      <c r="M171" s="372"/>
      <c r="N171" s="556"/>
    </row>
    <row r="172" spans="1:14" x14ac:dyDescent="0.25">
      <c r="A172" s="373"/>
      <c r="B172" s="449" t="s">
        <v>31</v>
      </c>
      <c r="C172" s="261" t="s">
        <v>30</v>
      </c>
      <c r="D172" s="464" t="s">
        <v>100</v>
      </c>
      <c r="E172" s="604"/>
      <c r="F172" s="456"/>
      <c r="G172" s="374">
        <v>0.6</v>
      </c>
      <c r="H172" s="367">
        <v>0.03</v>
      </c>
      <c r="I172" s="375"/>
      <c r="J172" s="376">
        <f t="shared" si="23"/>
        <v>0</v>
      </c>
      <c r="K172" s="418"/>
      <c r="L172" s="364"/>
      <c r="M172" s="372"/>
      <c r="N172" s="556"/>
    </row>
    <row r="173" spans="1:14" x14ac:dyDescent="0.25">
      <c r="A173" s="373"/>
      <c r="B173" s="449" t="s">
        <v>31</v>
      </c>
      <c r="C173" s="261" t="s">
        <v>30</v>
      </c>
      <c r="D173" s="464" t="s">
        <v>100</v>
      </c>
      <c r="E173" s="604"/>
      <c r="F173" s="456"/>
      <c r="G173" s="374">
        <v>0.6</v>
      </c>
      <c r="H173" s="367">
        <v>0.05</v>
      </c>
      <c r="I173" s="375"/>
      <c r="J173" s="376">
        <f t="shared" si="23"/>
        <v>0</v>
      </c>
      <c r="K173" s="418"/>
      <c r="L173" s="364"/>
      <c r="M173" s="372"/>
      <c r="N173" s="556"/>
    </row>
    <row r="174" spans="1:14" ht="15" customHeight="1" x14ac:dyDescent="0.3">
      <c r="A174" s="373"/>
      <c r="B174" s="449" t="s">
        <v>31</v>
      </c>
      <c r="C174" s="261" t="s">
        <v>30</v>
      </c>
      <c r="D174" s="464" t="s">
        <v>100</v>
      </c>
      <c r="E174" s="604"/>
      <c r="F174" s="456"/>
      <c r="G174" s="374">
        <v>0.6</v>
      </c>
      <c r="H174" s="367">
        <v>0.03</v>
      </c>
      <c r="I174" s="375"/>
      <c r="J174" s="376">
        <f t="shared" si="23"/>
        <v>0</v>
      </c>
      <c r="K174" s="418"/>
      <c r="L174" s="364"/>
      <c r="M174" s="372"/>
      <c r="N174" s="553"/>
    </row>
    <row r="175" spans="1:14" ht="15" customHeight="1" x14ac:dyDescent="0.3">
      <c r="A175" s="373"/>
      <c r="B175" s="449" t="s">
        <v>31</v>
      </c>
      <c r="C175" s="261" t="s">
        <v>30</v>
      </c>
      <c r="D175" s="464" t="s">
        <v>100</v>
      </c>
      <c r="E175" s="604"/>
      <c r="F175" s="456"/>
      <c r="G175" s="374">
        <v>0.6</v>
      </c>
      <c r="H175" s="367">
        <v>0.03</v>
      </c>
      <c r="I175" s="375"/>
      <c r="J175" s="376">
        <f t="shared" si="23"/>
        <v>0</v>
      </c>
      <c r="K175" s="418"/>
      <c r="L175" s="364"/>
      <c r="M175" s="372"/>
      <c r="N175" s="553"/>
    </row>
    <row r="176" spans="1:14" x14ac:dyDescent="0.25">
      <c r="A176" s="373"/>
      <c r="B176" s="449" t="s">
        <v>31</v>
      </c>
      <c r="C176" s="261" t="s">
        <v>30</v>
      </c>
      <c r="D176" s="464" t="s">
        <v>100</v>
      </c>
      <c r="E176" s="604"/>
      <c r="F176" s="456"/>
      <c r="G176" s="374">
        <v>0.6</v>
      </c>
      <c r="H176" s="367">
        <v>0.03</v>
      </c>
      <c r="I176" s="375"/>
      <c r="J176" s="376">
        <f t="shared" si="23"/>
        <v>0</v>
      </c>
      <c r="K176" s="418"/>
      <c r="L176" s="364"/>
      <c r="M176" s="372"/>
      <c r="N176" s="556"/>
    </row>
    <row r="177" spans="1:14" x14ac:dyDescent="0.25">
      <c r="A177" s="373"/>
      <c r="B177" s="449" t="s">
        <v>31</v>
      </c>
      <c r="C177" s="261" t="s">
        <v>30</v>
      </c>
      <c r="D177" s="464" t="s">
        <v>100</v>
      </c>
      <c r="E177" s="604"/>
      <c r="F177" s="456"/>
      <c r="G177" s="374">
        <v>0.6</v>
      </c>
      <c r="H177" s="367">
        <v>0.03</v>
      </c>
      <c r="I177" s="375"/>
      <c r="J177" s="376">
        <f t="shared" si="22"/>
        <v>0</v>
      </c>
      <c r="K177" s="418"/>
      <c r="L177" s="364"/>
      <c r="M177" s="372"/>
      <c r="N177" s="556"/>
    </row>
    <row r="178" spans="1:14" x14ac:dyDescent="0.25">
      <c r="A178" s="373"/>
      <c r="B178" s="449" t="s">
        <v>31</v>
      </c>
      <c r="C178" s="261" t="s">
        <v>30</v>
      </c>
      <c r="D178" s="464" t="s">
        <v>100</v>
      </c>
      <c r="E178" s="604"/>
      <c r="F178" s="456"/>
      <c r="G178" s="374">
        <v>0.6</v>
      </c>
      <c r="H178" s="367">
        <v>0.03</v>
      </c>
      <c r="I178" s="375"/>
      <c r="J178" s="376">
        <f t="shared" si="22"/>
        <v>0</v>
      </c>
      <c r="K178" s="418"/>
      <c r="L178" s="364"/>
      <c r="M178" s="372"/>
      <c r="N178" s="556"/>
    </row>
    <row r="179" spans="1:14" ht="15" customHeight="1" x14ac:dyDescent="0.3">
      <c r="A179" s="373"/>
      <c r="B179" s="449" t="s">
        <v>31</v>
      </c>
      <c r="C179" s="261" t="s">
        <v>30</v>
      </c>
      <c r="D179" s="464" t="s">
        <v>100</v>
      </c>
      <c r="E179" s="604"/>
      <c r="F179" s="456"/>
      <c r="G179" s="374">
        <v>0.6</v>
      </c>
      <c r="H179" s="367">
        <v>0.03</v>
      </c>
      <c r="I179" s="375"/>
      <c r="J179" s="376">
        <f t="shared" si="22"/>
        <v>0</v>
      </c>
      <c r="K179" s="418"/>
      <c r="L179" s="364"/>
      <c r="M179" s="372"/>
      <c r="N179" s="553"/>
    </row>
    <row r="180" spans="1:14" ht="15" customHeight="1" x14ac:dyDescent="0.3">
      <c r="A180" s="373"/>
      <c r="B180" s="449" t="s">
        <v>31</v>
      </c>
      <c r="C180" s="261" t="s">
        <v>30</v>
      </c>
      <c r="D180" s="464" t="s">
        <v>100</v>
      </c>
      <c r="E180" s="604"/>
      <c r="F180" s="456"/>
      <c r="G180" s="374">
        <v>0.6</v>
      </c>
      <c r="H180" s="367">
        <v>0.03</v>
      </c>
      <c r="I180" s="375"/>
      <c r="J180" s="376">
        <f t="shared" si="22"/>
        <v>0</v>
      </c>
      <c r="K180" s="418"/>
      <c r="L180" s="364"/>
      <c r="M180" s="372"/>
      <c r="N180" s="553"/>
    </row>
    <row r="181" spans="1:14" x14ac:dyDescent="0.25">
      <c r="A181" s="373"/>
      <c r="B181" s="449" t="s">
        <v>31</v>
      </c>
      <c r="C181" s="261" t="s">
        <v>30</v>
      </c>
      <c r="D181" s="464" t="s">
        <v>100</v>
      </c>
      <c r="E181" s="604"/>
      <c r="F181" s="456"/>
      <c r="G181" s="374">
        <v>0.6</v>
      </c>
      <c r="H181" s="367">
        <v>0.03</v>
      </c>
      <c r="I181" s="375"/>
      <c r="J181" s="376">
        <f t="shared" si="22"/>
        <v>0</v>
      </c>
      <c r="K181" s="418"/>
      <c r="L181" s="364"/>
      <c r="M181" s="372"/>
      <c r="N181" s="556"/>
    </row>
    <row r="182" spans="1:14" x14ac:dyDescent="0.25">
      <c r="A182" s="373"/>
      <c r="B182" s="449" t="s">
        <v>31</v>
      </c>
      <c r="C182" s="261" t="s">
        <v>30</v>
      </c>
      <c r="D182" s="464" t="s">
        <v>100</v>
      </c>
      <c r="E182" s="604"/>
      <c r="F182" s="456"/>
      <c r="G182" s="374">
        <v>0.6</v>
      </c>
      <c r="H182" s="367">
        <v>0.03</v>
      </c>
      <c r="I182" s="375"/>
      <c r="J182" s="376">
        <f t="shared" si="22"/>
        <v>0</v>
      </c>
      <c r="K182" s="418"/>
      <c r="L182" s="364"/>
      <c r="M182" s="372"/>
      <c r="N182" s="556"/>
    </row>
    <row r="183" spans="1:14" x14ac:dyDescent="0.25">
      <c r="A183" s="373"/>
      <c r="B183" s="449" t="s">
        <v>31</v>
      </c>
      <c r="C183" s="261" t="s">
        <v>30</v>
      </c>
      <c r="D183" s="464" t="s">
        <v>100</v>
      </c>
      <c r="E183" s="604"/>
      <c r="F183" s="456"/>
      <c r="G183" s="374">
        <v>0.6</v>
      </c>
      <c r="H183" s="367">
        <v>0.03</v>
      </c>
      <c r="I183" s="375"/>
      <c r="J183" s="376">
        <f t="shared" si="16"/>
        <v>0</v>
      </c>
      <c r="K183" s="418"/>
      <c r="L183" s="364"/>
      <c r="M183" s="372"/>
      <c r="N183" s="556"/>
    </row>
    <row r="184" spans="1:14" x14ac:dyDescent="0.55000000000000004">
      <c r="A184" s="256"/>
      <c r="B184" s="256"/>
      <c r="C184" s="257"/>
      <c r="D184" s="257"/>
      <c r="E184" s="257"/>
      <c r="F184" s="256"/>
      <c r="G184" s="256"/>
      <c r="H184" s="256"/>
      <c r="I184" s="257"/>
      <c r="J184" s="257"/>
      <c r="K184" s="256"/>
      <c r="L184" s="256"/>
    </row>
  </sheetData>
  <autoFilter ref="A41:N183" xr:uid="{00000000-0009-0000-0000-000005000000}"/>
  <mergeCells count="80">
    <mergeCell ref="M97:N97"/>
    <mergeCell ref="M92:N92"/>
    <mergeCell ref="M93:N93"/>
    <mergeCell ref="M94:N94"/>
    <mergeCell ref="M95:N95"/>
    <mergeCell ref="M96:N96"/>
    <mergeCell ref="M87:N87"/>
    <mergeCell ref="M88:N88"/>
    <mergeCell ref="M89:N89"/>
    <mergeCell ref="M90:N90"/>
    <mergeCell ref="M91:N91"/>
    <mergeCell ref="M82:N82"/>
    <mergeCell ref="M83:N83"/>
    <mergeCell ref="M84:N84"/>
    <mergeCell ref="M85:N85"/>
    <mergeCell ref="M86:N86"/>
    <mergeCell ref="M77:N77"/>
    <mergeCell ref="M78:N78"/>
    <mergeCell ref="M79:N79"/>
    <mergeCell ref="M80:N80"/>
    <mergeCell ref="M81:N81"/>
    <mergeCell ref="M72:N72"/>
    <mergeCell ref="M73:N73"/>
    <mergeCell ref="M74:N74"/>
    <mergeCell ref="M75:N75"/>
    <mergeCell ref="M76:N76"/>
    <mergeCell ref="M67:N67"/>
    <mergeCell ref="M68:N68"/>
    <mergeCell ref="M69:N69"/>
    <mergeCell ref="M70:N70"/>
    <mergeCell ref="M71:N71"/>
    <mergeCell ref="M62:N62"/>
    <mergeCell ref="M63:N63"/>
    <mergeCell ref="M64:N64"/>
    <mergeCell ref="M65:N65"/>
    <mergeCell ref="M66:N66"/>
    <mergeCell ref="M57:N57"/>
    <mergeCell ref="M58:N58"/>
    <mergeCell ref="M59:N59"/>
    <mergeCell ref="M60:N60"/>
    <mergeCell ref="M61:N61"/>
    <mergeCell ref="M42:N42"/>
    <mergeCell ref="M53:N53"/>
    <mergeCell ref="M54:N54"/>
    <mergeCell ref="M55:N55"/>
    <mergeCell ref="M56:N56"/>
    <mergeCell ref="M48:N48"/>
    <mergeCell ref="M49:N49"/>
    <mergeCell ref="M50:N50"/>
    <mergeCell ref="M51:N51"/>
    <mergeCell ref="M52:N52"/>
    <mergeCell ref="M43:N43"/>
    <mergeCell ref="M44:N44"/>
    <mergeCell ref="M45:N45"/>
    <mergeCell ref="M46:N46"/>
    <mergeCell ref="M47:N47"/>
    <mergeCell ref="L12:N13"/>
    <mergeCell ref="A1:N1"/>
    <mergeCell ref="A2:A6"/>
    <mergeCell ref="F2:G2"/>
    <mergeCell ref="I2:I6"/>
    <mergeCell ref="A7:A11"/>
    <mergeCell ref="E7:E11"/>
    <mergeCell ref="I7:I11"/>
    <mergeCell ref="B24:D24"/>
    <mergeCell ref="L25:N25"/>
    <mergeCell ref="L28:N29"/>
    <mergeCell ref="M32:N32"/>
    <mergeCell ref="M31:N31"/>
    <mergeCell ref="B26:D26"/>
    <mergeCell ref="B25:D25"/>
    <mergeCell ref="O31:P31"/>
    <mergeCell ref="O32:P32"/>
    <mergeCell ref="M15:N15"/>
    <mergeCell ref="M16:N16"/>
    <mergeCell ref="M18:N18"/>
    <mergeCell ref="L19:N19"/>
    <mergeCell ref="L21:N22"/>
    <mergeCell ref="L24:N24"/>
    <mergeCell ref="L26:N26"/>
  </mergeCells>
  <phoneticPr fontId="35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V456"/>
  <sheetViews>
    <sheetView showGridLines="0" zoomScale="60" zoomScaleNormal="60" zoomScaleSheetLayoutView="50" workbookViewId="0">
      <selection activeCell="T8" sqref="T8"/>
    </sheetView>
  </sheetViews>
  <sheetFormatPr defaultColWidth="9.19921875" defaultRowHeight="23.25" x14ac:dyDescent="0.65"/>
  <cols>
    <col min="1" max="1" width="7.59765625" style="273" customWidth="1"/>
    <col min="2" max="2" width="9.19921875" style="273" customWidth="1"/>
    <col min="3" max="3" width="50.19921875" style="508" customWidth="1"/>
    <col min="4" max="4" width="14.19921875" style="273" customWidth="1"/>
    <col min="5" max="5" width="25.3984375" style="273" customWidth="1"/>
    <col min="6" max="6" width="28.19921875" style="273" customWidth="1"/>
    <col min="7" max="7" width="32.796875" style="273" customWidth="1"/>
    <col min="8" max="10" width="27.796875" style="273" customWidth="1"/>
    <col min="11" max="11" width="30.59765625" style="273" customWidth="1"/>
    <col min="12" max="12" width="29.796875" style="273" customWidth="1"/>
    <col min="13" max="15" width="9.19921875" style="273" customWidth="1"/>
    <col min="16" max="16384" width="9.19921875" style="273"/>
  </cols>
  <sheetData>
    <row r="1" spans="1:12" ht="33" x14ac:dyDescent="0.75">
      <c r="A1" s="493"/>
      <c r="B1" s="949" t="s">
        <v>88</v>
      </c>
      <c r="C1" s="950"/>
      <c r="D1" s="949"/>
      <c r="E1" s="949"/>
      <c r="F1" s="494"/>
      <c r="G1" s="494"/>
      <c r="H1" s="494"/>
      <c r="I1" s="494"/>
      <c r="J1" s="494"/>
      <c r="K1" s="494"/>
      <c r="L1" s="493"/>
    </row>
    <row r="2" spans="1:12" ht="33" x14ac:dyDescent="0.75">
      <c r="A2" s="493"/>
      <c r="B2" s="949" t="s">
        <v>89</v>
      </c>
      <c r="C2" s="950"/>
      <c r="D2" s="949"/>
      <c r="E2" s="949"/>
      <c r="F2" s="494"/>
      <c r="G2" s="494"/>
      <c r="H2" s="494"/>
      <c r="I2" s="494"/>
      <c r="J2" s="494"/>
      <c r="K2" s="494"/>
      <c r="L2" s="493"/>
    </row>
    <row r="3" spans="1:12" ht="33" x14ac:dyDescent="0.75">
      <c r="A3" s="493"/>
      <c r="B3" s="951" t="s">
        <v>87</v>
      </c>
      <c r="C3" s="950"/>
      <c r="D3" s="951"/>
      <c r="E3" s="951"/>
      <c r="F3" s="494"/>
      <c r="G3" s="494"/>
      <c r="H3" s="494"/>
      <c r="I3" s="494"/>
      <c r="J3" s="495"/>
      <c r="K3" s="495"/>
      <c r="L3" s="493"/>
    </row>
    <row r="4" spans="1:12" ht="43.5" customHeight="1" x14ac:dyDescent="0.55000000000000004">
      <c r="A4" s="949" t="s">
        <v>563</v>
      </c>
      <c r="B4" s="949"/>
      <c r="C4" s="949"/>
      <c r="D4" s="949"/>
      <c r="E4" s="949"/>
      <c r="F4" s="949"/>
      <c r="G4" s="949"/>
      <c r="H4" s="949"/>
      <c r="I4" s="949"/>
      <c r="J4" s="949"/>
      <c r="K4" s="949"/>
      <c r="L4" s="949"/>
    </row>
    <row r="5" spans="1:12" ht="39.75" customHeight="1" thickBot="1" x14ac:dyDescent="0.6">
      <c r="A5" s="952" t="s">
        <v>564</v>
      </c>
      <c r="B5" s="952"/>
      <c r="C5" s="952"/>
      <c r="D5" s="952"/>
      <c r="E5" s="952"/>
      <c r="F5" s="952"/>
      <c r="G5" s="952"/>
      <c r="H5" s="952"/>
      <c r="I5" s="952"/>
      <c r="J5" s="952"/>
      <c r="K5" s="952"/>
      <c r="L5" s="952"/>
    </row>
    <row r="6" spans="1:12" s="496" customFormat="1" ht="39" customHeight="1" thickBot="1" x14ac:dyDescent="0.8">
      <c r="A6" s="946" t="s">
        <v>565</v>
      </c>
      <c r="B6" s="946"/>
      <c r="C6" s="946"/>
      <c r="D6" s="946"/>
      <c r="E6" s="946"/>
      <c r="F6" s="946"/>
      <c r="G6" s="946"/>
      <c r="H6" s="946"/>
      <c r="I6" s="946"/>
      <c r="J6" s="946"/>
      <c r="K6" s="946"/>
      <c r="L6" s="946"/>
    </row>
    <row r="7" spans="1:12" s="496" customFormat="1" ht="50.25" customHeight="1" thickBot="1" x14ac:dyDescent="0.8">
      <c r="A7" s="947" t="s">
        <v>170</v>
      </c>
      <c r="B7" s="947"/>
      <c r="C7" s="955" t="s">
        <v>90</v>
      </c>
      <c r="D7" s="947" t="s">
        <v>171</v>
      </c>
      <c r="E7" s="947" t="s">
        <v>172</v>
      </c>
      <c r="F7" s="956" t="s">
        <v>173</v>
      </c>
      <c r="G7" s="947" t="s">
        <v>174</v>
      </c>
      <c r="H7" s="947"/>
      <c r="I7" s="947"/>
      <c r="J7" s="947"/>
      <c r="K7" s="947" t="s">
        <v>175</v>
      </c>
      <c r="L7" s="948" t="s">
        <v>121</v>
      </c>
    </row>
    <row r="8" spans="1:12" s="496" customFormat="1" ht="57" customHeight="1" thickBot="1" x14ac:dyDescent="0.8">
      <c r="A8" s="947"/>
      <c r="B8" s="947"/>
      <c r="C8" s="955"/>
      <c r="D8" s="947"/>
      <c r="E8" s="947"/>
      <c r="F8" s="956"/>
      <c r="G8" s="558" t="s">
        <v>176</v>
      </c>
      <c r="H8" s="558" t="s">
        <v>177</v>
      </c>
      <c r="I8" s="558" t="s">
        <v>178</v>
      </c>
      <c r="J8" s="558" t="s">
        <v>179</v>
      </c>
      <c r="K8" s="947"/>
      <c r="L8" s="948"/>
    </row>
    <row r="9" spans="1:12" s="496" customFormat="1" ht="66" customHeight="1" thickBot="1" x14ac:dyDescent="0.8">
      <c r="A9" s="947" t="s">
        <v>128</v>
      </c>
      <c r="B9" s="947"/>
      <c r="C9" s="497" t="s">
        <v>129</v>
      </c>
      <c r="D9" s="558" t="s">
        <v>130</v>
      </c>
      <c r="E9" s="558" t="s">
        <v>131</v>
      </c>
      <c r="F9" s="558" t="s">
        <v>132</v>
      </c>
      <c r="G9" s="558" t="s">
        <v>133</v>
      </c>
      <c r="H9" s="558" t="s">
        <v>134</v>
      </c>
      <c r="I9" s="558" t="s">
        <v>135</v>
      </c>
      <c r="J9" s="558" t="s">
        <v>136</v>
      </c>
      <c r="K9" s="558" t="s">
        <v>137</v>
      </c>
      <c r="L9" s="564" t="s">
        <v>138</v>
      </c>
    </row>
    <row r="10" spans="1:12" s="496" customFormat="1" ht="39" customHeight="1" thickBot="1" x14ac:dyDescent="0.8">
      <c r="A10" s="954" t="s">
        <v>91</v>
      </c>
      <c r="B10" s="954"/>
      <c r="C10" s="954"/>
      <c r="D10" s="954"/>
      <c r="E10" s="954"/>
      <c r="F10" s="954"/>
      <c r="G10" s="954"/>
      <c r="H10" s="954"/>
      <c r="I10" s="954"/>
      <c r="J10" s="954"/>
      <c r="K10" s="954"/>
      <c r="L10" s="954"/>
    </row>
    <row r="11" spans="1:12" s="496" customFormat="1" ht="33.75" thickBot="1" x14ac:dyDescent="0.8">
      <c r="A11" s="530">
        <v>1.1000000000000001</v>
      </c>
      <c r="B11" s="928" t="s">
        <v>139</v>
      </c>
      <c r="C11" s="928"/>
      <c r="D11" s="928"/>
      <c r="E11" s="531">
        <v>293.62773500000003</v>
      </c>
      <c r="F11" s="532">
        <f>SUM(F12:F15)</f>
        <v>0</v>
      </c>
      <c r="G11" s="532">
        <f>SUM(G12:G15)</f>
        <v>4.26</v>
      </c>
      <c r="H11" s="531">
        <f>SUM(H12:H13)</f>
        <v>0</v>
      </c>
      <c r="I11" s="532">
        <f>SUM(I12:I13)</f>
        <v>0</v>
      </c>
      <c r="J11" s="532">
        <f>SUM(J12:J13)</f>
        <v>0</v>
      </c>
      <c r="K11" s="531">
        <f>SUM(K12:K15)</f>
        <v>289.36773500000004</v>
      </c>
      <c r="L11" s="533"/>
    </row>
    <row r="12" spans="1:12" s="496" customFormat="1" ht="43.5" customHeight="1" x14ac:dyDescent="0.75">
      <c r="A12" s="935"/>
      <c r="B12" s="961" t="s">
        <v>92</v>
      </c>
      <c r="C12" s="940" t="s">
        <v>140</v>
      </c>
      <c r="D12" s="559" t="s">
        <v>3</v>
      </c>
      <c r="E12" s="526">
        <v>10.810749999999999</v>
      </c>
      <c r="F12" s="527">
        <f>'02.1 .Block In-out'!M7</f>
        <v>0</v>
      </c>
      <c r="G12" s="527">
        <f>'02.1 .Block In-out'!N32</f>
        <v>0</v>
      </c>
      <c r="H12" s="528">
        <v>0</v>
      </c>
      <c r="I12" s="529"/>
      <c r="J12" s="529">
        <v>0</v>
      </c>
      <c r="K12" s="528">
        <f>(E12+F12)-(G12+H12+I12+J12)</f>
        <v>10.810749999999999</v>
      </c>
      <c r="L12" s="943"/>
    </row>
    <row r="13" spans="1:12" s="496" customFormat="1" ht="43.5" customHeight="1" x14ac:dyDescent="0.75">
      <c r="A13" s="929"/>
      <c r="B13" s="931"/>
      <c r="C13" s="941"/>
      <c r="D13" s="560" t="s">
        <v>4</v>
      </c>
      <c r="E13" s="509">
        <v>15.230375000000006</v>
      </c>
      <c r="F13" s="510">
        <f>'02.1 .Block In-out'!M11</f>
        <v>0</v>
      </c>
      <c r="G13" s="510">
        <f>'02.1 .Block In-out'!N34</f>
        <v>0</v>
      </c>
      <c r="H13" s="511">
        <v>0</v>
      </c>
      <c r="I13" s="512"/>
      <c r="J13" s="512">
        <v>0</v>
      </c>
      <c r="K13" s="511">
        <f>(E13+F13)-(G13+H13+I13+J13)</f>
        <v>15.230375000000006</v>
      </c>
      <c r="L13" s="944"/>
    </row>
    <row r="14" spans="1:12" s="496" customFormat="1" ht="43.5" customHeight="1" x14ac:dyDescent="0.75">
      <c r="A14" s="930"/>
      <c r="B14" s="932"/>
      <c r="C14" s="942"/>
      <c r="D14" s="534" t="s">
        <v>15</v>
      </c>
      <c r="E14" s="535">
        <v>203.36075</v>
      </c>
      <c r="F14" s="510">
        <f>'02.1 .Block In-out'!M13</f>
        <v>0</v>
      </c>
      <c r="G14" s="536">
        <f>'02.1 .Block In-out'!N36</f>
        <v>0</v>
      </c>
      <c r="H14" s="537">
        <v>0</v>
      </c>
      <c r="I14" s="538"/>
      <c r="J14" s="538">
        <v>0</v>
      </c>
      <c r="K14" s="537">
        <f>(E14+F14)-(G14+H14+I14+J14)</f>
        <v>203.36075</v>
      </c>
      <c r="L14" s="945"/>
    </row>
    <row r="15" spans="1:12" s="496" customFormat="1" ht="43.5" customHeight="1" thickBot="1" x14ac:dyDescent="0.8">
      <c r="A15" s="930"/>
      <c r="B15" s="932"/>
      <c r="C15" s="942"/>
      <c r="D15" s="534" t="s">
        <v>165</v>
      </c>
      <c r="E15" s="535">
        <v>64.225860000000026</v>
      </c>
      <c r="F15" s="510">
        <f>'02.1 .Block In-out'!P6</f>
        <v>0</v>
      </c>
      <c r="G15" s="536">
        <f>'02.1 .Block In-out'!P12</f>
        <v>4.26</v>
      </c>
      <c r="H15" s="537">
        <v>0</v>
      </c>
      <c r="I15" s="538"/>
      <c r="J15" s="538">
        <v>0</v>
      </c>
      <c r="K15" s="537">
        <f>(E15+F15)-(G15+H15+I15+J15)</f>
        <v>59.965860000000028</v>
      </c>
      <c r="L15" s="945"/>
    </row>
    <row r="16" spans="1:12" s="496" customFormat="1" ht="58.5" customHeight="1" thickBot="1" x14ac:dyDescent="0.8">
      <c r="A16" s="530">
        <v>1.2</v>
      </c>
      <c r="B16" s="928" t="s">
        <v>141</v>
      </c>
      <c r="C16" s="928"/>
      <c r="D16" s="540"/>
      <c r="E16" s="531">
        <v>0</v>
      </c>
      <c r="F16" s="532">
        <f>SUM(F17:F20)</f>
        <v>4.26</v>
      </c>
      <c r="G16" s="532">
        <f>SUM(G17:G20)</f>
        <v>4.26</v>
      </c>
      <c r="H16" s="531">
        <f>SUM(H17:H18)</f>
        <v>0</v>
      </c>
      <c r="I16" s="532">
        <f>SUM(I17:I18)</f>
        <v>0</v>
      </c>
      <c r="J16" s="532">
        <f>SUM(J17:J18)</f>
        <v>0</v>
      </c>
      <c r="K16" s="531">
        <f>SUM(K17:K20)</f>
        <v>0</v>
      </c>
      <c r="L16" s="533"/>
    </row>
    <row r="17" spans="1:22" s="496" customFormat="1" ht="43.5" customHeight="1" x14ac:dyDescent="0.75">
      <c r="A17" s="957"/>
      <c r="B17" s="936" t="s">
        <v>93</v>
      </c>
      <c r="C17" s="959" t="s">
        <v>142</v>
      </c>
      <c r="D17" s="559" t="s">
        <v>3</v>
      </c>
      <c r="E17" s="526">
        <v>0</v>
      </c>
      <c r="F17" s="527">
        <f>'02.2 .Block Saw-22'!M28</f>
        <v>0</v>
      </c>
      <c r="G17" s="527">
        <f>'02.2 .Block Saw-22'!M52</f>
        <v>0</v>
      </c>
      <c r="H17" s="528"/>
      <c r="I17" s="539"/>
      <c r="J17" s="539">
        <v>0</v>
      </c>
      <c r="K17" s="526">
        <v>0</v>
      </c>
      <c r="L17" s="566"/>
    </row>
    <row r="18" spans="1:22" s="496" customFormat="1" ht="43.5" customHeight="1" x14ac:dyDescent="0.75">
      <c r="A18" s="958"/>
      <c r="B18" s="937"/>
      <c r="C18" s="960"/>
      <c r="D18" s="560" t="s">
        <v>4</v>
      </c>
      <c r="E18" s="509">
        <v>0</v>
      </c>
      <c r="F18" s="510">
        <f>'02.2 .Block Saw-22'!M30</f>
        <v>0</v>
      </c>
      <c r="G18" s="510">
        <f>'02.2 .Block Saw-22'!M54</f>
        <v>0</v>
      </c>
      <c r="H18" s="511"/>
      <c r="I18" s="513"/>
      <c r="J18" s="513">
        <v>0</v>
      </c>
      <c r="K18" s="509">
        <v>0</v>
      </c>
      <c r="L18" s="566"/>
    </row>
    <row r="19" spans="1:22" s="496" customFormat="1" ht="43.5" customHeight="1" x14ac:dyDescent="0.75">
      <c r="A19" s="567"/>
      <c r="B19" s="561"/>
      <c r="C19" s="960"/>
      <c r="D19" s="560" t="s">
        <v>15</v>
      </c>
      <c r="E19" s="509">
        <v>0</v>
      </c>
      <c r="F19" s="510">
        <f>'02.2 .Block Saw-22'!O27</f>
        <v>0</v>
      </c>
      <c r="G19" s="510">
        <f>'02.2 .Block Saw-22'!M58</f>
        <v>0</v>
      </c>
      <c r="H19" s="511"/>
      <c r="I19" s="513"/>
      <c r="J19" s="513">
        <v>0</v>
      </c>
      <c r="K19" s="509">
        <v>0</v>
      </c>
      <c r="L19" s="566"/>
    </row>
    <row r="20" spans="1:22" s="496" customFormat="1" ht="43.5" customHeight="1" x14ac:dyDescent="0.75">
      <c r="A20" s="567"/>
      <c r="B20" s="561"/>
      <c r="C20" s="960"/>
      <c r="D20" s="560" t="s">
        <v>156</v>
      </c>
      <c r="E20" s="509">
        <v>0</v>
      </c>
      <c r="F20" s="510">
        <f>'02.2 .Block Saw-22'!M36</f>
        <v>4.26</v>
      </c>
      <c r="G20" s="510">
        <f>'02.2 .Block Saw-22'!M60</f>
        <v>4.26</v>
      </c>
      <c r="H20" s="511"/>
      <c r="I20" s="513"/>
      <c r="J20" s="513">
        <v>0</v>
      </c>
      <c r="K20" s="509">
        <v>0</v>
      </c>
      <c r="L20" s="568"/>
    </row>
    <row r="21" spans="1:22" s="496" customFormat="1" ht="67.5" customHeight="1" x14ac:dyDescent="0.75">
      <c r="A21" s="569">
        <v>1.2</v>
      </c>
      <c r="B21" s="927" t="s">
        <v>143</v>
      </c>
      <c r="C21" s="927"/>
      <c r="D21" s="521"/>
      <c r="E21" s="522">
        <v>840.65999999999985</v>
      </c>
      <c r="F21" s="523">
        <f>SUM(F22:F25)</f>
        <v>526.26</v>
      </c>
      <c r="G21" s="523">
        <f t="shared" ref="G21:J21" si="0">SUM(G22:G25)</f>
        <v>168.54</v>
      </c>
      <c r="H21" s="522">
        <f t="shared" si="0"/>
        <v>0</v>
      </c>
      <c r="I21" s="523">
        <f t="shared" si="0"/>
        <v>0</v>
      </c>
      <c r="J21" s="523">
        <f t="shared" si="0"/>
        <v>0</v>
      </c>
      <c r="K21" s="522">
        <f>SUM(K22:K25)</f>
        <v>1198.3799999999997</v>
      </c>
      <c r="L21" s="570"/>
      <c r="T21" s="496" t="s">
        <v>489</v>
      </c>
    </row>
    <row r="22" spans="1:22" s="496" customFormat="1" ht="43.5" customHeight="1" x14ac:dyDescent="0.75">
      <c r="A22" s="929"/>
      <c r="B22" s="931" t="s">
        <v>93</v>
      </c>
      <c r="C22" s="933" t="s">
        <v>144</v>
      </c>
      <c r="D22" s="560" t="s">
        <v>3</v>
      </c>
      <c r="E22" s="511">
        <v>0</v>
      </c>
      <c r="F22" s="514">
        <f>'02.3. Carved Slab-22'!M16</f>
        <v>0</v>
      </c>
      <c r="G22" s="514">
        <f>'02.3. Carved Slab-22'!M41</f>
        <v>0</v>
      </c>
      <c r="H22" s="511"/>
      <c r="I22" s="515"/>
      <c r="J22" s="515"/>
      <c r="K22" s="537">
        <f>(E22+F22)-(G22+H22+I22+J22)</f>
        <v>0</v>
      </c>
      <c r="L22" s="571"/>
    </row>
    <row r="23" spans="1:22" s="496" customFormat="1" ht="43.5" customHeight="1" x14ac:dyDescent="0.75">
      <c r="A23" s="929"/>
      <c r="B23" s="931"/>
      <c r="C23" s="933"/>
      <c r="D23" s="560" t="s">
        <v>94</v>
      </c>
      <c r="E23" s="511">
        <v>24.300000000000047</v>
      </c>
      <c r="F23" s="514">
        <f>'02.3. Carved Slab-22'!M18</f>
        <v>0</v>
      </c>
      <c r="G23" s="514">
        <f>'02.3. Carved Slab-22'!M43</f>
        <v>0</v>
      </c>
      <c r="H23" s="511"/>
      <c r="I23" s="515"/>
      <c r="J23" s="515"/>
      <c r="K23" s="537">
        <f>(E23+F23)-(G23+H23+I23+J23)</f>
        <v>24.300000000000047</v>
      </c>
      <c r="L23" s="566"/>
    </row>
    <row r="24" spans="1:22" s="496" customFormat="1" ht="43.5" customHeight="1" x14ac:dyDescent="0.75">
      <c r="A24" s="930"/>
      <c r="B24" s="932"/>
      <c r="C24" s="934"/>
      <c r="D24" s="534" t="s">
        <v>15</v>
      </c>
      <c r="E24" s="511">
        <v>228.83999999999986</v>
      </c>
      <c r="F24" s="541">
        <f>'02.3. Carved Slab-22'!M19</f>
        <v>292.2</v>
      </c>
      <c r="G24" s="514">
        <f>'02.3. Carved Slab-22'!M46</f>
        <v>134.22</v>
      </c>
      <c r="H24" s="537"/>
      <c r="I24" s="542"/>
      <c r="J24" s="542"/>
      <c r="K24" s="537">
        <f>(E24+F24)-(G24+H24+I24+J24)</f>
        <v>386.81999999999982</v>
      </c>
      <c r="L24" s="566"/>
    </row>
    <row r="25" spans="1:22" s="496" customFormat="1" ht="43.5" customHeight="1" thickBot="1" x14ac:dyDescent="0.8">
      <c r="A25" s="930"/>
      <c r="B25" s="932"/>
      <c r="C25" s="934"/>
      <c r="D25" s="534" t="s">
        <v>165</v>
      </c>
      <c r="E25" s="511">
        <v>587.52</v>
      </c>
      <c r="F25" s="541">
        <f>'02.3. Carved Slab-22'!M20</f>
        <v>234.06</v>
      </c>
      <c r="G25" s="514">
        <f>'02.3. Carved Slab-22'!M48</f>
        <v>34.32</v>
      </c>
      <c r="H25" s="537"/>
      <c r="I25" s="542"/>
      <c r="J25" s="542"/>
      <c r="K25" s="537">
        <f>(E25+F25)-(G25+H25+I25+J25)</f>
        <v>787.25999999999988</v>
      </c>
      <c r="L25" s="566"/>
    </row>
    <row r="26" spans="1:22" s="496" customFormat="1" ht="63.75" customHeight="1" thickBot="1" x14ac:dyDescent="0.8">
      <c r="A26" s="530">
        <v>1.3</v>
      </c>
      <c r="B26" s="928" t="s">
        <v>145</v>
      </c>
      <c r="C26" s="928"/>
      <c r="D26" s="540"/>
      <c r="E26" s="546">
        <v>3539.895</v>
      </c>
      <c r="F26" s="547">
        <f t="shared" ref="F26:J26" si="1">SUM(F27:F33)</f>
        <v>659.22</v>
      </c>
      <c r="G26" s="547">
        <f t="shared" si="1"/>
        <v>540.12</v>
      </c>
      <c r="H26" s="546">
        <f t="shared" si="1"/>
        <v>0</v>
      </c>
      <c r="I26" s="547">
        <f t="shared" si="1"/>
        <v>0</v>
      </c>
      <c r="J26" s="547">
        <f t="shared" si="1"/>
        <v>0</v>
      </c>
      <c r="K26" s="546">
        <f>SUM(K27:K33)</f>
        <v>3658.9949999999999</v>
      </c>
      <c r="L26" s="533"/>
      <c r="V26" s="496" t="s">
        <v>488</v>
      </c>
    </row>
    <row r="27" spans="1:22" s="496" customFormat="1" ht="43.5" customHeight="1" x14ac:dyDescent="0.75">
      <c r="A27" s="935"/>
      <c r="B27" s="936" t="s">
        <v>95</v>
      </c>
      <c r="C27" s="938" t="s">
        <v>146</v>
      </c>
      <c r="D27" s="559" t="s">
        <v>3</v>
      </c>
      <c r="E27" s="528">
        <v>882.86500000000046</v>
      </c>
      <c r="F27" s="543">
        <f>'02.4.Polished.22'!M13</f>
        <v>0</v>
      </c>
      <c r="G27" s="544"/>
      <c r="H27" s="528"/>
      <c r="I27" s="545"/>
      <c r="J27" s="543"/>
      <c r="K27" s="511">
        <f t="shared" ref="K27:K31" si="2">(E27+F27)-(G27+H27+I27+J27)</f>
        <v>882.86500000000046</v>
      </c>
      <c r="L27" s="953"/>
      <c r="Q27" s="496" t="s">
        <v>487</v>
      </c>
    </row>
    <row r="28" spans="1:22" s="496" customFormat="1" ht="43.5" customHeight="1" x14ac:dyDescent="0.75">
      <c r="A28" s="929"/>
      <c r="B28" s="937"/>
      <c r="C28" s="939"/>
      <c r="D28" s="560" t="s">
        <v>4</v>
      </c>
      <c r="E28" s="511">
        <v>1554.319999999999</v>
      </c>
      <c r="F28" s="516">
        <f>'02.4.Polished.22'!M15</f>
        <v>0</v>
      </c>
      <c r="G28" s="516"/>
      <c r="H28" s="511"/>
      <c r="I28" s="516"/>
      <c r="J28" s="516"/>
      <c r="K28" s="511">
        <f t="shared" si="2"/>
        <v>1554.319999999999</v>
      </c>
      <c r="L28" s="953"/>
    </row>
    <row r="29" spans="1:22" s="496" customFormat="1" ht="43.5" customHeight="1" x14ac:dyDescent="0.75">
      <c r="A29" s="929"/>
      <c r="B29" s="937"/>
      <c r="C29" s="939"/>
      <c r="D29" s="560" t="s">
        <v>15</v>
      </c>
      <c r="E29" s="511">
        <v>0</v>
      </c>
      <c r="F29" s="516">
        <f>'02.4.Polished.22'!M18</f>
        <v>0</v>
      </c>
      <c r="G29" s="516"/>
      <c r="H29" s="511"/>
      <c r="I29" s="515"/>
      <c r="J29" s="516"/>
      <c r="K29" s="511">
        <f t="shared" ref="K29" si="3">(E29+F29)-(G29+H29+I29+J29)</f>
        <v>0</v>
      </c>
      <c r="L29" s="953"/>
    </row>
    <row r="30" spans="1:22" s="496" customFormat="1" ht="43.5" customHeight="1" x14ac:dyDescent="0.75">
      <c r="A30" s="929"/>
      <c r="B30" s="937"/>
      <c r="C30" s="939"/>
      <c r="D30" s="560" t="s">
        <v>165</v>
      </c>
      <c r="E30" s="511">
        <v>334.67</v>
      </c>
      <c r="F30" s="516">
        <f>'02.4.Polished.22'!M20</f>
        <v>0</v>
      </c>
      <c r="G30" s="516"/>
      <c r="H30" s="511"/>
      <c r="I30" s="515"/>
      <c r="J30" s="516"/>
      <c r="K30" s="511">
        <f t="shared" si="2"/>
        <v>334.67</v>
      </c>
      <c r="L30" s="953"/>
    </row>
    <row r="31" spans="1:22" s="496" customFormat="1" ht="43.5" customHeight="1" x14ac:dyDescent="0.75">
      <c r="A31" s="929"/>
      <c r="B31" s="937"/>
      <c r="C31" s="939"/>
      <c r="D31" s="560" t="s">
        <v>96</v>
      </c>
      <c r="E31" s="511">
        <v>0</v>
      </c>
      <c r="F31" s="513"/>
      <c r="G31" s="514"/>
      <c r="H31" s="511"/>
      <c r="I31" s="513"/>
      <c r="J31" s="513"/>
      <c r="K31" s="511">
        <f t="shared" si="2"/>
        <v>0</v>
      </c>
      <c r="L31" s="953"/>
      <c r="T31" s="496" t="s">
        <v>485</v>
      </c>
    </row>
    <row r="32" spans="1:22" s="496" customFormat="1" ht="99" x14ac:dyDescent="0.75">
      <c r="A32" s="929"/>
      <c r="B32" s="561" t="s">
        <v>97</v>
      </c>
      <c r="C32" s="524" t="s">
        <v>147</v>
      </c>
      <c r="D32" s="560" t="s">
        <v>98</v>
      </c>
      <c r="E32" s="511">
        <v>389.15999999999985</v>
      </c>
      <c r="F32" s="514">
        <f>'02.6.SAND BLAST-22'!M16</f>
        <v>0</v>
      </c>
      <c r="G32" s="541"/>
      <c r="H32" s="511"/>
      <c r="I32" s="514"/>
      <c r="J32" s="514"/>
      <c r="K32" s="511">
        <f>(E32+F32)-(G32+H32+I32+J32)</f>
        <v>389.15999999999985</v>
      </c>
      <c r="L32" s="572"/>
      <c r="P32" s="496" t="s">
        <v>486</v>
      </c>
    </row>
    <row r="33" spans="1:12" s="496" customFormat="1" ht="99.75" thickBot="1" x14ac:dyDescent="0.8">
      <c r="A33" s="930"/>
      <c r="B33" s="548" t="s">
        <v>99</v>
      </c>
      <c r="C33" s="549" t="s">
        <v>148</v>
      </c>
      <c r="D33" s="563" t="s">
        <v>100</v>
      </c>
      <c r="E33" s="537">
        <v>378.88000000000056</v>
      </c>
      <c r="F33" s="541">
        <f>'02.6.SAND BLAST-22'!M15</f>
        <v>659.22</v>
      </c>
      <c r="G33" s="541">
        <f>'02.6.SAND BLAST-22'!M31</f>
        <v>540.12</v>
      </c>
      <c r="H33" s="537"/>
      <c r="I33" s="550"/>
      <c r="J33" s="550"/>
      <c r="K33" s="537">
        <f>(E33+F33)-(G33+H33+I33+J33)</f>
        <v>497.98000000000059</v>
      </c>
      <c r="L33" s="572"/>
    </row>
    <row r="34" spans="1:12" s="496" customFormat="1" ht="70.5" customHeight="1" thickBot="1" x14ac:dyDescent="0.8">
      <c r="A34" s="530">
        <v>1.4</v>
      </c>
      <c r="B34" s="928" t="s">
        <v>149</v>
      </c>
      <c r="C34" s="928"/>
      <c r="D34" s="540"/>
      <c r="E34" s="551">
        <v>7833.7907100000011</v>
      </c>
      <c r="F34" s="552">
        <f>SUM(F35:F43)</f>
        <v>160.01999999999998</v>
      </c>
      <c r="G34" s="552">
        <f>SUM(G35:G43)</f>
        <v>0</v>
      </c>
      <c r="H34" s="551">
        <f>SUM(H36:H43)</f>
        <v>0</v>
      </c>
      <c r="I34" s="552">
        <f t="shared" ref="I34:J34" si="4">SUM(I36:I41)</f>
        <v>0</v>
      </c>
      <c r="J34" s="552">
        <f t="shared" si="4"/>
        <v>0</v>
      </c>
      <c r="K34" s="551">
        <f>K35+K36+K37+K38+K39+K40+K41+K42+K43</f>
        <v>7985.7107100000003</v>
      </c>
      <c r="L34" s="533"/>
    </row>
    <row r="35" spans="1:12" s="496" customFormat="1" ht="66" x14ac:dyDescent="0.75">
      <c r="A35" s="924"/>
      <c r="B35" s="613" t="s">
        <v>101</v>
      </c>
      <c r="C35" s="614" t="s">
        <v>150</v>
      </c>
      <c r="D35" s="615" t="s">
        <v>105</v>
      </c>
      <c r="E35" s="616">
        <v>4.0200000000005787E-3</v>
      </c>
      <c r="F35" s="617">
        <f>'02.5.Cut to Size-22'!M17</f>
        <v>0</v>
      </c>
      <c r="G35" s="617"/>
      <c r="H35" s="616"/>
      <c r="I35" s="617"/>
      <c r="J35" s="618"/>
      <c r="K35" s="616">
        <f>E35+F35-G35-H35-J35-I35</f>
        <v>4.0200000000005787E-3</v>
      </c>
      <c r="L35" s="619"/>
    </row>
    <row r="36" spans="1:12" s="496" customFormat="1" ht="66" x14ac:dyDescent="0.75">
      <c r="A36" s="925"/>
      <c r="B36" s="561" t="s">
        <v>102</v>
      </c>
      <c r="C36" s="565" t="s">
        <v>150</v>
      </c>
      <c r="D36" s="562" t="s">
        <v>70</v>
      </c>
      <c r="E36" s="511">
        <v>5225.4023999999999</v>
      </c>
      <c r="F36" s="514">
        <f>'02.5.Cut to Size-22'!M15</f>
        <v>77.039999999999992</v>
      </c>
      <c r="G36" s="514"/>
      <c r="H36" s="511"/>
      <c r="I36" s="514"/>
      <c r="J36" s="517"/>
      <c r="K36" s="511">
        <f>E36+F36-G36-H36-J36-I36</f>
        <v>5302.4423999999999</v>
      </c>
      <c r="L36" s="573"/>
    </row>
    <row r="37" spans="1:12" s="496" customFormat="1" ht="66" x14ac:dyDescent="0.75">
      <c r="A37" s="925"/>
      <c r="B37" s="561" t="s">
        <v>103</v>
      </c>
      <c r="C37" s="565" t="s">
        <v>151</v>
      </c>
      <c r="D37" s="562" t="s">
        <v>120</v>
      </c>
      <c r="E37" s="511">
        <v>0</v>
      </c>
      <c r="F37" s="514"/>
      <c r="G37" s="513"/>
      <c r="H37" s="511"/>
      <c r="I37" s="513"/>
      <c r="J37" s="512"/>
      <c r="K37" s="518">
        <f>E37+F37-G37-H37-I37-J37</f>
        <v>0</v>
      </c>
      <c r="L37" s="573"/>
    </row>
    <row r="38" spans="1:12" s="496" customFormat="1" ht="42" customHeight="1" x14ac:dyDescent="0.75">
      <c r="A38" s="925"/>
      <c r="B38" s="561" t="s">
        <v>104</v>
      </c>
      <c r="C38" s="565" t="s">
        <v>152</v>
      </c>
      <c r="D38" s="562" t="s">
        <v>73</v>
      </c>
      <c r="E38" s="511">
        <v>6.6533200000000061</v>
      </c>
      <c r="F38" s="514">
        <f>'02.5.Cut to Size-22'!M24</f>
        <v>0</v>
      </c>
      <c r="G38" s="514"/>
      <c r="H38" s="511"/>
      <c r="I38" s="514"/>
      <c r="J38" s="512"/>
      <c r="K38" s="518">
        <f>E38+F38-G38-H38-I38-J38</f>
        <v>6.6533200000000061</v>
      </c>
      <c r="L38" s="573"/>
    </row>
    <row r="39" spans="1:12" s="496" customFormat="1" ht="132" x14ac:dyDescent="0.75">
      <c r="A39" s="925"/>
      <c r="B39" s="561" t="s">
        <v>159</v>
      </c>
      <c r="C39" s="565" t="s">
        <v>153</v>
      </c>
      <c r="D39" s="560" t="s">
        <v>72</v>
      </c>
      <c r="E39" s="511">
        <v>75.028970000000044</v>
      </c>
      <c r="F39" s="514">
        <f>'02.5.Cut to Size-22'!M22</f>
        <v>50.399999999999991</v>
      </c>
      <c r="G39" s="514"/>
      <c r="H39" s="511"/>
      <c r="I39" s="514"/>
      <c r="J39" s="514"/>
      <c r="K39" s="511">
        <f>E39+F39-G39-H39-I39-J39</f>
        <v>125.42897000000004</v>
      </c>
      <c r="L39" s="573"/>
    </row>
    <row r="40" spans="1:12" s="496" customFormat="1" ht="66" x14ac:dyDescent="0.75">
      <c r="A40" s="925"/>
      <c r="B40" s="561" t="s">
        <v>161</v>
      </c>
      <c r="C40" s="565" t="s">
        <v>154</v>
      </c>
      <c r="D40" s="562" t="s">
        <v>74</v>
      </c>
      <c r="E40" s="511">
        <v>620.06200000000001</v>
      </c>
      <c r="F40" s="514">
        <f>'02.5.Cut to Size-22'!M27</f>
        <v>0</v>
      </c>
      <c r="G40" s="514"/>
      <c r="H40" s="511"/>
      <c r="I40" s="514"/>
      <c r="J40" s="517"/>
      <c r="K40" s="511">
        <f>E40+F40-G40-H40-J40-I40</f>
        <v>620.06200000000001</v>
      </c>
      <c r="L40" s="573"/>
    </row>
    <row r="41" spans="1:12" s="496" customFormat="1" ht="66" x14ac:dyDescent="0.75">
      <c r="A41" s="925"/>
      <c r="B41" s="561" t="s">
        <v>162</v>
      </c>
      <c r="C41" s="565" t="s">
        <v>155</v>
      </c>
      <c r="D41" s="562" t="s">
        <v>71</v>
      </c>
      <c r="E41" s="511">
        <v>1906.6399999999999</v>
      </c>
      <c r="F41" s="514">
        <f>'02.5.Cut to Size-22'!M18</f>
        <v>24.48</v>
      </c>
      <c r="G41" s="514"/>
      <c r="H41" s="519"/>
      <c r="I41" s="517"/>
      <c r="J41" s="517"/>
      <c r="K41" s="511">
        <f>E41+F41-G41-H41-I41-J41</f>
        <v>1931.12</v>
      </c>
      <c r="L41" s="573"/>
    </row>
    <row r="42" spans="1:12" ht="66.75" customHeight="1" x14ac:dyDescent="0.55000000000000004">
      <c r="A42" s="925"/>
      <c r="B42" s="561" t="s">
        <v>163</v>
      </c>
      <c r="C42" s="565" t="s">
        <v>167</v>
      </c>
      <c r="D42" s="562" t="s">
        <v>166</v>
      </c>
      <c r="E42" s="511">
        <v>0</v>
      </c>
      <c r="F42" s="514">
        <f>'02.5.Cut to Size-22'!M26</f>
        <v>0</v>
      </c>
      <c r="G42" s="514"/>
      <c r="H42" s="519"/>
      <c r="I42" s="517"/>
      <c r="J42" s="517"/>
      <c r="K42" s="511">
        <f t="shared" ref="K42" si="5">E42+F42-G42-H42-I42-J42</f>
        <v>0</v>
      </c>
      <c r="L42" s="573"/>
    </row>
    <row r="43" spans="1:12" ht="66.75" customHeight="1" thickBot="1" x14ac:dyDescent="0.6">
      <c r="A43" s="926"/>
      <c r="B43" s="574" t="s">
        <v>168</v>
      </c>
      <c r="C43" s="575" t="s">
        <v>158</v>
      </c>
      <c r="D43" s="576" t="s">
        <v>165</v>
      </c>
      <c r="E43" s="577">
        <v>0</v>
      </c>
      <c r="F43" s="578">
        <f>'02.5.Cut to Size-22'!M30</f>
        <v>8.1</v>
      </c>
      <c r="G43" s="578"/>
      <c r="H43" s="579"/>
      <c r="I43" s="580"/>
      <c r="J43" s="580"/>
      <c r="K43" s="577">
        <v>0</v>
      </c>
      <c r="L43" s="581"/>
    </row>
    <row r="44" spans="1:12" ht="18" customHeight="1" x14ac:dyDescent="0.55000000000000004">
      <c r="A44" s="498"/>
      <c r="B44" s="498"/>
      <c r="C44" s="498"/>
      <c r="D44" s="498"/>
      <c r="E44" s="498"/>
      <c r="F44" s="498"/>
      <c r="G44" s="498"/>
      <c r="H44" s="498"/>
      <c r="I44" s="498"/>
      <c r="J44" s="498"/>
      <c r="K44" s="498"/>
      <c r="L44" s="498"/>
    </row>
    <row r="45" spans="1:12" ht="30.75" customHeight="1" x14ac:dyDescent="0.55000000000000004">
      <c r="A45" s="498"/>
      <c r="B45" s="499"/>
      <c r="C45" s="499"/>
      <c r="D45" s="499"/>
      <c r="E45" s="499"/>
      <c r="F45" s="499"/>
      <c r="G45" s="499"/>
      <c r="H45" s="499"/>
      <c r="I45" s="499"/>
      <c r="J45" s="499"/>
      <c r="K45" s="557" t="s">
        <v>566</v>
      </c>
      <c r="L45" s="499"/>
    </row>
    <row r="46" spans="1:12" ht="30.75" customHeight="1" x14ac:dyDescent="0.9">
      <c r="A46" s="498"/>
      <c r="B46" s="499"/>
      <c r="C46" s="501"/>
      <c r="D46" s="496"/>
      <c r="E46" s="496"/>
      <c r="F46" s="496"/>
      <c r="G46" s="496"/>
      <c r="H46" s="496"/>
      <c r="I46" s="496"/>
      <c r="J46" s="496"/>
      <c r="K46" s="496"/>
      <c r="L46" s="499"/>
    </row>
    <row r="47" spans="1:12" ht="30.75" customHeight="1" x14ac:dyDescent="0.9">
      <c r="A47" s="498"/>
      <c r="B47" s="499"/>
      <c r="C47" s="502" t="s">
        <v>123</v>
      </c>
      <c r="D47" s="503"/>
      <c r="E47" s="502"/>
      <c r="F47" s="502" t="s">
        <v>125</v>
      </c>
      <c r="G47" s="502"/>
      <c r="H47" s="500"/>
      <c r="I47" s="500" t="s">
        <v>106</v>
      </c>
      <c r="J47" s="503"/>
      <c r="K47" s="500" t="s">
        <v>106</v>
      </c>
      <c r="L47" s="499"/>
    </row>
    <row r="48" spans="1:12" ht="30.75" customHeight="1" x14ac:dyDescent="0.55000000000000004">
      <c r="A48" s="498"/>
      <c r="B48" s="499"/>
      <c r="C48" s="504" t="s">
        <v>124</v>
      </c>
      <c r="D48" s="505"/>
      <c r="E48" s="506"/>
      <c r="F48" s="506" t="s">
        <v>107</v>
      </c>
      <c r="G48" s="506"/>
      <c r="H48" s="506"/>
      <c r="I48" s="506" t="s">
        <v>108</v>
      </c>
      <c r="J48" s="499"/>
      <c r="K48" s="506" t="s">
        <v>108</v>
      </c>
      <c r="L48" s="499"/>
    </row>
    <row r="49" spans="1:12" ht="30.75" customHeight="1" x14ac:dyDescent="0.55000000000000004">
      <c r="A49" s="498"/>
      <c r="B49" s="499"/>
      <c r="C49" s="504"/>
      <c r="D49" s="505"/>
      <c r="E49" s="506"/>
      <c r="F49" s="506"/>
      <c r="G49" s="506"/>
      <c r="H49" s="506"/>
      <c r="I49" s="506"/>
      <c r="J49" s="499"/>
      <c r="K49" s="506"/>
      <c r="L49" s="499"/>
    </row>
    <row r="50" spans="1:12" ht="30.75" customHeight="1" x14ac:dyDescent="0.55000000000000004">
      <c r="A50" s="498"/>
      <c r="B50" s="499"/>
      <c r="C50" s="504"/>
      <c r="D50" s="505"/>
      <c r="E50" s="506"/>
      <c r="F50" s="506"/>
      <c r="G50" s="506"/>
      <c r="H50" s="506"/>
      <c r="I50" s="506"/>
      <c r="J50" s="499"/>
      <c r="K50" s="506"/>
      <c r="L50" s="499"/>
    </row>
    <row r="51" spans="1:12" ht="30.75" customHeight="1" x14ac:dyDescent="0.55000000000000004">
      <c r="A51" s="493"/>
      <c r="B51" s="499"/>
      <c r="C51" s="504"/>
      <c r="D51" s="505"/>
      <c r="E51" s="506"/>
      <c r="F51" s="506"/>
      <c r="G51" s="506"/>
      <c r="H51" s="506"/>
      <c r="I51" s="506"/>
      <c r="J51" s="499"/>
      <c r="K51" s="506"/>
      <c r="L51" s="499"/>
    </row>
    <row r="52" spans="1:12" ht="30.75" customHeight="1" x14ac:dyDescent="0.75">
      <c r="A52" s="496"/>
      <c r="B52" s="499"/>
      <c r="C52" s="504" t="s">
        <v>109</v>
      </c>
      <c r="D52" s="505"/>
      <c r="E52" s="506"/>
      <c r="F52" s="506" t="s">
        <v>492</v>
      </c>
      <c r="G52" s="506"/>
      <c r="H52" s="506"/>
      <c r="I52" s="506" t="s">
        <v>169</v>
      </c>
      <c r="J52" s="499"/>
      <c r="K52" s="506" t="s">
        <v>126</v>
      </c>
      <c r="L52" s="499"/>
    </row>
    <row r="53" spans="1:12" ht="23.25" customHeight="1" x14ac:dyDescent="0.55000000000000004">
      <c r="B53" s="507"/>
      <c r="C53" s="499"/>
      <c r="D53" s="499"/>
      <c r="E53" s="506"/>
      <c r="F53" s="499"/>
      <c r="G53" s="506"/>
      <c r="H53" s="499"/>
      <c r="I53" s="499"/>
      <c r="J53" s="499"/>
      <c r="K53" s="499"/>
      <c r="L53" s="499"/>
    </row>
    <row r="54" spans="1:12" ht="23.25" customHeight="1" x14ac:dyDescent="0.55000000000000004">
      <c r="B54" s="507"/>
      <c r="C54" s="499"/>
      <c r="D54" s="499"/>
      <c r="E54" s="499"/>
      <c r="F54" s="499"/>
      <c r="G54" s="499"/>
      <c r="H54" s="499"/>
      <c r="I54" s="499"/>
      <c r="J54" s="499"/>
      <c r="K54" s="499"/>
      <c r="L54" s="499"/>
    </row>
    <row r="456" spans="4:4" x14ac:dyDescent="0.65">
      <c r="D456" s="520" t="s">
        <v>180</v>
      </c>
    </row>
  </sheetData>
  <mergeCells count="36">
    <mergeCell ref="L27:L31"/>
    <mergeCell ref="B11:D11"/>
    <mergeCell ref="A10:L10"/>
    <mergeCell ref="A7:B8"/>
    <mergeCell ref="C7:C8"/>
    <mergeCell ref="D7:D8"/>
    <mergeCell ref="E7:E8"/>
    <mergeCell ref="F7:F8"/>
    <mergeCell ref="G7:J7"/>
    <mergeCell ref="A9:B9"/>
    <mergeCell ref="A17:A18"/>
    <mergeCell ref="B17:B18"/>
    <mergeCell ref="B16:C16"/>
    <mergeCell ref="C17:C20"/>
    <mergeCell ref="A12:A15"/>
    <mergeCell ref="B12:B15"/>
    <mergeCell ref="B1:E1"/>
    <mergeCell ref="B2:E2"/>
    <mergeCell ref="B3:E3"/>
    <mergeCell ref="A4:L4"/>
    <mergeCell ref="A5:L5"/>
    <mergeCell ref="C12:C15"/>
    <mergeCell ref="L12:L15"/>
    <mergeCell ref="A6:L6"/>
    <mergeCell ref="K7:K8"/>
    <mergeCell ref="L7:L8"/>
    <mergeCell ref="A35:A43"/>
    <mergeCell ref="B21:C21"/>
    <mergeCell ref="B26:C26"/>
    <mergeCell ref="B34:C34"/>
    <mergeCell ref="A22:A25"/>
    <mergeCell ref="B22:B25"/>
    <mergeCell ref="C22:C25"/>
    <mergeCell ref="A27:A33"/>
    <mergeCell ref="B27:B31"/>
    <mergeCell ref="C27:C31"/>
  </mergeCells>
  <phoneticPr fontId="35" type="noConversion"/>
  <printOptions horizontalCentered="1"/>
  <pageMargins left="0.45" right="0.2" top="0.75" bottom="0.5" header="0.3" footer="0.3"/>
  <pageSetup scale="42" fitToHeight="0" orientation="landscape" horizontalDpi="360" verticalDpi="360" r:id="rId1"/>
  <rowBreaks count="1" manualBreakCount="1">
    <brk id="26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02.1 .Block In-out</vt:lpstr>
      <vt:lpstr>02.2 .Block Saw-22</vt:lpstr>
      <vt:lpstr>02.3. Carved Slab-22</vt:lpstr>
      <vt:lpstr>02.4.Polished.22</vt:lpstr>
      <vt:lpstr>02.5.Cut to Size-22</vt:lpstr>
      <vt:lpstr>02.6.SAND BLAST-22</vt:lpstr>
      <vt:lpstr>SUM TOTAL STOCK</vt:lpstr>
      <vt:lpstr>'02.1 .Block In-out'!Print_Area</vt:lpstr>
      <vt:lpstr>'02.3. Carved Slab-22'!Print_Area</vt:lpstr>
      <vt:lpstr>'02.4.Polished.22'!Print_Area</vt:lpstr>
      <vt:lpstr>'02.5.Cut to Size-22'!Print_Area</vt:lpstr>
      <vt:lpstr>'SUM TOTAL STOCK'!Print_Area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Lamuth Vanndy</cp:lastModifiedBy>
  <cp:lastPrinted>2023-02-02T07:59:49Z</cp:lastPrinted>
  <dcterms:created xsi:type="dcterms:W3CDTF">2019-10-13T02:19:03Z</dcterms:created>
  <dcterms:modified xsi:type="dcterms:W3CDTF">2023-02-13T02:50:13Z</dcterms:modified>
</cp:coreProperties>
</file>