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cb789729f317b0/Desktop/"/>
    </mc:Choice>
  </mc:AlternateContent>
  <xr:revisionPtr revIDLastSave="127" documentId="13_ncr:1_{39E26538-D54E-4E71-B143-70B679482E8A}" xr6:coauthVersionLast="47" xr6:coauthVersionMax="47" xr10:uidLastSave="{31D41805-0E30-47BA-9E5B-C58DB45E6A84}"/>
  <bookViews>
    <workbookView xWindow="-110" yWindow="-110" windowWidth="19420" windowHeight="10300" firstSheet="4" activeTab="9" xr2:uid="{EFECA1B9-241D-4C80-8B3C-7F4B61895318}"/>
  </bookViews>
  <sheets>
    <sheet name="Revenue Segment" sheetId="1" r:id="rId1"/>
    <sheet name="IS" sheetId="4" r:id="rId2"/>
    <sheet name="FAS" sheetId="6" r:id="rId3"/>
    <sheet name="DS" sheetId="7" r:id="rId4"/>
    <sheet name="Dupont Analysis" sheetId="20" r:id="rId5"/>
    <sheet name="Ratio Analysis" sheetId="17" r:id="rId6"/>
    <sheet name="BS" sheetId="5" r:id="rId7"/>
    <sheet name="CFS" sheetId="16" r:id="rId8"/>
    <sheet name="FCFF" sheetId="11" r:id="rId9"/>
    <sheet name="WACC" sheetId="14" r:id="rId10"/>
    <sheet name="Regression Beta" sheetId="13" r:id="rId11"/>
    <sheet name="UB &amp; LB" sheetId="22" r:id="rId12"/>
    <sheet name="Valuation " sheetId="23" r:id="rId13"/>
    <sheet name="Output" sheetId="24" r:id="rId14"/>
    <sheet name="Chipotle" sheetId="25" r:id="rId15"/>
    <sheet name="YumBrands" sheetId="26" r:id="rId16"/>
    <sheet name="Darden" sheetId="27" r:id="rId17"/>
    <sheet name="Dominos" sheetId="28" r:id="rId18"/>
    <sheet name="Cava" sheetId="29" r:id="rId19"/>
    <sheet name="Input Sheet (FFA)" sheetId="30" r:id="rId20"/>
    <sheet name="Football Field Analysis" sheetId="31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3" l="1"/>
  <c r="C17" i="13"/>
  <c r="C16" i="13"/>
  <c r="C15" i="13"/>
  <c r="C14" i="13"/>
  <c r="B27" i="14"/>
  <c r="B23" i="14" s="1"/>
  <c r="B28" i="14"/>
  <c r="B51" i="11"/>
  <c r="D82" i="11"/>
  <c r="E82" i="11" s="1"/>
  <c r="F82" i="11" s="1"/>
  <c r="G82" i="11" s="1"/>
  <c r="H82" i="11" s="1"/>
  <c r="I82" i="11" s="1"/>
  <c r="B69" i="11"/>
  <c r="B70" i="11" s="1"/>
  <c r="B71" i="11" s="1"/>
  <c r="B72" i="11" s="1"/>
  <c r="B73" i="11" s="1"/>
  <c r="B74" i="11" s="1"/>
  <c r="B84" i="11" l="1"/>
  <c r="B85" i="11" s="1"/>
  <c r="B86" i="11" s="1"/>
  <c r="B87" i="11" s="1"/>
  <c r="B88" i="11" s="1"/>
  <c r="B89" i="11" s="1"/>
  <c r="B90" i="11" s="1"/>
  <c r="B91" i="11" s="1"/>
  <c r="D67" i="11" l="1"/>
  <c r="E67" i="11" s="1"/>
  <c r="F67" i="11" s="1"/>
  <c r="G67" i="11" s="1"/>
  <c r="H67" i="11" s="1"/>
  <c r="I67" i="11" s="1"/>
  <c r="E8" i="31" l="1"/>
  <c r="E7" i="31"/>
  <c r="E4" i="31"/>
  <c r="E3" i="31"/>
  <c r="F8" i="31"/>
  <c r="D8" i="31"/>
  <c r="F7" i="31"/>
  <c r="D7" i="31"/>
  <c r="F4" i="31"/>
  <c r="D4" i="31"/>
  <c r="F3" i="31"/>
  <c r="D3" i="31"/>
  <c r="C3" i="31" l="1"/>
  <c r="C7" i="31"/>
  <c r="C8" i="31"/>
  <c r="A2" i="29"/>
  <c r="A2" i="28"/>
  <c r="A2" i="27"/>
  <c r="A2" i="26"/>
  <c r="C16" i="29"/>
  <c r="F23" i="29"/>
  <c r="F28" i="29"/>
  <c r="F29" i="29"/>
  <c r="B40" i="29"/>
  <c r="D40" i="29"/>
  <c r="E40" i="29"/>
  <c r="H40" i="29" s="1"/>
  <c r="F40" i="29"/>
  <c r="G40" i="29"/>
  <c r="B41" i="29"/>
  <c r="E41" i="29" s="1"/>
  <c r="D41" i="29"/>
  <c r="H59" i="29"/>
  <c r="K59" i="29" s="1"/>
  <c r="I59" i="29"/>
  <c r="J59" i="29"/>
  <c r="H61" i="29"/>
  <c r="I61" i="29"/>
  <c r="J61" i="29"/>
  <c r="J63" i="29" s="1"/>
  <c r="K61" i="29"/>
  <c r="H63" i="29"/>
  <c r="K63" i="29" s="1"/>
  <c r="I63" i="29"/>
  <c r="L63" i="29"/>
  <c r="M63" i="29"/>
  <c r="M64" i="29" s="1"/>
  <c r="H64" i="29"/>
  <c r="I64" i="29"/>
  <c r="J64" i="29"/>
  <c r="L64" i="29"/>
  <c r="H65" i="29"/>
  <c r="I65" i="29"/>
  <c r="J65" i="29"/>
  <c r="K65" i="29"/>
  <c r="H67" i="29"/>
  <c r="K67" i="29" s="1"/>
  <c r="I67" i="29"/>
  <c r="I72" i="29" s="1"/>
  <c r="I74" i="29" s="1"/>
  <c r="I77" i="29" s="1"/>
  <c r="J67" i="29"/>
  <c r="H68" i="29"/>
  <c r="I68" i="29"/>
  <c r="J68" i="29"/>
  <c r="J70" i="29" s="1"/>
  <c r="H70" i="29"/>
  <c r="I70" i="29"/>
  <c r="H71" i="29"/>
  <c r="L72" i="29"/>
  <c r="M72" i="29"/>
  <c r="L74" i="29"/>
  <c r="M74" i="29"/>
  <c r="H76" i="29"/>
  <c r="I76" i="29"/>
  <c r="J76" i="29"/>
  <c r="C16" i="28"/>
  <c r="E24" i="28"/>
  <c r="F23" i="28" s="1"/>
  <c r="F28" i="28"/>
  <c r="F29" i="28"/>
  <c r="F31" i="28"/>
  <c r="B40" i="28"/>
  <c r="D40" i="28"/>
  <c r="E40" i="28" s="1"/>
  <c r="B41" i="28"/>
  <c r="D41" i="28"/>
  <c r="E41" i="28" s="1"/>
  <c r="H59" i="28"/>
  <c r="I59" i="28"/>
  <c r="J59" i="28"/>
  <c r="K59" i="28"/>
  <c r="H61" i="28"/>
  <c r="K61" i="28" s="1"/>
  <c r="I61" i="28"/>
  <c r="I63" i="28" s="1"/>
  <c r="I65" i="28" s="1"/>
  <c r="J61" i="28"/>
  <c r="J63" i="28"/>
  <c r="L63" i="28"/>
  <c r="L64" i="28" s="1"/>
  <c r="M63" i="28"/>
  <c r="M64" i="28" s="1"/>
  <c r="H64" i="28"/>
  <c r="I64" i="28"/>
  <c r="J64" i="28"/>
  <c r="J65" i="28"/>
  <c r="H67" i="28"/>
  <c r="H72" i="28" s="1"/>
  <c r="I67" i="28"/>
  <c r="J67" i="28"/>
  <c r="K67" i="28"/>
  <c r="H68" i="28"/>
  <c r="H70" i="28" s="1"/>
  <c r="I68" i="28"/>
  <c r="I70" i="28" s="1"/>
  <c r="J68" i="28"/>
  <c r="L74" i="28"/>
  <c r="M74" i="28"/>
  <c r="K77" i="28"/>
  <c r="C16" i="27"/>
  <c r="E24" i="27"/>
  <c r="F23" i="27" s="1"/>
  <c r="D40" i="27"/>
  <c r="E40" i="27" s="1"/>
  <c r="D41" i="27"/>
  <c r="E41" i="27" s="1"/>
  <c r="K59" i="27"/>
  <c r="K61" i="27"/>
  <c r="H63" i="27"/>
  <c r="K63" i="27" s="1"/>
  <c r="I63" i="27"/>
  <c r="J63" i="27"/>
  <c r="L63" i="27"/>
  <c r="M63" i="27"/>
  <c r="I65" i="27"/>
  <c r="J65" i="27"/>
  <c r="K67" i="27"/>
  <c r="H68" i="27"/>
  <c r="I68" i="27"/>
  <c r="J68" i="27"/>
  <c r="I70" i="27"/>
  <c r="I72" i="27" s="1"/>
  <c r="I74" i="27" s="1"/>
  <c r="I77" i="27" s="1"/>
  <c r="J70" i="27"/>
  <c r="J72" i="27" s="1"/>
  <c r="J74" i="27" s="1"/>
  <c r="J77" i="27" s="1"/>
  <c r="L72" i="27"/>
  <c r="M72" i="27"/>
  <c r="L74" i="27"/>
  <c r="M74" i="27"/>
  <c r="C16" i="26"/>
  <c r="E24" i="26"/>
  <c r="F23" i="26" s="1"/>
  <c r="B40" i="26"/>
  <c r="D40" i="26"/>
  <c r="E40" i="26"/>
  <c r="F40" i="26" s="1"/>
  <c r="G40" i="26" s="1"/>
  <c r="H40" i="26" s="1"/>
  <c r="H45" i="26" s="1"/>
  <c r="K59" i="26"/>
  <c r="K61" i="26"/>
  <c r="H63" i="26"/>
  <c r="H65" i="26" s="1"/>
  <c r="K65" i="26" s="1"/>
  <c r="I63" i="26"/>
  <c r="I65" i="26" s="1"/>
  <c r="J63" i="26"/>
  <c r="J65" i="26" s="1"/>
  <c r="K63" i="26"/>
  <c r="L63" i="26"/>
  <c r="M63" i="26"/>
  <c r="K67" i="26"/>
  <c r="H68" i="26"/>
  <c r="H70" i="26" s="1"/>
  <c r="I68" i="26"/>
  <c r="I70" i="26" s="1"/>
  <c r="J68" i="26"/>
  <c r="J70" i="26"/>
  <c r="K72" i="26"/>
  <c r="H74" i="26"/>
  <c r="K74" i="26" s="1"/>
  <c r="I74" i="26"/>
  <c r="I77" i="26" s="1"/>
  <c r="J74" i="26"/>
  <c r="J77" i="26" s="1"/>
  <c r="L74" i="26"/>
  <c r="M74" i="26"/>
  <c r="A2" i="25"/>
  <c r="C16" i="25"/>
  <c r="F23" i="25"/>
  <c r="F28" i="25"/>
  <c r="F29" i="25"/>
  <c r="F31" i="25"/>
  <c r="B40" i="25"/>
  <c r="D40" i="25"/>
  <c r="E40" i="25"/>
  <c r="F40" i="25"/>
  <c r="G40" i="25"/>
  <c r="H40" i="25"/>
  <c r="H45" i="25" s="1"/>
  <c r="B41" i="25"/>
  <c r="D41" i="25"/>
  <c r="E41" i="25"/>
  <c r="F41" i="25"/>
  <c r="G41" i="25"/>
  <c r="H41" i="25"/>
  <c r="H59" i="25"/>
  <c r="K59" i="25" s="1"/>
  <c r="I59" i="25"/>
  <c r="J59" i="25"/>
  <c r="H61" i="25"/>
  <c r="I61" i="25"/>
  <c r="I63" i="25" s="1"/>
  <c r="I65" i="25" s="1"/>
  <c r="J61" i="25"/>
  <c r="J63" i="25" s="1"/>
  <c r="J65" i="25" s="1"/>
  <c r="K61" i="25"/>
  <c r="H63" i="25"/>
  <c r="L63" i="25"/>
  <c r="L64" i="25" s="1"/>
  <c r="M63" i="25"/>
  <c r="M64" i="25" s="1"/>
  <c r="H64" i="25"/>
  <c r="I64" i="25"/>
  <c r="J64" i="25"/>
  <c r="H67" i="25"/>
  <c r="H72" i="25" s="1"/>
  <c r="I67" i="25"/>
  <c r="I72" i="25" s="1"/>
  <c r="I74" i="25" s="1"/>
  <c r="I77" i="25" s="1"/>
  <c r="J67" i="25"/>
  <c r="H68" i="25"/>
  <c r="I68" i="25"/>
  <c r="J68" i="25"/>
  <c r="J72" i="25" s="1"/>
  <c r="J74" i="25" s="1"/>
  <c r="J77" i="25" s="1"/>
  <c r="H70" i="25"/>
  <c r="I70" i="25"/>
  <c r="J70" i="25"/>
  <c r="L72" i="25"/>
  <c r="L74" i="25" s="1"/>
  <c r="M72" i="25"/>
  <c r="M74" i="25" s="1"/>
  <c r="H76" i="25"/>
  <c r="I76" i="25"/>
  <c r="J76" i="25"/>
  <c r="F41" i="29" l="1"/>
  <c r="G41" i="29" s="1"/>
  <c r="H41" i="29"/>
  <c r="H45" i="29" s="1"/>
  <c r="C17" i="29" s="1"/>
  <c r="C18" i="29" s="1"/>
  <c r="F18" i="29" s="1"/>
  <c r="J72" i="29"/>
  <c r="J74" i="29" s="1"/>
  <c r="J77" i="29" s="1"/>
  <c r="H72" i="29"/>
  <c r="F40" i="28"/>
  <c r="G40" i="28" s="1"/>
  <c r="H40" i="28"/>
  <c r="F41" i="28"/>
  <c r="G41" i="28" s="1"/>
  <c r="H41" i="28" s="1"/>
  <c r="H74" i="28"/>
  <c r="J70" i="28"/>
  <c r="J72" i="28" s="1"/>
  <c r="H63" i="28"/>
  <c r="I72" i="28"/>
  <c r="I74" i="28" s="1"/>
  <c r="F41" i="27"/>
  <c r="G41" i="27" s="1"/>
  <c r="H41" i="27"/>
  <c r="F40" i="27"/>
  <c r="G40" i="27" s="1"/>
  <c r="H40" i="27" s="1"/>
  <c r="H45" i="27" s="1"/>
  <c r="C17" i="27" s="1"/>
  <c r="C18" i="27" s="1"/>
  <c r="F18" i="27" s="1"/>
  <c r="H70" i="27"/>
  <c r="H72" i="27" s="1"/>
  <c r="H65" i="27"/>
  <c r="K65" i="27" s="1"/>
  <c r="C17" i="26"/>
  <c r="C18" i="26" s="1"/>
  <c r="F18" i="26" s="1"/>
  <c r="H77" i="26"/>
  <c r="K77" i="26" s="1"/>
  <c r="K72" i="25"/>
  <c r="H74" i="25"/>
  <c r="K63" i="25"/>
  <c r="C17" i="25"/>
  <c r="C18" i="25" s="1"/>
  <c r="F18" i="25" s="1"/>
  <c r="H65" i="25"/>
  <c r="K65" i="25" s="1"/>
  <c r="K67" i="25"/>
  <c r="E15" i="24" a="1"/>
  <c r="F30" i="29" l="1"/>
  <c r="F32" i="29" s="1"/>
  <c r="F33" i="29"/>
  <c r="H74" i="29"/>
  <c r="K72" i="29"/>
  <c r="J74" i="28"/>
  <c r="K74" i="28" s="1"/>
  <c r="K72" i="28"/>
  <c r="H45" i="28"/>
  <c r="C17" i="28" s="1"/>
  <c r="C18" i="28" s="1"/>
  <c r="F18" i="28" s="1"/>
  <c r="K63" i="28"/>
  <c r="H65" i="28"/>
  <c r="K65" i="28" s="1"/>
  <c r="H74" i="27"/>
  <c r="K72" i="27"/>
  <c r="F33" i="27"/>
  <c r="F30" i="27"/>
  <c r="F32" i="27" s="1"/>
  <c r="F33" i="26"/>
  <c r="F30" i="26"/>
  <c r="F32" i="26" s="1"/>
  <c r="F33" i="25"/>
  <c r="F30" i="25"/>
  <c r="F32" i="25" s="1"/>
  <c r="K74" i="25"/>
  <c r="H77" i="25"/>
  <c r="K77" i="25" s="1"/>
  <c r="E15" i="24"/>
  <c r="D15" i="24" a="1"/>
  <c r="F15" i="24" a="1"/>
  <c r="H77" i="29" l="1"/>
  <c r="K77" i="29" s="1"/>
  <c r="K74" i="29"/>
  <c r="F33" i="28"/>
  <c r="F30" i="28"/>
  <c r="F32" i="28" s="1"/>
  <c r="K74" i="27"/>
  <c r="H77" i="27"/>
  <c r="K77" i="27" s="1"/>
  <c r="D15" i="24"/>
  <c r="F15" i="24"/>
  <c r="H2" i="23" a="1"/>
  <c r="H2" i="23" s="1"/>
  <c r="B7" i="23"/>
  <c r="H7" i="23"/>
  <c r="H27" i="23" s="1"/>
  <c r="K7" i="23"/>
  <c r="B8" i="23"/>
  <c r="G8" i="23"/>
  <c r="J8" i="23"/>
  <c r="J17" i="23" s="1"/>
  <c r="B9" i="23"/>
  <c r="G9" i="23"/>
  <c r="J9" i="23"/>
  <c r="J18" i="23" s="1"/>
  <c r="B16" i="23"/>
  <c r="G16" i="23"/>
  <c r="I16" i="23"/>
  <c r="J16" i="23"/>
  <c r="B17" i="23"/>
  <c r="G17" i="23"/>
  <c r="I17" i="23"/>
  <c r="B18" i="23"/>
  <c r="G18" i="23"/>
  <c r="H18" i="23"/>
  <c r="I18" i="23"/>
  <c r="B25" i="23"/>
  <c r="G25" i="23"/>
  <c r="I25" i="23"/>
  <c r="J25" i="23"/>
  <c r="B26" i="23"/>
  <c r="G26" i="23"/>
  <c r="H26" i="23"/>
  <c r="I26" i="23"/>
  <c r="J26" i="23"/>
  <c r="B27" i="23"/>
  <c r="G27" i="23"/>
  <c r="I27" i="23"/>
  <c r="J27" i="23"/>
  <c r="D52" i="23"/>
  <c r="E52" i="23" s="1"/>
  <c r="F52" i="23" s="1"/>
  <c r="G52" i="23" s="1"/>
  <c r="I52" i="23"/>
  <c r="D53" i="23"/>
  <c r="E53" i="23" s="1"/>
  <c r="E24" i="24" a="1"/>
  <c r="D20" i="24" a="1"/>
  <c r="B23" i="24" a="1"/>
  <c r="F21" i="24" a="1"/>
  <c r="O15" i="24" a="1"/>
  <c r="F19" i="24" a="1"/>
  <c r="E19" i="24" a="1"/>
  <c r="U16" i="24" a="1"/>
  <c r="D23" i="24" a="1"/>
  <c r="D18" i="24" a="1"/>
  <c r="U24" i="24" a="1"/>
  <c r="D21" i="24" a="1"/>
  <c r="E22" i="24" a="1"/>
  <c r="F17" i="24" a="1"/>
  <c r="E20" i="24" a="1"/>
  <c r="U20" i="24" a="1"/>
  <c r="U23" i="24" a="1"/>
  <c r="F18" i="24" a="1"/>
  <c r="F24" i="24" a="1"/>
  <c r="E17" i="24" a="1"/>
  <c r="D19" i="24" a="1"/>
  <c r="U18" i="24" a="1"/>
  <c r="U19" i="24" a="1"/>
  <c r="E16" i="24" a="1"/>
  <c r="E18" i="24" a="1"/>
  <c r="E23" i="24" a="1"/>
  <c r="D24" i="24" a="1"/>
  <c r="B24" i="24" a="1"/>
  <c r="F23" i="24" a="1"/>
  <c r="J15" i="24" a="1"/>
  <c r="B22" i="24" a="1"/>
  <c r="T15" i="24" a="1"/>
  <c r="F22" i="24" a="1"/>
  <c r="E21" i="24" a="1"/>
  <c r="U15" i="24" a="1"/>
  <c r="D17" i="24" a="1"/>
  <c r="D16" i="24" a="1"/>
  <c r="D22" i="24" a="1"/>
  <c r="U22" i="24" a="1"/>
  <c r="U17" i="24" a="1"/>
  <c r="F20" i="24" a="1"/>
  <c r="U21" i="24" a="1"/>
  <c r="F16" i="24" a="1"/>
  <c r="F53" i="23" l="1"/>
  <c r="G53" i="23" s="1"/>
  <c r="H53" i="23"/>
  <c r="F18" i="24"/>
  <c r="F16" i="24"/>
  <c r="F19" i="24"/>
  <c r="F20" i="24"/>
  <c r="D23" i="24"/>
  <c r="J15" i="24"/>
  <c r="F21" i="24"/>
  <c r="T15" i="24"/>
  <c r="F17" i="24"/>
  <c r="F24" i="24"/>
  <c r="O15" i="24"/>
  <c r="E22" i="24"/>
  <c r="U24" i="24"/>
  <c r="B24" i="24"/>
  <c r="U23" i="24"/>
  <c r="B23" i="24"/>
  <c r="E20" i="24"/>
  <c r="E16" i="24"/>
  <c r="E24" i="24"/>
  <c r="F23" i="24"/>
  <c r="U22" i="24"/>
  <c r="B22" i="24"/>
  <c r="D21" i="24"/>
  <c r="D20" i="24"/>
  <c r="D19" i="24"/>
  <c r="D18" i="24"/>
  <c r="D17" i="24"/>
  <c r="D16" i="24"/>
  <c r="E18" i="24"/>
  <c r="E17" i="24"/>
  <c r="D22" i="24"/>
  <c r="E21" i="24"/>
  <c r="E19" i="24"/>
  <c r="D24" i="24"/>
  <c r="E23" i="24"/>
  <c r="F22" i="24"/>
  <c r="U21" i="24"/>
  <c r="U20" i="24"/>
  <c r="U19" i="24"/>
  <c r="U18" i="24"/>
  <c r="U17" i="24"/>
  <c r="U16" i="24"/>
  <c r="U15" i="24"/>
  <c r="H52" i="23"/>
  <c r="K27" i="23"/>
  <c r="K18" i="23"/>
  <c r="K26" i="23"/>
  <c r="K9" i="23"/>
  <c r="K17" i="23"/>
  <c r="K25" i="23"/>
  <c r="K16" i="23"/>
  <c r="K8" i="23"/>
  <c r="H17" i="23"/>
  <c r="H25" i="23"/>
  <c r="H9" i="23"/>
  <c r="H16" i="23"/>
  <c r="H8" i="23"/>
  <c r="H15" i="24" a="1"/>
  <c r="G15" i="24" a="1"/>
  <c r="N15" i="24" a="1"/>
  <c r="S15" i="24" a="1"/>
  <c r="Q15" i="24" a="1"/>
  <c r="L15" i="24" a="1"/>
  <c r="R15" i="24" a="1"/>
  <c r="I15" i="24" a="1"/>
  <c r="M15" i="24" a="1"/>
  <c r="N15" i="24" l="1"/>
  <c r="I15" i="24"/>
  <c r="S15" i="24"/>
  <c r="R15" i="24"/>
  <c r="Q15" i="24"/>
  <c r="L15" i="24"/>
  <c r="G15" i="24"/>
  <c r="M15" i="24"/>
  <c r="H15" i="24"/>
  <c r="H54" i="23"/>
  <c r="C45" i="23" s="1"/>
  <c r="J52" i="23"/>
  <c r="O21" i="24" a="1"/>
  <c r="H17" i="24" a="1"/>
  <c r="G23" i="24" a="1"/>
  <c r="J20" i="24" a="1"/>
  <c r="Q21" i="24" a="1"/>
  <c r="H24" i="24" a="1"/>
  <c r="L24" i="24" a="1"/>
  <c r="J16" i="24" a="1"/>
  <c r="Q24" i="24" a="1"/>
  <c r="S24" i="24" a="1"/>
  <c r="T23" i="24" a="1"/>
  <c r="G17" i="24" a="1"/>
  <c r="I24" i="24" a="1"/>
  <c r="J24" i="24" a="1"/>
  <c r="T17" i="24" a="1"/>
  <c r="R21" i="24" a="1"/>
  <c r="H21" i="24" a="1"/>
  <c r="I23" i="24" a="1"/>
  <c r="I18" i="24" a="1"/>
  <c r="R22" i="24" a="1"/>
  <c r="N18" i="24" a="1"/>
  <c r="T21" i="24" a="1"/>
  <c r="N19" i="24" a="1"/>
  <c r="L22" i="24" a="1"/>
  <c r="H18" i="24" a="1"/>
  <c r="L19" i="24" a="1"/>
  <c r="L21" i="24" a="1"/>
  <c r="H23" i="24" a="1"/>
  <c r="Q17" i="24" a="1"/>
  <c r="I21" i="24" a="1"/>
  <c r="H19" i="24" a="1"/>
  <c r="J17" i="24" a="1"/>
  <c r="G21" i="24" a="1"/>
  <c r="G16" i="24" a="1"/>
  <c r="N16" i="24" a="1"/>
  <c r="T16" i="24" a="1"/>
  <c r="T18" i="24" a="1"/>
  <c r="I16" i="24" a="1"/>
  <c r="M23" i="24" a="1"/>
  <c r="I22" i="24" a="1"/>
  <c r="O18" i="24" a="1"/>
  <c r="N23" i="24" a="1"/>
  <c r="T19" i="24" a="1"/>
  <c r="N24" i="24" a="1"/>
  <c r="I19" i="24" a="1"/>
  <c r="R16" i="24" a="1"/>
  <c r="J21" i="24" a="1"/>
  <c r="S21" i="24" a="1"/>
  <c r="H20" i="24" a="1"/>
  <c r="H22" i="24" a="1"/>
  <c r="T24" i="24" a="1"/>
  <c r="O20" i="24" a="1"/>
  <c r="G18" i="24" a="1"/>
  <c r="M20" i="24" a="1"/>
  <c r="R17" i="24" a="1"/>
  <c r="O17" i="24" a="1"/>
  <c r="N21" i="24" a="1"/>
  <c r="N17" i="24" a="1"/>
  <c r="J22" i="24" a="1"/>
  <c r="L17" i="24" a="1"/>
  <c r="Q16" i="24" a="1"/>
  <c r="O23" i="24" a="1"/>
  <c r="G22" i="24" a="1"/>
  <c r="O19" i="24" a="1"/>
  <c r="N20" i="24" a="1"/>
  <c r="L16" i="24" a="1"/>
  <c r="M16" i="24" a="1"/>
  <c r="L20" i="24" a="1"/>
  <c r="R23" i="24" a="1"/>
  <c r="R20" i="24" a="1"/>
  <c r="S16" i="24" a="1"/>
  <c r="R24" i="24" a="1"/>
  <c r="Q22" i="24" a="1"/>
  <c r="M24" i="24" a="1"/>
  <c r="O22" i="24" a="1"/>
  <c r="O16" i="24" a="1"/>
  <c r="S20" i="24" a="1"/>
  <c r="J18" i="24" a="1"/>
  <c r="G24" i="24" a="1"/>
  <c r="H16" i="24" a="1"/>
  <c r="M21" i="24" a="1"/>
  <c r="T22" i="24" a="1"/>
  <c r="Q19" i="24" a="1"/>
  <c r="I17" i="24" a="1"/>
  <c r="M17" i="24" a="1"/>
  <c r="J19" i="24" a="1"/>
  <c r="S17" i="24" a="1"/>
  <c r="S23" i="24" a="1"/>
  <c r="M19" i="24" a="1"/>
  <c r="S18" i="24" a="1"/>
  <c r="L18" i="24" a="1"/>
  <c r="M18" i="24" a="1"/>
  <c r="Q18" i="24" a="1"/>
  <c r="R19" i="24" a="1"/>
  <c r="G20" i="24" a="1"/>
  <c r="I20" i="24" a="1"/>
  <c r="J23" i="24" a="1"/>
  <c r="L23" i="24" a="1"/>
  <c r="G19" i="24" a="1"/>
  <c r="Q23" i="24" a="1"/>
  <c r="Q20" i="24" a="1"/>
  <c r="N22" i="24" a="1"/>
  <c r="O24" i="24" a="1"/>
  <c r="T20" i="24" a="1"/>
  <c r="S19" i="24" a="1"/>
  <c r="S22" i="24" a="1"/>
  <c r="R18" i="24" a="1"/>
  <c r="M22" i="24" a="1"/>
  <c r="H24" i="24" l="1"/>
  <c r="L23" i="24"/>
  <c r="T17" i="24"/>
  <c r="I19" i="24"/>
  <c r="M17" i="24"/>
  <c r="H16" i="24"/>
  <c r="H20" i="24"/>
  <c r="H22" i="24"/>
  <c r="S19" i="24"/>
  <c r="O20" i="24"/>
  <c r="I16" i="24"/>
  <c r="S20" i="24"/>
  <c r="Q22" i="24"/>
  <c r="Q19" i="24"/>
  <c r="S17" i="24"/>
  <c r="S16" i="24"/>
  <c r="N20" i="24"/>
  <c r="L22" i="24"/>
  <c r="L19" i="24"/>
  <c r="N17" i="24"/>
  <c r="I20" i="24"/>
  <c r="G22" i="24"/>
  <c r="J21" i="24"/>
  <c r="Q23" i="24"/>
  <c r="S22" i="24"/>
  <c r="T18" i="24"/>
  <c r="H18" i="24"/>
  <c r="R19" i="24"/>
  <c r="O21" i="24"/>
  <c r="Q17" i="24"/>
  <c r="T19" i="24"/>
  <c r="L21" i="24"/>
  <c r="M16" i="24"/>
  <c r="M20" i="24"/>
  <c r="M22" i="24"/>
  <c r="T20" i="24"/>
  <c r="J16" i="24"/>
  <c r="S23" i="24"/>
  <c r="Q18" i="24"/>
  <c r="H21" i="24"/>
  <c r="Q24" i="24"/>
  <c r="J22" i="24"/>
  <c r="J17" i="24"/>
  <c r="T24" i="24"/>
  <c r="J20" i="24"/>
  <c r="O16" i="24"/>
  <c r="I23" i="24"/>
  <c r="G18" i="24"/>
  <c r="O19" i="24"/>
  <c r="N16" i="24"/>
  <c r="T23" i="24"/>
  <c r="N22" i="24"/>
  <c r="N19" i="24"/>
  <c r="J19" i="24"/>
  <c r="I24" i="24"/>
  <c r="O23" i="24"/>
  <c r="R24" i="24"/>
  <c r="J23" i="24"/>
  <c r="L20" i="24"/>
  <c r="R23" i="24"/>
  <c r="R22" i="24"/>
  <c r="J18" i="24"/>
  <c r="S18" i="24"/>
  <c r="M19" i="24"/>
  <c r="T21" i="24"/>
  <c r="L17" i="24"/>
  <c r="I21" i="24"/>
  <c r="G21" i="24"/>
  <c r="G24" i="24"/>
  <c r="T22" i="24"/>
  <c r="I18" i="24"/>
  <c r="M21" i="24"/>
  <c r="L24" i="24"/>
  <c r="O22" i="24"/>
  <c r="O17" i="24"/>
  <c r="O24" i="24"/>
  <c r="H17" i="24"/>
  <c r="T16" i="24"/>
  <c r="N23" i="24"/>
  <c r="L18" i="24"/>
  <c r="S21" i="24"/>
  <c r="S24" i="24"/>
  <c r="M23" i="24"/>
  <c r="R18" i="24"/>
  <c r="J24" i="24"/>
  <c r="N21" i="24"/>
  <c r="N24" i="24"/>
  <c r="H23" i="24"/>
  <c r="M18" i="24"/>
  <c r="G19" i="24"/>
  <c r="I17" i="24"/>
  <c r="Q21" i="24"/>
  <c r="Q16" i="24"/>
  <c r="Q20" i="24"/>
  <c r="L16" i="24"/>
  <c r="R16" i="24"/>
  <c r="G16" i="24"/>
  <c r="M24" i="24"/>
  <c r="R20" i="24"/>
  <c r="G20" i="24"/>
  <c r="G23" i="24"/>
  <c r="I22" i="24"/>
  <c r="O18" i="24"/>
  <c r="N18" i="24"/>
  <c r="H19" i="24"/>
  <c r="R17" i="24"/>
  <c r="G17" i="24"/>
  <c r="R21" i="24"/>
  <c r="N8" i="23"/>
  <c r="N7" i="23"/>
  <c r="N27" i="23"/>
  <c r="N16" i="23"/>
  <c r="N17" i="23" s="1"/>
  <c r="N18" i="23" s="1"/>
  <c r="N9" i="23"/>
  <c r="N25" i="23"/>
  <c r="N26" i="23"/>
  <c r="N27" i="24" l="1"/>
  <c r="R26" i="24"/>
  <c r="L26" i="24"/>
  <c r="I28" i="24"/>
  <c r="M28" i="24"/>
  <c r="G25" i="24"/>
  <c r="H25" i="24"/>
  <c r="L27" i="24"/>
  <c r="S27" i="24"/>
  <c r="G28" i="24"/>
  <c r="N26" i="24"/>
  <c r="N28" i="24"/>
  <c r="Q25" i="24"/>
  <c r="I26" i="24"/>
  <c r="R28" i="24"/>
  <c r="I27" i="24"/>
  <c r="G27" i="24"/>
  <c r="M26" i="24"/>
  <c r="Q27" i="24"/>
  <c r="Q28" i="24"/>
  <c r="N25" i="24"/>
  <c r="M27" i="24"/>
  <c r="G26" i="24"/>
  <c r="R27" i="24"/>
  <c r="R25" i="24"/>
  <c r="M25" i="24"/>
  <c r="Q26" i="24"/>
  <c r="L25" i="24"/>
  <c r="S26" i="24"/>
  <c r="J25" i="24"/>
  <c r="J27" i="24"/>
  <c r="J28" i="24"/>
  <c r="J26" i="24"/>
  <c r="H28" i="24"/>
  <c r="H26" i="24"/>
  <c r="S28" i="24"/>
  <c r="I25" i="24"/>
  <c r="L28" i="24"/>
  <c r="S25" i="24"/>
  <c r="T25" i="24"/>
  <c r="T26" i="24"/>
  <c r="D35" i="23" s="1"/>
  <c r="P35" i="23" s="1"/>
  <c r="T27" i="24"/>
  <c r="T28" i="24"/>
  <c r="O28" i="24"/>
  <c r="O27" i="24"/>
  <c r="O26" i="24"/>
  <c r="C34" i="23" s="1"/>
  <c r="O34" i="23" s="1"/>
  <c r="O25" i="24"/>
  <c r="H27" i="24"/>
  <c r="D34" i="23" l="1"/>
  <c r="P34" i="23" s="1"/>
  <c r="P37" i="23" s="1"/>
  <c r="C35" i="23"/>
  <c r="O35" i="23" s="1"/>
  <c r="O37" i="23" s="1"/>
  <c r="D27" i="23" l="1"/>
  <c r="F27" i="23" s="1"/>
  <c r="M27" i="23" s="1"/>
  <c r="P27" i="23" s="1"/>
  <c r="C27" i="23"/>
  <c r="E27" i="23" s="1"/>
  <c r="L27" i="23" s="1"/>
  <c r="O27" i="23" s="1"/>
  <c r="C8" i="23"/>
  <c r="D8" i="23"/>
  <c r="D18" i="23"/>
  <c r="F18" i="23" s="1"/>
  <c r="M18" i="23" s="1"/>
  <c r="P18" i="23" s="1"/>
  <c r="C18" i="23"/>
  <c r="E18" i="23" s="1"/>
  <c r="L18" i="23" s="1"/>
  <c r="O18" i="23" s="1"/>
  <c r="D25" i="23"/>
  <c r="F25" i="23" s="1"/>
  <c r="M25" i="23" s="1"/>
  <c r="P25" i="23" s="1"/>
  <c r="C25" i="23"/>
  <c r="E25" i="23" s="1"/>
  <c r="L25" i="23" s="1"/>
  <c r="O25" i="23" s="1"/>
  <c r="D9" i="23"/>
  <c r="C9" i="23"/>
  <c r="D17" i="23"/>
  <c r="F17" i="23" s="1"/>
  <c r="M17" i="23" s="1"/>
  <c r="P17" i="23" s="1"/>
  <c r="C17" i="23"/>
  <c r="E17" i="23" s="1"/>
  <c r="L17" i="23" s="1"/>
  <c r="O17" i="23" s="1"/>
  <c r="D26" i="23"/>
  <c r="F26" i="23" s="1"/>
  <c r="M26" i="23" s="1"/>
  <c r="P26" i="23" s="1"/>
  <c r="C26" i="23"/>
  <c r="E26" i="23" s="1"/>
  <c r="L26" i="23" s="1"/>
  <c r="O26" i="23" s="1"/>
  <c r="F9" i="23" l="1"/>
  <c r="M9" i="23" s="1"/>
  <c r="P9" i="23" s="1"/>
  <c r="I11" i="30" s="1"/>
  <c r="F6" i="31" s="1"/>
  <c r="F11" i="30"/>
  <c r="E9" i="23"/>
  <c r="L9" i="23" s="1"/>
  <c r="O9" i="23" s="1"/>
  <c r="H11" i="30" s="1"/>
  <c r="D6" i="31" s="1"/>
  <c r="E11" i="30"/>
  <c r="F8" i="23"/>
  <c r="M8" i="23" s="1"/>
  <c r="P8" i="23" s="1"/>
  <c r="I10" i="30" s="1"/>
  <c r="F5" i="31" s="1"/>
  <c r="F10" i="30"/>
  <c r="E8" i="23"/>
  <c r="L8" i="23" s="1"/>
  <c r="O8" i="23" s="1"/>
  <c r="H10" i="30" s="1"/>
  <c r="D5" i="31" s="1"/>
  <c r="E10" i="30"/>
  <c r="P29" i="23"/>
  <c r="O29" i="23"/>
  <c r="C16" i="23"/>
  <c r="E16" i="23" s="1"/>
  <c r="L16" i="23" s="1"/>
  <c r="O16" i="23" s="1"/>
  <c r="O20" i="23" s="1"/>
  <c r="D16" i="23"/>
  <c r="F16" i="23" s="1"/>
  <c r="M16" i="23" s="1"/>
  <c r="P16" i="23" s="1"/>
  <c r="P20" i="23" s="1"/>
  <c r="E5" i="31" l="1"/>
  <c r="E6" i="31"/>
  <c r="C7" i="23"/>
  <c r="E7" i="23" s="1"/>
  <c r="L7" i="23" s="1"/>
  <c r="O7" i="23" s="1"/>
  <c r="O11" i="23" s="1"/>
  <c r="D7" i="23"/>
  <c r="F7" i="23" s="1"/>
  <c r="M7" i="23" s="1"/>
  <c r="P7" i="23" s="1"/>
  <c r="P11" i="23" s="1"/>
  <c r="C14" i="22"/>
  <c r="K12" i="22"/>
  <c r="M12" i="22"/>
  <c r="K10" i="22" l="1"/>
  <c r="K9" i="22" l="1"/>
  <c r="K8" i="22"/>
  <c r="K7" i="22"/>
  <c r="K6" i="22"/>
  <c r="K5" i="22"/>
  <c r="M9" i="22" l="1"/>
  <c r="M8" i="22"/>
  <c r="M7" i="22"/>
  <c r="M6" i="22"/>
  <c r="M5" i="22"/>
  <c r="C15" i="22" l="1"/>
  <c r="J12" i="22"/>
  <c r="H12" i="22"/>
  <c r="F12" i="22"/>
  <c r="D12" i="22"/>
  <c r="J9" i="22"/>
  <c r="J8" i="22"/>
  <c r="J7" i="22"/>
  <c r="J6" i="22"/>
  <c r="J5" i="22"/>
  <c r="H8" i="22"/>
  <c r="H7" i="22"/>
  <c r="H6" i="22"/>
  <c r="H5" i="22"/>
  <c r="F9" i="22"/>
  <c r="F5" i="22"/>
  <c r="F8" i="22" l="1"/>
  <c r="F7" i="22"/>
  <c r="B42" i="11" l="1"/>
  <c r="C11" i="17" l="1"/>
  <c r="C10" i="17"/>
  <c r="F21" i="11"/>
  <c r="F6" i="22" l="1"/>
  <c r="F10" i="22" s="1"/>
  <c r="D9" i="22"/>
  <c r="D8" i="22"/>
  <c r="D7" i="22"/>
  <c r="D6" i="22"/>
  <c r="D5" i="22"/>
  <c r="H9" i="22"/>
  <c r="H10" i="22" s="1"/>
  <c r="G19" i="20" l="1"/>
  <c r="F19" i="20"/>
  <c r="E19" i="20"/>
  <c r="D19" i="20"/>
  <c r="C19" i="20"/>
  <c r="B19" i="20"/>
  <c r="G18" i="20"/>
  <c r="F18" i="20"/>
  <c r="E18" i="20"/>
  <c r="D18" i="20"/>
  <c r="C18" i="20"/>
  <c r="B18" i="20"/>
  <c r="G15" i="20"/>
  <c r="F15" i="20"/>
  <c r="E15" i="20"/>
  <c r="D15" i="20"/>
  <c r="C15" i="20"/>
  <c r="B15" i="20"/>
  <c r="G6" i="20"/>
  <c r="F6" i="20"/>
  <c r="E6" i="20"/>
  <c r="D6" i="20"/>
  <c r="C6" i="20"/>
  <c r="B6" i="20"/>
  <c r="C20" i="20" l="1"/>
  <c r="G20" i="20"/>
  <c r="B20" i="20"/>
  <c r="E20" i="20"/>
  <c r="D20" i="20"/>
  <c r="F20" i="20"/>
  <c r="B37" i="11" l="1"/>
  <c r="F37" i="11" s="1"/>
  <c r="F42" i="11"/>
  <c r="B39" i="11"/>
  <c r="F39" i="11" s="1"/>
  <c r="B38" i="11"/>
  <c r="F38" i="11" s="1"/>
  <c r="B53" i="11" l="1"/>
  <c r="B52" i="11"/>
  <c r="H14" i="7"/>
  <c r="H11" i="7"/>
  <c r="H10" i="7"/>
  <c r="E21" i="7"/>
  <c r="F21" i="7"/>
  <c r="E22" i="7"/>
  <c r="F22" i="7"/>
  <c r="E23" i="7"/>
  <c r="F23" i="7"/>
  <c r="E24" i="7"/>
  <c r="F24" i="7"/>
  <c r="E25" i="7"/>
  <c r="F25" i="7"/>
  <c r="E26" i="7"/>
  <c r="F26" i="7"/>
  <c r="E27" i="7"/>
  <c r="F27" i="7"/>
  <c r="E28" i="7"/>
  <c r="F28" i="7"/>
  <c r="E29" i="7"/>
  <c r="F29" i="7"/>
  <c r="E30" i="7"/>
  <c r="F30" i="7"/>
  <c r="E31" i="7"/>
  <c r="F31" i="7"/>
  <c r="E32" i="7"/>
  <c r="F32" i="7"/>
  <c r="E33" i="7"/>
  <c r="F33" i="7"/>
  <c r="E34" i="7"/>
  <c r="F34" i="7"/>
  <c r="E35" i="7"/>
  <c r="F35" i="7"/>
  <c r="E36" i="7"/>
  <c r="F36" i="7"/>
  <c r="E37" i="7"/>
  <c r="F37" i="7"/>
  <c r="C5" i="7"/>
  <c r="B39" i="14"/>
  <c r="B38" i="14"/>
  <c r="B9" i="13"/>
  <c r="B54" i="11" l="1"/>
  <c r="B40" i="14"/>
  <c r="AG110" i="13"/>
  <c r="AG23" i="13"/>
  <c r="AG24" i="13"/>
  <c r="AG25" i="13"/>
  <c r="AG26" i="13"/>
  <c r="AG27" i="13"/>
  <c r="AG28" i="13"/>
  <c r="AG29" i="13"/>
  <c r="AG30" i="13"/>
  <c r="AG31" i="13"/>
  <c r="AG32" i="13"/>
  <c r="AG33" i="13"/>
  <c r="AG34" i="13"/>
  <c r="AG35" i="13"/>
  <c r="AG36" i="13"/>
  <c r="AG37" i="13"/>
  <c r="AG38" i="13"/>
  <c r="AG39" i="13"/>
  <c r="AG40" i="13"/>
  <c r="AG41" i="13"/>
  <c r="AG42" i="13"/>
  <c r="AG43" i="13"/>
  <c r="AG44" i="13"/>
  <c r="AG45" i="13"/>
  <c r="AG46" i="13"/>
  <c r="AG47" i="13"/>
  <c r="AG48" i="13"/>
  <c r="AG49" i="13"/>
  <c r="AG50" i="13"/>
  <c r="AG51" i="13"/>
  <c r="AG52" i="13"/>
  <c r="AG53" i="13"/>
  <c r="AG54" i="13"/>
  <c r="AG55" i="13"/>
  <c r="AG56" i="13"/>
  <c r="AG57" i="13"/>
  <c r="AG58" i="13"/>
  <c r="AG59" i="13"/>
  <c r="AG60" i="13"/>
  <c r="AG61" i="13"/>
  <c r="AG62" i="13"/>
  <c r="AG63" i="13"/>
  <c r="AG64" i="13"/>
  <c r="AG65" i="13"/>
  <c r="AG66" i="13"/>
  <c r="AG67" i="13"/>
  <c r="AG68" i="13"/>
  <c r="AG69" i="13"/>
  <c r="AG70" i="13"/>
  <c r="AG71" i="13"/>
  <c r="AG72" i="13"/>
  <c r="AG73" i="13"/>
  <c r="AG74" i="13"/>
  <c r="AG75" i="13"/>
  <c r="AG76" i="13"/>
  <c r="AG77" i="13"/>
  <c r="AG78" i="13"/>
  <c r="AG79" i="13"/>
  <c r="AG80" i="13"/>
  <c r="AG81" i="13"/>
  <c r="AG82" i="13"/>
  <c r="AG83" i="13"/>
  <c r="AG84" i="13"/>
  <c r="AG85" i="13"/>
  <c r="AG86" i="13"/>
  <c r="AG87" i="13"/>
  <c r="AG88" i="13"/>
  <c r="AG89" i="13"/>
  <c r="AG90" i="13"/>
  <c r="AG91" i="13"/>
  <c r="AG92" i="13"/>
  <c r="AG93" i="13"/>
  <c r="AG94" i="13"/>
  <c r="AG95" i="13"/>
  <c r="AG96" i="13"/>
  <c r="AG97" i="13"/>
  <c r="AG98" i="13"/>
  <c r="AG99" i="13"/>
  <c r="AG100" i="13"/>
  <c r="AG101" i="13"/>
  <c r="AG102" i="13"/>
  <c r="AG103" i="13"/>
  <c r="AG104" i="13"/>
  <c r="AG105" i="13"/>
  <c r="AG106" i="13"/>
  <c r="AG107" i="13"/>
  <c r="AG108" i="13"/>
  <c r="AB284" i="13"/>
  <c r="AB232" i="13"/>
  <c r="AB282" i="13"/>
  <c r="AB233" i="13"/>
  <c r="AB234" i="13"/>
  <c r="AB235" i="13"/>
  <c r="AB236" i="13"/>
  <c r="AB237" i="13"/>
  <c r="AB238" i="13"/>
  <c r="AB239" i="13"/>
  <c r="AB240" i="13"/>
  <c r="AB241" i="13"/>
  <c r="AB242" i="13"/>
  <c r="AB243" i="13"/>
  <c r="AB244" i="13"/>
  <c r="AB245" i="13"/>
  <c r="AB246" i="13"/>
  <c r="AB247" i="13"/>
  <c r="AB248" i="13"/>
  <c r="AB249" i="13"/>
  <c r="AB250" i="13"/>
  <c r="AB251" i="13"/>
  <c r="AB252" i="13"/>
  <c r="AB253" i="13"/>
  <c r="AB254" i="13"/>
  <c r="AB255" i="13"/>
  <c r="AB256" i="13"/>
  <c r="AB257" i="13"/>
  <c r="AB258" i="13"/>
  <c r="AB259" i="13"/>
  <c r="AB260" i="13"/>
  <c r="AB261" i="13"/>
  <c r="AB262" i="13"/>
  <c r="AB263" i="13"/>
  <c r="AB264" i="13"/>
  <c r="AB265" i="13"/>
  <c r="AB266" i="13"/>
  <c r="AB267" i="13"/>
  <c r="AB268" i="13"/>
  <c r="AB269" i="13"/>
  <c r="AB270" i="13"/>
  <c r="AB271" i="13"/>
  <c r="AB272" i="13"/>
  <c r="AB273" i="13"/>
  <c r="AB274" i="13"/>
  <c r="AB275" i="13"/>
  <c r="AB276" i="13"/>
  <c r="AB277" i="13"/>
  <c r="AB278" i="13"/>
  <c r="AB279" i="13"/>
  <c r="AB280" i="13"/>
  <c r="AB281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43" i="13"/>
  <c r="AB44" i="13"/>
  <c r="AB45" i="13"/>
  <c r="AB46" i="13"/>
  <c r="AB47" i="13"/>
  <c r="AB48" i="13"/>
  <c r="AB49" i="13"/>
  <c r="AB50" i="13"/>
  <c r="AB51" i="13"/>
  <c r="AB52" i="13"/>
  <c r="AB53" i="13"/>
  <c r="AB54" i="13"/>
  <c r="AB55" i="13"/>
  <c r="AB56" i="13"/>
  <c r="AB57" i="13"/>
  <c r="AB58" i="13"/>
  <c r="AB59" i="13"/>
  <c r="AB60" i="13"/>
  <c r="AB61" i="13"/>
  <c r="AB62" i="13"/>
  <c r="AB63" i="13"/>
  <c r="AB64" i="13"/>
  <c r="AB65" i="13"/>
  <c r="AB66" i="13"/>
  <c r="AB67" i="13"/>
  <c r="AB68" i="13"/>
  <c r="AB69" i="13"/>
  <c r="AB70" i="13"/>
  <c r="AB71" i="13"/>
  <c r="AB72" i="13"/>
  <c r="AB73" i="13"/>
  <c r="AB74" i="13"/>
  <c r="AB75" i="13"/>
  <c r="AB76" i="13"/>
  <c r="AB77" i="13"/>
  <c r="AB78" i="13"/>
  <c r="AB79" i="13"/>
  <c r="AB80" i="13"/>
  <c r="AB81" i="13"/>
  <c r="AB82" i="13"/>
  <c r="AB83" i="13"/>
  <c r="AB84" i="13"/>
  <c r="AB85" i="13"/>
  <c r="AB86" i="13"/>
  <c r="AB87" i="13"/>
  <c r="AB88" i="13"/>
  <c r="AB89" i="13"/>
  <c r="AB90" i="13"/>
  <c r="AB91" i="13"/>
  <c r="AB92" i="13"/>
  <c r="AB93" i="13"/>
  <c r="AB94" i="13"/>
  <c r="AB95" i="13"/>
  <c r="AB96" i="13"/>
  <c r="AB97" i="13"/>
  <c r="AB98" i="13"/>
  <c r="AB99" i="13"/>
  <c r="AB100" i="13"/>
  <c r="AB101" i="13"/>
  <c r="AB102" i="13"/>
  <c r="AB103" i="13"/>
  <c r="AB104" i="13"/>
  <c r="AB105" i="13"/>
  <c r="AB106" i="13"/>
  <c r="AB107" i="13"/>
  <c r="AB108" i="13"/>
  <c r="AB109" i="13"/>
  <c r="AB110" i="13"/>
  <c r="AB111" i="13"/>
  <c r="AB112" i="13"/>
  <c r="AB113" i="13"/>
  <c r="AB114" i="13"/>
  <c r="AB115" i="13"/>
  <c r="AB116" i="13"/>
  <c r="AB117" i="13"/>
  <c r="AB118" i="13"/>
  <c r="AB119" i="13"/>
  <c r="AB120" i="13"/>
  <c r="AB121" i="13"/>
  <c r="AB122" i="13"/>
  <c r="AB123" i="13"/>
  <c r="AB124" i="13"/>
  <c r="AB125" i="13"/>
  <c r="AB126" i="13"/>
  <c r="AB127" i="13"/>
  <c r="AB128" i="13"/>
  <c r="AB129" i="13"/>
  <c r="AB130" i="13"/>
  <c r="AB131" i="13"/>
  <c r="AB132" i="13"/>
  <c r="AB133" i="13"/>
  <c r="AB134" i="13"/>
  <c r="AB135" i="13"/>
  <c r="AB136" i="13"/>
  <c r="AB137" i="13"/>
  <c r="AB138" i="13"/>
  <c r="AB139" i="13"/>
  <c r="AB140" i="13"/>
  <c r="AB141" i="13"/>
  <c r="AB142" i="13"/>
  <c r="AB143" i="13"/>
  <c r="AB144" i="13"/>
  <c r="AB145" i="13"/>
  <c r="AB146" i="13"/>
  <c r="AB147" i="13"/>
  <c r="AB148" i="13"/>
  <c r="AB149" i="13"/>
  <c r="AB150" i="13"/>
  <c r="AB151" i="13"/>
  <c r="AB152" i="13"/>
  <c r="AB153" i="13"/>
  <c r="AB154" i="13"/>
  <c r="AB155" i="13"/>
  <c r="AB156" i="13"/>
  <c r="AB157" i="13"/>
  <c r="AB158" i="13"/>
  <c r="AB159" i="13"/>
  <c r="AB160" i="13"/>
  <c r="AB161" i="13"/>
  <c r="AB162" i="13"/>
  <c r="AB163" i="13"/>
  <c r="AB164" i="13"/>
  <c r="AB165" i="13"/>
  <c r="AB166" i="13"/>
  <c r="AB167" i="13"/>
  <c r="AB168" i="13"/>
  <c r="AB169" i="13"/>
  <c r="AB170" i="13"/>
  <c r="AB171" i="13"/>
  <c r="AB172" i="13"/>
  <c r="AB173" i="13"/>
  <c r="AB174" i="13"/>
  <c r="AB175" i="13"/>
  <c r="AB176" i="13"/>
  <c r="AB177" i="13"/>
  <c r="AB178" i="13"/>
  <c r="AB179" i="13"/>
  <c r="AB180" i="13"/>
  <c r="AB181" i="13"/>
  <c r="AB182" i="13"/>
  <c r="AB183" i="13"/>
  <c r="AB184" i="13"/>
  <c r="AB185" i="13"/>
  <c r="AB186" i="13"/>
  <c r="AB187" i="13"/>
  <c r="AB188" i="13"/>
  <c r="AB189" i="13"/>
  <c r="AB190" i="13"/>
  <c r="AB191" i="13"/>
  <c r="AB192" i="13"/>
  <c r="AB193" i="13"/>
  <c r="AB194" i="13"/>
  <c r="AB195" i="13"/>
  <c r="AB196" i="13"/>
  <c r="AB197" i="13"/>
  <c r="AB198" i="13"/>
  <c r="AB199" i="13"/>
  <c r="AB200" i="13"/>
  <c r="AB201" i="13"/>
  <c r="AB202" i="13"/>
  <c r="AB203" i="13"/>
  <c r="AB204" i="13"/>
  <c r="AB205" i="13"/>
  <c r="AB206" i="13"/>
  <c r="AB207" i="13"/>
  <c r="AB208" i="13"/>
  <c r="AB209" i="13"/>
  <c r="AB210" i="13"/>
  <c r="AB211" i="13"/>
  <c r="AB212" i="13"/>
  <c r="AB213" i="13"/>
  <c r="AB214" i="13"/>
  <c r="AB215" i="13"/>
  <c r="AB216" i="13"/>
  <c r="AB217" i="13"/>
  <c r="AB218" i="13"/>
  <c r="AB219" i="13"/>
  <c r="AB220" i="13"/>
  <c r="AB221" i="13"/>
  <c r="AB222" i="13"/>
  <c r="AB223" i="13"/>
  <c r="AB224" i="13"/>
  <c r="AB225" i="13"/>
  <c r="AB226" i="13"/>
  <c r="AB227" i="13"/>
  <c r="AB228" i="13"/>
  <c r="AB229" i="13"/>
  <c r="AB230" i="13"/>
  <c r="AB231" i="13"/>
  <c r="W23" i="13"/>
  <c r="W284" i="13" s="1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W120" i="13"/>
  <c r="W121" i="13"/>
  <c r="W122" i="13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W154" i="13"/>
  <c r="W155" i="13"/>
  <c r="W156" i="13"/>
  <c r="W157" i="13"/>
  <c r="W158" i="13"/>
  <c r="W159" i="13"/>
  <c r="W160" i="13"/>
  <c r="W161" i="13"/>
  <c r="W162" i="13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W179" i="13"/>
  <c r="W180" i="13"/>
  <c r="W181" i="13"/>
  <c r="W182" i="13"/>
  <c r="W183" i="13"/>
  <c r="W184" i="13"/>
  <c r="W185" i="13"/>
  <c r="W186" i="13"/>
  <c r="W187" i="13"/>
  <c r="W188" i="13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W201" i="13"/>
  <c r="W202" i="13"/>
  <c r="W203" i="13"/>
  <c r="W204" i="13"/>
  <c r="W205" i="13"/>
  <c r="W206" i="13"/>
  <c r="W207" i="13"/>
  <c r="W208" i="13"/>
  <c r="W209" i="13"/>
  <c r="W210" i="13"/>
  <c r="W211" i="13"/>
  <c r="W212" i="13"/>
  <c r="W213" i="13"/>
  <c r="W214" i="13"/>
  <c r="W215" i="13"/>
  <c r="W216" i="13"/>
  <c r="W217" i="13"/>
  <c r="W218" i="13"/>
  <c r="W219" i="13"/>
  <c r="W220" i="13"/>
  <c r="W221" i="13"/>
  <c r="W222" i="13"/>
  <c r="W223" i="13"/>
  <c r="W224" i="13"/>
  <c r="W225" i="13"/>
  <c r="W226" i="13"/>
  <c r="W227" i="13"/>
  <c r="W228" i="13"/>
  <c r="W229" i="13"/>
  <c r="W230" i="13"/>
  <c r="W231" i="13"/>
  <c r="W232" i="13"/>
  <c r="W233" i="13"/>
  <c r="W234" i="13"/>
  <c r="W235" i="13"/>
  <c r="W236" i="13"/>
  <c r="W237" i="13"/>
  <c r="W238" i="13"/>
  <c r="W239" i="13"/>
  <c r="W240" i="13"/>
  <c r="W241" i="13"/>
  <c r="W242" i="13"/>
  <c r="W243" i="13"/>
  <c r="W244" i="13"/>
  <c r="W245" i="13"/>
  <c r="W246" i="13"/>
  <c r="W247" i="13"/>
  <c r="W248" i="13"/>
  <c r="W249" i="13"/>
  <c r="W250" i="13"/>
  <c r="W251" i="13"/>
  <c r="W252" i="13"/>
  <c r="W253" i="13"/>
  <c r="W254" i="13"/>
  <c r="W255" i="13"/>
  <c r="W256" i="13"/>
  <c r="W257" i="13"/>
  <c r="W258" i="13"/>
  <c r="W259" i="13"/>
  <c r="W260" i="13"/>
  <c r="W261" i="13"/>
  <c r="W262" i="13"/>
  <c r="W263" i="13"/>
  <c r="W264" i="13"/>
  <c r="W265" i="13"/>
  <c r="W266" i="13"/>
  <c r="W267" i="13"/>
  <c r="W268" i="13"/>
  <c r="W269" i="13"/>
  <c r="W270" i="13"/>
  <c r="W271" i="13"/>
  <c r="W272" i="13"/>
  <c r="W273" i="13"/>
  <c r="W274" i="13"/>
  <c r="W275" i="13"/>
  <c r="W276" i="13"/>
  <c r="W277" i="13"/>
  <c r="W278" i="13"/>
  <c r="W279" i="13"/>
  <c r="W280" i="13"/>
  <c r="W281" i="13"/>
  <c r="W282" i="13"/>
  <c r="R23" i="13"/>
  <c r="R24" i="13"/>
  <c r="R25" i="13"/>
  <c r="R284" i="13" s="1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R89" i="13"/>
  <c r="R90" i="13"/>
  <c r="R91" i="13"/>
  <c r="R92" i="13"/>
  <c r="R93" i="13"/>
  <c r="R94" i="13"/>
  <c r="R95" i="13"/>
  <c r="R96" i="13"/>
  <c r="R97" i="13"/>
  <c r="R98" i="13"/>
  <c r="R99" i="13"/>
  <c r="R100" i="13"/>
  <c r="R101" i="13"/>
  <c r="R102" i="13"/>
  <c r="R103" i="13"/>
  <c r="R104" i="13"/>
  <c r="R105" i="13"/>
  <c r="R106" i="13"/>
  <c r="R107" i="13"/>
  <c r="R108" i="13"/>
  <c r="R109" i="13"/>
  <c r="R110" i="13"/>
  <c r="R111" i="13"/>
  <c r="R112" i="13"/>
  <c r="R113" i="13"/>
  <c r="R114" i="13"/>
  <c r="R115" i="13"/>
  <c r="R116" i="13"/>
  <c r="R117" i="13"/>
  <c r="R118" i="13"/>
  <c r="R119" i="13"/>
  <c r="R120" i="13"/>
  <c r="R121" i="13"/>
  <c r="R122" i="13"/>
  <c r="R123" i="13"/>
  <c r="R124" i="13"/>
  <c r="R125" i="13"/>
  <c r="R126" i="13"/>
  <c r="R127" i="13"/>
  <c r="R128" i="13"/>
  <c r="R129" i="13"/>
  <c r="R130" i="13"/>
  <c r="R131" i="13"/>
  <c r="R132" i="13"/>
  <c r="R133" i="13"/>
  <c r="R134" i="13"/>
  <c r="R135" i="13"/>
  <c r="R136" i="13"/>
  <c r="R137" i="13"/>
  <c r="R138" i="13"/>
  <c r="R139" i="13"/>
  <c r="R140" i="13"/>
  <c r="R141" i="13"/>
  <c r="R142" i="13"/>
  <c r="R143" i="13"/>
  <c r="R144" i="13"/>
  <c r="R145" i="13"/>
  <c r="R146" i="13"/>
  <c r="R147" i="13"/>
  <c r="R148" i="13"/>
  <c r="R149" i="13"/>
  <c r="R150" i="13"/>
  <c r="R151" i="13"/>
  <c r="R152" i="13"/>
  <c r="R153" i="13"/>
  <c r="R154" i="13"/>
  <c r="R155" i="13"/>
  <c r="R156" i="13"/>
  <c r="R157" i="13"/>
  <c r="R158" i="13"/>
  <c r="R159" i="13"/>
  <c r="R160" i="13"/>
  <c r="R161" i="13"/>
  <c r="R162" i="13"/>
  <c r="R163" i="13"/>
  <c r="R164" i="13"/>
  <c r="R165" i="13"/>
  <c r="R166" i="13"/>
  <c r="R167" i="13"/>
  <c r="R168" i="13"/>
  <c r="R169" i="13"/>
  <c r="R170" i="13"/>
  <c r="R171" i="13"/>
  <c r="R172" i="13"/>
  <c r="R173" i="13"/>
  <c r="R174" i="13"/>
  <c r="R175" i="13"/>
  <c r="R176" i="13"/>
  <c r="R177" i="13"/>
  <c r="R178" i="13"/>
  <c r="R179" i="13"/>
  <c r="R180" i="13"/>
  <c r="R181" i="13"/>
  <c r="R182" i="13"/>
  <c r="R183" i="13"/>
  <c r="R184" i="13"/>
  <c r="R185" i="13"/>
  <c r="R186" i="13"/>
  <c r="R187" i="13"/>
  <c r="R188" i="13"/>
  <c r="R189" i="13"/>
  <c r="R190" i="13"/>
  <c r="R191" i="13"/>
  <c r="R192" i="13"/>
  <c r="R193" i="13"/>
  <c r="R194" i="13"/>
  <c r="R195" i="13"/>
  <c r="R196" i="13"/>
  <c r="R197" i="13"/>
  <c r="R198" i="13"/>
  <c r="R199" i="13"/>
  <c r="R200" i="13"/>
  <c r="R201" i="13"/>
  <c r="R202" i="13"/>
  <c r="R203" i="13"/>
  <c r="R204" i="13"/>
  <c r="R205" i="13"/>
  <c r="R206" i="13"/>
  <c r="R207" i="13"/>
  <c r="R208" i="13"/>
  <c r="R209" i="13"/>
  <c r="R210" i="13"/>
  <c r="R211" i="13"/>
  <c r="R212" i="13"/>
  <c r="R213" i="13"/>
  <c r="R214" i="13"/>
  <c r="R215" i="13"/>
  <c r="R216" i="13"/>
  <c r="R217" i="13"/>
  <c r="R218" i="13"/>
  <c r="R219" i="13"/>
  <c r="R220" i="13"/>
  <c r="R221" i="13"/>
  <c r="R222" i="13"/>
  <c r="R223" i="13"/>
  <c r="R224" i="13"/>
  <c r="R225" i="13"/>
  <c r="R226" i="13"/>
  <c r="R227" i="13"/>
  <c r="R228" i="13"/>
  <c r="R229" i="13"/>
  <c r="R230" i="13"/>
  <c r="R231" i="13"/>
  <c r="R232" i="13"/>
  <c r="R233" i="13"/>
  <c r="R234" i="13"/>
  <c r="R235" i="13"/>
  <c r="R236" i="13"/>
  <c r="R237" i="13"/>
  <c r="R238" i="13"/>
  <c r="R239" i="13"/>
  <c r="R240" i="13"/>
  <c r="R241" i="13"/>
  <c r="R242" i="13"/>
  <c r="R243" i="13"/>
  <c r="R244" i="13"/>
  <c r="R245" i="13"/>
  <c r="R246" i="13"/>
  <c r="R247" i="13"/>
  <c r="R248" i="13"/>
  <c r="R249" i="13"/>
  <c r="R250" i="13"/>
  <c r="R251" i="13"/>
  <c r="R252" i="13"/>
  <c r="R253" i="13"/>
  <c r="R254" i="13"/>
  <c r="R255" i="13"/>
  <c r="R256" i="13"/>
  <c r="R257" i="13"/>
  <c r="R258" i="13"/>
  <c r="R259" i="13"/>
  <c r="R260" i="13"/>
  <c r="R261" i="13"/>
  <c r="R262" i="13"/>
  <c r="R263" i="13"/>
  <c r="R264" i="13"/>
  <c r="R265" i="13"/>
  <c r="R266" i="13"/>
  <c r="R267" i="13"/>
  <c r="R268" i="13"/>
  <c r="R269" i="13"/>
  <c r="R270" i="13"/>
  <c r="R271" i="13"/>
  <c r="R272" i="13"/>
  <c r="R273" i="13"/>
  <c r="R274" i="13"/>
  <c r="R275" i="13"/>
  <c r="R276" i="13"/>
  <c r="R277" i="13"/>
  <c r="R278" i="13"/>
  <c r="R279" i="13"/>
  <c r="R280" i="13"/>
  <c r="R281" i="13"/>
  <c r="R282" i="13"/>
  <c r="H23" i="13"/>
  <c r="H24" i="13"/>
  <c r="H284" i="13" s="1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C23" i="13"/>
  <c r="M23" i="13"/>
  <c r="M24" i="13"/>
  <c r="M284" i="13" s="1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77" i="13"/>
  <c r="M178" i="13"/>
  <c r="M179" i="13"/>
  <c r="M180" i="13"/>
  <c r="M181" i="13"/>
  <c r="M182" i="13"/>
  <c r="M183" i="13"/>
  <c r="M184" i="13"/>
  <c r="M185" i="13"/>
  <c r="M186" i="13"/>
  <c r="M187" i="13"/>
  <c r="M188" i="13"/>
  <c r="M189" i="13"/>
  <c r="M190" i="13"/>
  <c r="M191" i="13"/>
  <c r="M192" i="13"/>
  <c r="M193" i="13"/>
  <c r="M194" i="13"/>
  <c r="M195" i="13"/>
  <c r="M196" i="13"/>
  <c r="M197" i="13"/>
  <c r="M198" i="13"/>
  <c r="M199" i="13"/>
  <c r="M200" i="13"/>
  <c r="M201" i="13"/>
  <c r="M202" i="13"/>
  <c r="M203" i="13"/>
  <c r="M204" i="13"/>
  <c r="M205" i="13"/>
  <c r="M206" i="13"/>
  <c r="M207" i="13"/>
  <c r="M208" i="13"/>
  <c r="M209" i="13"/>
  <c r="M210" i="13"/>
  <c r="M211" i="13"/>
  <c r="M212" i="13"/>
  <c r="M213" i="13"/>
  <c r="M214" i="13"/>
  <c r="M215" i="13"/>
  <c r="M216" i="13"/>
  <c r="M217" i="13"/>
  <c r="M218" i="13"/>
  <c r="M219" i="13"/>
  <c r="M220" i="13"/>
  <c r="M221" i="13"/>
  <c r="M222" i="13"/>
  <c r="M223" i="13"/>
  <c r="M224" i="13"/>
  <c r="M225" i="13"/>
  <c r="M226" i="13"/>
  <c r="M227" i="13"/>
  <c r="M228" i="13"/>
  <c r="M229" i="13"/>
  <c r="M230" i="13"/>
  <c r="M231" i="13"/>
  <c r="M232" i="13"/>
  <c r="M233" i="13"/>
  <c r="M234" i="13"/>
  <c r="M235" i="13"/>
  <c r="M236" i="13"/>
  <c r="M237" i="13"/>
  <c r="M238" i="13"/>
  <c r="M239" i="13"/>
  <c r="M240" i="13"/>
  <c r="M241" i="13"/>
  <c r="M242" i="13"/>
  <c r="M243" i="13"/>
  <c r="M244" i="13"/>
  <c r="M245" i="13"/>
  <c r="M246" i="13"/>
  <c r="M247" i="13"/>
  <c r="M248" i="13"/>
  <c r="M249" i="13"/>
  <c r="M250" i="13"/>
  <c r="M251" i="13"/>
  <c r="M252" i="13"/>
  <c r="M253" i="13"/>
  <c r="M254" i="13"/>
  <c r="M255" i="13"/>
  <c r="M256" i="13"/>
  <c r="M257" i="13"/>
  <c r="M258" i="13"/>
  <c r="M259" i="13"/>
  <c r="M260" i="13"/>
  <c r="M261" i="13"/>
  <c r="M262" i="13"/>
  <c r="M263" i="13"/>
  <c r="M264" i="13"/>
  <c r="M265" i="13"/>
  <c r="M266" i="13"/>
  <c r="M267" i="13"/>
  <c r="M268" i="13"/>
  <c r="M269" i="13"/>
  <c r="M270" i="13"/>
  <c r="M271" i="13"/>
  <c r="M272" i="13"/>
  <c r="M273" i="13"/>
  <c r="M274" i="13"/>
  <c r="M275" i="13"/>
  <c r="M276" i="13"/>
  <c r="M277" i="13"/>
  <c r="M278" i="13"/>
  <c r="M279" i="13"/>
  <c r="M280" i="13"/>
  <c r="M281" i="13"/>
  <c r="M282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H52" i="6"/>
  <c r="H53" i="6" s="1"/>
  <c r="H43" i="6"/>
  <c r="H44" i="6" s="1"/>
  <c r="H25" i="16"/>
  <c r="H23" i="16"/>
  <c r="H22" i="6"/>
  <c r="H21" i="6" s="1"/>
  <c r="H20" i="6" s="1"/>
  <c r="H13" i="16"/>
  <c r="H8" i="16"/>
  <c r="G7" i="17"/>
  <c r="F7" i="17"/>
  <c r="E7" i="17"/>
  <c r="D7" i="17"/>
  <c r="C7" i="17"/>
  <c r="H7" i="17"/>
  <c r="H59" i="4"/>
  <c r="H9" i="6" s="1"/>
  <c r="H55" i="4"/>
  <c r="H54" i="4"/>
  <c r="H34" i="4"/>
  <c r="H9" i="4"/>
  <c r="H51" i="4" s="1"/>
  <c r="N35" i="4"/>
  <c r="N23" i="4"/>
  <c r="N9" i="4"/>
  <c r="N53" i="5"/>
  <c r="N51" i="5"/>
  <c r="N48" i="5"/>
  <c r="N42" i="5"/>
  <c r="N41" i="5"/>
  <c r="N40" i="5"/>
  <c r="N39" i="5"/>
  <c r="N43" i="5" s="1"/>
  <c r="N35" i="5"/>
  <c r="N34" i="5"/>
  <c r="N33" i="5"/>
  <c r="N31" i="5"/>
  <c r="N30" i="5"/>
  <c r="N22" i="5"/>
  <c r="N21" i="5"/>
  <c r="N20" i="5"/>
  <c r="N19" i="5"/>
  <c r="N18" i="5"/>
  <c r="N15" i="5"/>
  <c r="N14" i="5"/>
  <c r="N10" i="5"/>
  <c r="N7" i="5"/>
  <c r="G16" i="5"/>
  <c r="N17" i="1"/>
  <c r="N15" i="1"/>
  <c r="N14" i="1"/>
  <c r="N12" i="1"/>
  <c r="N11" i="1"/>
  <c r="N9" i="1"/>
  <c r="N8" i="1"/>
  <c r="N6" i="1"/>
  <c r="N5" i="1"/>
  <c r="H15" i="1"/>
  <c r="H12" i="1"/>
  <c r="H9" i="1"/>
  <c r="H6" i="1"/>
  <c r="L1" i="11"/>
  <c r="B55" i="11" l="1"/>
  <c r="G7" i="14" s="1"/>
  <c r="G6" i="14"/>
  <c r="G11" i="20"/>
  <c r="G14" i="20"/>
  <c r="G16" i="20" s="1"/>
  <c r="H50" i="4"/>
  <c r="H52" i="4"/>
  <c r="H25" i="6"/>
  <c r="H53" i="4"/>
  <c r="H34" i="6"/>
  <c r="H35" i="6" s="1"/>
  <c r="C284" i="13"/>
  <c r="G43" i="5" l="1"/>
  <c r="F43" i="5"/>
  <c r="E43" i="5"/>
  <c r="D43" i="5"/>
  <c r="C43" i="5"/>
  <c r="F25" i="16"/>
  <c r="E25" i="16"/>
  <c r="D25" i="16"/>
  <c r="C25" i="16"/>
  <c r="B16" i="14" l="1"/>
  <c r="I35" i="4"/>
  <c r="J35" i="4"/>
  <c r="K35" i="4"/>
  <c r="L35" i="4"/>
  <c r="M35" i="4"/>
  <c r="G52" i="6"/>
  <c r="G53" i="6" s="1"/>
  <c r="I54" i="6" s="1"/>
  <c r="F52" i="6"/>
  <c r="F53" i="6" s="1"/>
  <c r="E52" i="6"/>
  <c r="E53" i="6" s="1"/>
  <c r="D52" i="6"/>
  <c r="D53" i="6" s="1"/>
  <c r="C52" i="6"/>
  <c r="C53" i="6" s="1"/>
  <c r="G43" i="6"/>
  <c r="G44" i="6" s="1"/>
  <c r="F43" i="6"/>
  <c r="F44" i="6" s="1"/>
  <c r="E43" i="6"/>
  <c r="E44" i="6" s="1"/>
  <c r="D43" i="6"/>
  <c r="D44" i="6" s="1"/>
  <c r="C43" i="6"/>
  <c r="C44" i="6" s="1"/>
  <c r="N45" i="6" l="1"/>
  <c r="M45" i="6"/>
  <c r="L45" i="6"/>
  <c r="K45" i="6"/>
  <c r="J45" i="6"/>
  <c r="I45" i="6"/>
  <c r="N54" i="6"/>
  <c r="K54" i="6"/>
  <c r="J54" i="6"/>
  <c r="M54" i="6"/>
  <c r="L54" i="6"/>
  <c r="G25" i="16"/>
  <c r="G14" i="7"/>
  <c r="G8" i="16" s="1"/>
  <c r="F14" i="7"/>
  <c r="E14" i="7"/>
  <c r="E8" i="16" s="1"/>
  <c r="D14" i="7"/>
  <c r="D8" i="16" s="1"/>
  <c r="C14" i="7"/>
  <c r="C8" i="16" s="1"/>
  <c r="I23" i="4" l="1"/>
  <c r="C23" i="16"/>
  <c r="K23" i="4"/>
  <c r="E23" i="16"/>
  <c r="L23" i="4"/>
  <c r="F23" i="16"/>
  <c r="M23" i="4"/>
  <c r="G23" i="16"/>
  <c r="J23" i="4"/>
  <c r="D23" i="16"/>
  <c r="F8" i="16"/>
  <c r="G10" i="7"/>
  <c r="M35" i="5" s="1"/>
  <c r="F10" i="7"/>
  <c r="L35" i="5" s="1"/>
  <c r="E10" i="7"/>
  <c r="K35" i="5" s="1"/>
  <c r="D10" i="7"/>
  <c r="J35" i="5" s="1"/>
  <c r="C10" i="7"/>
  <c r="I35" i="5" s="1"/>
  <c r="G34" i="4" l="1"/>
  <c r="F34" i="4"/>
  <c r="E34" i="4"/>
  <c r="D34" i="4"/>
  <c r="C34" i="4"/>
  <c r="H19" i="6"/>
  <c r="G19" i="6"/>
  <c r="F19" i="6"/>
  <c r="E19" i="6"/>
  <c r="D19" i="6"/>
  <c r="G22" i="6"/>
  <c r="G21" i="6" s="1"/>
  <c r="F22" i="6"/>
  <c r="F21" i="6" s="1"/>
  <c r="F25" i="6" s="1"/>
  <c r="E22" i="6"/>
  <c r="E21" i="6" s="1"/>
  <c r="D22" i="6"/>
  <c r="D21" i="6" s="1"/>
  <c r="C22" i="6"/>
  <c r="C21" i="6" s="1"/>
  <c r="C19" i="6"/>
  <c r="G17" i="5"/>
  <c r="F17" i="5"/>
  <c r="F16" i="5" s="1"/>
  <c r="E17" i="5"/>
  <c r="E16" i="5" s="1"/>
  <c r="D17" i="5"/>
  <c r="D16" i="5" s="1"/>
  <c r="D23" i="5" s="1"/>
  <c r="C17" i="5"/>
  <c r="C16" i="5" s="1"/>
  <c r="C8" i="7"/>
  <c r="E20" i="6" l="1"/>
  <c r="D20" i="6"/>
  <c r="G20" i="6"/>
  <c r="D10" i="6"/>
  <c r="E6" i="6" s="1"/>
  <c r="C20" i="6"/>
  <c r="E10" i="6"/>
  <c r="F6" i="6" s="1"/>
  <c r="E23" i="5"/>
  <c r="F10" i="6"/>
  <c r="G6" i="6" s="1"/>
  <c r="F23" i="5"/>
  <c r="C10" i="6"/>
  <c r="D6" i="6" s="1"/>
  <c r="C23" i="5"/>
  <c r="G10" i="6"/>
  <c r="H6" i="6" s="1"/>
  <c r="G23" i="5"/>
  <c r="D5" i="7"/>
  <c r="D8" i="7" s="1"/>
  <c r="C11" i="7"/>
  <c r="I39" i="5" s="1"/>
  <c r="E25" i="6"/>
  <c r="C25" i="6"/>
  <c r="D25" i="6"/>
  <c r="G25" i="6"/>
  <c r="F20" i="6"/>
  <c r="L25" i="6" l="1"/>
  <c r="K25" i="6"/>
  <c r="J25" i="6"/>
  <c r="N25" i="6"/>
  <c r="I25" i="6"/>
  <c r="M25" i="6"/>
  <c r="E5" i="7"/>
  <c r="E8" i="7" s="1"/>
  <c r="D11" i="7"/>
  <c r="J39" i="5" s="1"/>
  <c r="F5" i="7" l="1"/>
  <c r="F8" i="7" s="1"/>
  <c r="E11" i="7"/>
  <c r="K39" i="5" s="1"/>
  <c r="C6" i="6"/>
  <c r="I53" i="5"/>
  <c r="J53" i="5" s="1"/>
  <c r="K53" i="5" s="1"/>
  <c r="L53" i="5" s="1"/>
  <c r="M53" i="5" s="1"/>
  <c r="I51" i="5"/>
  <c r="J51" i="5" s="1"/>
  <c r="K51" i="5" s="1"/>
  <c r="L51" i="5" s="1"/>
  <c r="M51" i="5" s="1"/>
  <c r="I48" i="5"/>
  <c r="J48" i="5" s="1"/>
  <c r="K48" i="5" s="1"/>
  <c r="L48" i="5" s="1"/>
  <c r="M48" i="5" s="1"/>
  <c r="I42" i="5"/>
  <c r="J42" i="5" s="1"/>
  <c r="K42" i="5" s="1"/>
  <c r="L42" i="5" s="1"/>
  <c r="M42" i="5" s="1"/>
  <c r="I41" i="5"/>
  <c r="J41" i="5" s="1"/>
  <c r="K41" i="5" s="1"/>
  <c r="L41" i="5" s="1"/>
  <c r="M41" i="5" s="1"/>
  <c r="I34" i="5"/>
  <c r="J34" i="5" s="1"/>
  <c r="K34" i="5" s="1"/>
  <c r="L34" i="5" s="1"/>
  <c r="M34" i="5" s="1"/>
  <c r="I33" i="5"/>
  <c r="J33" i="5" s="1"/>
  <c r="K33" i="5" s="1"/>
  <c r="L33" i="5" s="1"/>
  <c r="M33" i="5" s="1"/>
  <c r="I32" i="5"/>
  <c r="J32" i="5" s="1"/>
  <c r="K32" i="5" s="1"/>
  <c r="L32" i="5" s="1"/>
  <c r="M32" i="5" s="1"/>
  <c r="N32" i="5" s="1"/>
  <c r="I31" i="5"/>
  <c r="J31" i="5" s="1"/>
  <c r="K31" i="5" s="1"/>
  <c r="L31" i="5" s="1"/>
  <c r="M31" i="5" s="1"/>
  <c r="I22" i="5"/>
  <c r="J22" i="5" s="1"/>
  <c r="K22" i="5" s="1"/>
  <c r="L22" i="5" s="1"/>
  <c r="M22" i="5" s="1"/>
  <c r="I21" i="5"/>
  <c r="J21" i="5" s="1"/>
  <c r="K21" i="5" s="1"/>
  <c r="L21" i="5" s="1"/>
  <c r="M21" i="5" s="1"/>
  <c r="I20" i="5"/>
  <c r="J20" i="5" s="1"/>
  <c r="K20" i="5" s="1"/>
  <c r="L20" i="5" s="1"/>
  <c r="M20" i="5" s="1"/>
  <c r="I19" i="5"/>
  <c r="J19" i="5" s="1"/>
  <c r="K19" i="5" s="1"/>
  <c r="L19" i="5" s="1"/>
  <c r="M19" i="5" s="1"/>
  <c r="I18" i="5"/>
  <c r="J18" i="5" s="1"/>
  <c r="K18" i="5" s="1"/>
  <c r="L18" i="5" s="1"/>
  <c r="M18" i="5" s="1"/>
  <c r="I15" i="5"/>
  <c r="J15" i="5" s="1"/>
  <c r="K15" i="5" s="1"/>
  <c r="L15" i="5" s="1"/>
  <c r="M15" i="5" s="1"/>
  <c r="I40" i="5" l="1"/>
  <c r="H43" i="5"/>
  <c r="I10" i="5"/>
  <c r="C13" i="16" s="1"/>
  <c r="I14" i="5"/>
  <c r="I30" i="5"/>
  <c r="I7" i="5"/>
  <c r="G5" i="7"/>
  <c r="G8" i="7" s="1"/>
  <c r="F11" i="7"/>
  <c r="L39" i="5" s="1"/>
  <c r="G54" i="5"/>
  <c r="F54" i="5"/>
  <c r="F56" i="5" s="1"/>
  <c r="E54" i="5"/>
  <c r="E56" i="5" s="1"/>
  <c r="D54" i="5"/>
  <c r="D56" i="5" s="1"/>
  <c r="C54" i="5"/>
  <c r="C56" i="5" s="1"/>
  <c r="G37" i="5"/>
  <c r="G45" i="5" s="1"/>
  <c r="F37" i="5"/>
  <c r="F45" i="5" s="1"/>
  <c r="E37" i="5"/>
  <c r="E45" i="5" s="1"/>
  <c r="D37" i="5"/>
  <c r="D45" i="5" s="1"/>
  <c r="C37" i="5"/>
  <c r="C45" i="5" s="1"/>
  <c r="C58" i="5" s="1"/>
  <c r="G59" i="4"/>
  <c r="G9" i="6" s="1"/>
  <c r="F59" i="4"/>
  <c r="F9" i="6" s="1"/>
  <c r="E59" i="4"/>
  <c r="E9" i="6" s="1"/>
  <c r="D59" i="4"/>
  <c r="D9" i="6" s="1"/>
  <c r="C59" i="4"/>
  <c r="C9" i="6" s="1"/>
  <c r="G11" i="5"/>
  <c r="G25" i="5" s="1"/>
  <c r="F11" i="5"/>
  <c r="F25" i="5" s="1"/>
  <c r="E11" i="5"/>
  <c r="E25" i="5" s="1"/>
  <c r="D11" i="5"/>
  <c r="D25" i="5" s="1"/>
  <c r="C11" i="5"/>
  <c r="C25" i="5" s="1"/>
  <c r="G16" i="4"/>
  <c r="F16" i="4"/>
  <c r="E16" i="4"/>
  <c r="D16" i="4"/>
  <c r="C16" i="4"/>
  <c r="G9" i="4"/>
  <c r="F9" i="4"/>
  <c r="E9" i="4"/>
  <c r="D9" i="4"/>
  <c r="C9" i="4"/>
  <c r="G17" i="1"/>
  <c r="F17" i="1"/>
  <c r="E17" i="1"/>
  <c r="D17" i="1"/>
  <c r="C17" i="1"/>
  <c r="G15" i="1"/>
  <c r="K15" i="1" s="1"/>
  <c r="F15" i="1"/>
  <c r="E15" i="1"/>
  <c r="D15" i="1"/>
  <c r="G12" i="1"/>
  <c r="F12" i="1"/>
  <c r="E12" i="1"/>
  <c r="D12" i="1"/>
  <c r="G9" i="1"/>
  <c r="F9" i="1"/>
  <c r="E9" i="1"/>
  <c r="D9" i="1"/>
  <c r="G6" i="1"/>
  <c r="F6" i="1"/>
  <c r="E6" i="1"/>
  <c r="D6" i="1"/>
  <c r="G34" i="6" l="1"/>
  <c r="G35" i="6" s="1"/>
  <c r="F14" i="20"/>
  <c r="F16" i="20" s="1"/>
  <c r="F11" i="20"/>
  <c r="C34" i="6"/>
  <c r="C35" i="6" s="1"/>
  <c r="B14" i="20"/>
  <c r="B16" i="20" s="1"/>
  <c r="B11" i="20"/>
  <c r="D34" i="6"/>
  <c r="D35" i="6" s="1"/>
  <c r="C11" i="20"/>
  <c r="C14" i="20"/>
  <c r="C16" i="20" s="1"/>
  <c r="E34" i="6"/>
  <c r="E35" i="6" s="1"/>
  <c r="D11" i="20"/>
  <c r="D14" i="20"/>
  <c r="D16" i="20" s="1"/>
  <c r="F34" i="6"/>
  <c r="F35" i="6" s="1"/>
  <c r="E11" i="20"/>
  <c r="E14" i="20"/>
  <c r="E16" i="20" s="1"/>
  <c r="G11" i="7"/>
  <c r="M39" i="5" s="1"/>
  <c r="H5" i="7"/>
  <c r="H8" i="7" s="1"/>
  <c r="D58" i="5"/>
  <c r="E58" i="5"/>
  <c r="E61" i="5" s="1"/>
  <c r="F58" i="5"/>
  <c r="F61" i="5" s="1"/>
  <c r="J40" i="5"/>
  <c r="I43" i="5"/>
  <c r="J10" i="5"/>
  <c r="D13" i="16" s="1"/>
  <c r="G19" i="4"/>
  <c r="G24" i="4" s="1"/>
  <c r="G56" i="5"/>
  <c r="J14" i="5"/>
  <c r="J7" i="5"/>
  <c r="J30" i="5"/>
  <c r="C61" i="5"/>
  <c r="D61" i="5"/>
  <c r="F8" i="6"/>
  <c r="C19" i="4"/>
  <c r="C24" i="4" s="1"/>
  <c r="C53" i="4"/>
  <c r="C52" i="4"/>
  <c r="C51" i="4"/>
  <c r="C50" i="4"/>
  <c r="C55" i="4"/>
  <c r="C54" i="4"/>
  <c r="D19" i="4"/>
  <c r="D24" i="4" s="1"/>
  <c r="D55" i="4"/>
  <c r="D54" i="4"/>
  <c r="D53" i="4"/>
  <c r="D52" i="4"/>
  <c r="D51" i="4"/>
  <c r="D50" i="4"/>
  <c r="E19" i="4"/>
  <c r="E24" i="4" s="1"/>
  <c r="E55" i="4"/>
  <c r="E54" i="4"/>
  <c r="E53" i="4"/>
  <c r="E52" i="4"/>
  <c r="E51" i="4"/>
  <c r="E50" i="4"/>
  <c r="C8" i="6"/>
  <c r="F19" i="4"/>
  <c r="F24" i="4" s="1"/>
  <c r="F51" i="4"/>
  <c r="F50" i="4"/>
  <c r="F55" i="4"/>
  <c r="F54" i="4"/>
  <c r="F53" i="4"/>
  <c r="F52" i="4"/>
  <c r="D8" i="6"/>
  <c r="D12" i="6" s="1"/>
  <c r="G53" i="4"/>
  <c r="G52" i="4"/>
  <c r="G51" i="4"/>
  <c r="G50" i="4"/>
  <c r="G55" i="4"/>
  <c r="G54" i="4"/>
  <c r="E8" i="6"/>
  <c r="E12" i="6" s="1"/>
  <c r="G8" i="6"/>
  <c r="J6" i="1"/>
  <c r="J12" i="1"/>
  <c r="J9" i="1"/>
  <c r="J15" i="1"/>
  <c r="K9" i="1"/>
  <c r="I9" i="1"/>
  <c r="I15" i="1"/>
  <c r="K12" i="1"/>
  <c r="K6" i="1"/>
  <c r="L6" i="1"/>
  <c r="L9" i="1"/>
  <c r="L12" i="1"/>
  <c r="L15" i="1"/>
  <c r="M6" i="1"/>
  <c r="M9" i="1"/>
  <c r="M12" i="1"/>
  <c r="M15" i="1"/>
  <c r="I8" i="1"/>
  <c r="J8" i="1" s="1"/>
  <c r="K8" i="1" s="1"/>
  <c r="L8" i="1" s="1"/>
  <c r="M8" i="1" s="1"/>
  <c r="I11" i="1"/>
  <c r="J11" i="1" s="1"/>
  <c r="K11" i="1" s="1"/>
  <c r="L11" i="1" s="1"/>
  <c r="M11" i="1" s="1"/>
  <c r="I14" i="1"/>
  <c r="J14" i="1" s="1"/>
  <c r="K14" i="1" s="1"/>
  <c r="L14" i="1" s="1"/>
  <c r="M14" i="1" s="1"/>
  <c r="I6" i="1"/>
  <c r="I12" i="1"/>
  <c r="N36" i="6" l="1"/>
  <c r="N37" i="6" s="1"/>
  <c r="N8" i="5" s="1"/>
  <c r="M36" i="6"/>
  <c r="K36" i="6"/>
  <c r="J36" i="6"/>
  <c r="I36" i="6"/>
  <c r="L36" i="6"/>
  <c r="G58" i="5"/>
  <c r="G61" i="5" s="1"/>
  <c r="K40" i="5"/>
  <c r="J43" i="5"/>
  <c r="K10" i="5"/>
  <c r="E13" i="16"/>
  <c r="F27" i="4"/>
  <c r="F25" i="4"/>
  <c r="E27" i="4"/>
  <c r="E25" i="4"/>
  <c r="C27" i="4"/>
  <c r="C25" i="4"/>
  <c r="D27" i="4"/>
  <c r="D25" i="4"/>
  <c r="G27" i="4"/>
  <c r="G25" i="4"/>
  <c r="K14" i="5"/>
  <c r="K30" i="5"/>
  <c r="K7" i="5"/>
  <c r="I55" i="4"/>
  <c r="I50" i="4"/>
  <c r="I51" i="4"/>
  <c r="I52" i="4"/>
  <c r="G7" i="6"/>
  <c r="G15" i="6"/>
  <c r="F7" i="6"/>
  <c r="F15" i="6"/>
  <c r="C15" i="6"/>
  <c r="C7" i="6"/>
  <c r="I53" i="4"/>
  <c r="G12" i="6"/>
  <c r="E7" i="6"/>
  <c r="E15" i="6"/>
  <c r="D15" i="6"/>
  <c r="D7" i="6"/>
  <c r="C12" i="6"/>
  <c r="I54" i="4"/>
  <c r="F12" i="6"/>
  <c r="H17" i="1"/>
  <c r="I5" i="1"/>
  <c r="C29" i="4" l="1"/>
  <c r="C38" i="4"/>
  <c r="E29" i="4"/>
  <c r="E38" i="4"/>
  <c r="D29" i="4"/>
  <c r="D38" i="4"/>
  <c r="F29" i="4"/>
  <c r="F33" i="4" s="1"/>
  <c r="F38" i="4"/>
  <c r="G29" i="4"/>
  <c r="G38" i="4"/>
  <c r="L40" i="5"/>
  <c r="K43" i="5"/>
  <c r="L10" i="5"/>
  <c r="F13" i="16"/>
  <c r="C33" i="4"/>
  <c r="C37" i="4"/>
  <c r="C40" i="4" s="1"/>
  <c r="J54" i="4"/>
  <c r="K54" i="4" s="1"/>
  <c r="L54" i="4" s="1"/>
  <c r="M54" i="4" s="1"/>
  <c r="D33" i="4"/>
  <c r="G33" i="4"/>
  <c r="L14" i="5"/>
  <c r="L30" i="5"/>
  <c r="L7" i="5"/>
  <c r="J52" i="4"/>
  <c r="K52" i="4" s="1"/>
  <c r="L52" i="4" s="1"/>
  <c r="J53" i="4"/>
  <c r="K53" i="4" s="1"/>
  <c r="L53" i="4" s="1"/>
  <c r="J55" i="4"/>
  <c r="K55" i="4" s="1"/>
  <c r="J50" i="4"/>
  <c r="K50" i="4" s="1"/>
  <c r="J51" i="4"/>
  <c r="K51" i="4" s="1"/>
  <c r="J5" i="1"/>
  <c r="I17" i="1"/>
  <c r="I9" i="4" s="1"/>
  <c r="I37" i="6" s="1"/>
  <c r="I8" i="5" s="1"/>
  <c r="D37" i="4" l="1"/>
  <c r="D40" i="4" s="1"/>
  <c r="C5" i="20"/>
  <c r="C7" i="20" s="1"/>
  <c r="C10" i="20"/>
  <c r="F37" i="4"/>
  <c r="F40" i="4" s="1"/>
  <c r="D5" i="20"/>
  <c r="D7" i="20" s="1"/>
  <c r="D10" i="20"/>
  <c r="E5" i="20"/>
  <c r="E7" i="20" s="1"/>
  <c r="E10" i="20"/>
  <c r="E37" i="4"/>
  <c r="E40" i="4" s="1"/>
  <c r="E33" i="4"/>
  <c r="G37" i="4"/>
  <c r="G40" i="4" s="1"/>
  <c r="F5" i="20"/>
  <c r="F7" i="20" s="1"/>
  <c r="F10" i="20"/>
  <c r="B5" i="20"/>
  <c r="B7" i="20" s="1"/>
  <c r="B10" i="20"/>
  <c r="N54" i="4"/>
  <c r="N38" i="4"/>
  <c r="K38" i="4"/>
  <c r="I38" i="4"/>
  <c r="J38" i="4"/>
  <c r="M38" i="4"/>
  <c r="L38" i="4"/>
  <c r="N33" i="4"/>
  <c r="I33" i="4"/>
  <c r="M40" i="5"/>
  <c r="M43" i="5" s="1"/>
  <c r="L43" i="5"/>
  <c r="M10" i="5"/>
  <c r="G13" i="16"/>
  <c r="M33" i="4"/>
  <c r="C11" i="16"/>
  <c r="L33" i="4"/>
  <c r="J33" i="4"/>
  <c r="K33" i="4"/>
  <c r="M14" i="5"/>
  <c r="M7" i="5"/>
  <c r="M30" i="5"/>
  <c r="L50" i="4"/>
  <c r="M52" i="4"/>
  <c r="N52" i="4" s="1"/>
  <c r="L55" i="4"/>
  <c r="L51" i="4"/>
  <c r="M53" i="4"/>
  <c r="N53" i="4" s="1"/>
  <c r="I15" i="4"/>
  <c r="I12" i="4"/>
  <c r="I11" i="4"/>
  <c r="I10" i="4"/>
  <c r="I14" i="4"/>
  <c r="K5" i="1"/>
  <c r="J17" i="1"/>
  <c r="J9" i="4" s="1"/>
  <c r="J37" i="6" s="1"/>
  <c r="J8" i="5" s="1"/>
  <c r="E12" i="20" l="1"/>
  <c r="E22" i="20" s="1"/>
  <c r="E24" i="20"/>
  <c r="D24" i="20"/>
  <c r="D12" i="20"/>
  <c r="D22" i="20" s="1"/>
  <c r="D26" i="20" s="1"/>
  <c r="C12" i="20"/>
  <c r="C22" i="20" s="1"/>
  <c r="C24" i="20"/>
  <c r="B12" i="20"/>
  <c r="B22" i="20" s="1"/>
  <c r="B26" i="20" s="1"/>
  <c r="B24" i="20"/>
  <c r="F12" i="20"/>
  <c r="F22" i="20" s="1"/>
  <c r="F24" i="20"/>
  <c r="M51" i="4"/>
  <c r="N51" i="4"/>
  <c r="M55" i="4"/>
  <c r="N55" i="4"/>
  <c r="M50" i="4"/>
  <c r="N50" i="4" s="1"/>
  <c r="H37" i="5"/>
  <c r="H45" i="5" s="1"/>
  <c r="H16" i="4"/>
  <c r="D11" i="16"/>
  <c r="I55" i="6"/>
  <c r="I9" i="5" s="1"/>
  <c r="C12" i="16" s="1"/>
  <c r="I46" i="6"/>
  <c r="I29" i="5" s="1"/>
  <c r="L5" i="1"/>
  <c r="K17" i="1"/>
  <c r="J10" i="4"/>
  <c r="J15" i="4"/>
  <c r="J12" i="4"/>
  <c r="J11" i="4"/>
  <c r="J14" i="4"/>
  <c r="C26" i="20" l="1"/>
  <c r="F26" i="20"/>
  <c r="E26" i="20"/>
  <c r="H19" i="4"/>
  <c r="H24" i="4" s="1"/>
  <c r="H25" i="4" s="1"/>
  <c r="K9" i="4"/>
  <c r="K37" i="6" s="1"/>
  <c r="K8" i="5" s="1"/>
  <c r="E11" i="16" s="1"/>
  <c r="J55" i="6"/>
  <c r="J9" i="5" s="1"/>
  <c r="D12" i="16" s="1"/>
  <c r="J46" i="6"/>
  <c r="J29" i="5" s="1"/>
  <c r="C14" i="16"/>
  <c r="I37" i="5"/>
  <c r="I45" i="5" s="1"/>
  <c r="M5" i="1"/>
  <c r="M17" i="1" s="1"/>
  <c r="L17" i="1"/>
  <c r="K10" i="4" l="1"/>
  <c r="I25" i="4"/>
  <c r="B5" i="11" s="1"/>
  <c r="G5" i="14" s="1"/>
  <c r="G4" i="14" s="1"/>
  <c r="K12" i="4"/>
  <c r="K11" i="4"/>
  <c r="K14" i="4"/>
  <c r="H27" i="4"/>
  <c r="H38" i="4" s="1"/>
  <c r="K15" i="4"/>
  <c r="L9" i="4"/>
  <c r="L37" i="6" s="1"/>
  <c r="L8" i="5" s="1"/>
  <c r="F11" i="16" s="1"/>
  <c r="M9" i="4"/>
  <c r="D14" i="16"/>
  <c r="J37" i="5"/>
  <c r="J45" i="5" s="1"/>
  <c r="B15" i="11" l="1"/>
  <c r="G18" i="11" s="1"/>
  <c r="M37" i="6"/>
  <c r="M8" i="5" s="1"/>
  <c r="H11" i="16" s="1"/>
  <c r="N12" i="4"/>
  <c r="N14" i="4"/>
  <c r="N10" i="4"/>
  <c r="N11" i="4"/>
  <c r="N15" i="4"/>
  <c r="J25" i="4"/>
  <c r="K55" i="6"/>
  <c r="K9" i="5" s="1"/>
  <c r="E12" i="16" s="1"/>
  <c r="K46" i="6"/>
  <c r="K29" i="5" s="1"/>
  <c r="E14" i="16" s="1"/>
  <c r="L11" i="4"/>
  <c r="L12" i="4"/>
  <c r="G11" i="16"/>
  <c r="L15" i="4"/>
  <c r="L10" i="4"/>
  <c r="L14" i="4"/>
  <c r="M12" i="4"/>
  <c r="M10" i="4"/>
  <c r="M11" i="4"/>
  <c r="M15" i="4"/>
  <c r="M14" i="4"/>
  <c r="B18" i="11" l="1"/>
  <c r="C18" i="11"/>
  <c r="D18" i="11"/>
  <c r="F18" i="11"/>
  <c r="E18" i="11"/>
  <c r="N55" i="6"/>
  <c r="N9" i="5" s="1"/>
  <c r="N46" i="6"/>
  <c r="N29" i="5" s="1"/>
  <c r="N37" i="5" s="1"/>
  <c r="N45" i="5" s="1"/>
  <c r="C5" i="11"/>
  <c r="K25" i="4"/>
  <c r="K37" i="5"/>
  <c r="K45" i="5" s="1"/>
  <c r="H29" i="4"/>
  <c r="L55" i="6"/>
  <c r="L9" i="5" s="1"/>
  <c r="F12" i="16" s="1"/>
  <c r="M55" i="6"/>
  <c r="M9" i="5" s="1"/>
  <c r="M46" i="6"/>
  <c r="M29" i="5" s="1"/>
  <c r="L46" i="6"/>
  <c r="L29" i="5" s="1"/>
  <c r="F14" i="16" s="1"/>
  <c r="D5" i="11" l="1"/>
  <c r="L25" i="4"/>
  <c r="E5" i="11" s="1"/>
  <c r="G10" i="20"/>
  <c r="G5" i="20"/>
  <c r="G7" i="20" s="1"/>
  <c r="M25" i="4"/>
  <c r="F5" i="11" s="1"/>
  <c r="G12" i="16"/>
  <c r="H12" i="16"/>
  <c r="M37" i="5"/>
  <c r="M45" i="5" s="1"/>
  <c r="H14" i="16"/>
  <c r="H37" i="4"/>
  <c r="H33" i="4"/>
  <c r="L37" i="5"/>
  <c r="L45" i="5" s="1"/>
  <c r="G14" i="16"/>
  <c r="H40" i="4"/>
  <c r="N25" i="4" l="1"/>
  <c r="G5" i="11" s="1"/>
  <c r="G12" i="20"/>
  <c r="G22" i="20" s="1"/>
  <c r="G24" i="20"/>
  <c r="H56" i="5"/>
  <c r="H58" i="5" s="1"/>
  <c r="H61" i="5" s="1"/>
  <c r="H11" i="5"/>
  <c r="C29" i="16"/>
  <c r="G26" i="20" l="1"/>
  <c r="I19" i="6"/>
  <c r="I21" i="6" s="1"/>
  <c r="I23" i="6" s="1"/>
  <c r="H17" i="5"/>
  <c r="H16" i="5" s="1"/>
  <c r="J19" i="6" l="1"/>
  <c r="J21" i="6" s="1"/>
  <c r="J23" i="6" s="1"/>
  <c r="I17" i="5"/>
  <c r="H23" i="5"/>
  <c r="H25" i="5" s="1"/>
  <c r="H10" i="6"/>
  <c r="K19" i="6" l="1"/>
  <c r="K21" i="6" s="1"/>
  <c r="K23" i="6" s="1"/>
  <c r="J17" i="5"/>
  <c r="H8" i="6"/>
  <c r="I6" i="6"/>
  <c r="H7" i="6" l="1"/>
  <c r="H12" i="6"/>
  <c r="H15" i="6"/>
  <c r="K17" i="5"/>
  <c r="L19" i="6"/>
  <c r="L21" i="6" s="1"/>
  <c r="L23" i="6" s="1"/>
  <c r="L17" i="5" l="1"/>
  <c r="M19" i="6"/>
  <c r="M21" i="6" s="1"/>
  <c r="M23" i="6" s="1"/>
  <c r="K15" i="6"/>
  <c r="K8" i="6" s="1"/>
  <c r="N15" i="6"/>
  <c r="N8" i="6" s="1"/>
  <c r="L15" i="6"/>
  <c r="L8" i="6" s="1"/>
  <c r="M15" i="6"/>
  <c r="M8" i="6" s="1"/>
  <c r="I15" i="6"/>
  <c r="I8" i="6" s="1"/>
  <c r="J15" i="6"/>
  <c r="J8" i="6" s="1"/>
  <c r="L12" i="6"/>
  <c r="M12" i="6"/>
  <c r="I12" i="6"/>
  <c r="N12" i="6"/>
  <c r="K12" i="6"/>
  <c r="J12" i="6"/>
  <c r="J9" i="6" l="1"/>
  <c r="J10" i="6" s="1"/>
  <c r="I9" i="6"/>
  <c r="I7" i="6"/>
  <c r="C18" i="16" s="1"/>
  <c r="C19" i="16" s="1"/>
  <c r="I10" i="6"/>
  <c r="M9" i="6"/>
  <c r="L9" i="6"/>
  <c r="N9" i="6"/>
  <c r="K10" i="6"/>
  <c r="K9" i="6"/>
  <c r="N19" i="6"/>
  <c r="N21" i="6" s="1"/>
  <c r="N23" i="6" s="1"/>
  <c r="N17" i="5" s="1"/>
  <c r="M17" i="5"/>
  <c r="N10" i="6" l="1"/>
  <c r="N16" i="5" s="1"/>
  <c r="N23" i="5" s="1"/>
  <c r="G8" i="11"/>
  <c r="K6" i="6"/>
  <c r="K7" i="6" s="1"/>
  <c r="E18" i="16" s="1"/>
  <c r="E19" i="16" s="1"/>
  <c r="J16" i="5"/>
  <c r="J23" i="5" s="1"/>
  <c r="L6" i="6"/>
  <c r="L7" i="6" s="1"/>
  <c r="F18" i="16" s="1"/>
  <c r="F19" i="16" s="1"/>
  <c r="K16" i="5"/>
  <c r="K23" i="5" s="1"/>
  <c r="I16" i="5"/>
  <c r="I23" i="5" s="1"/>
  <c r="J6" i="6"/>
  <c r="J7" i="6" s="1"/>
  <c r="D18" i="16" s="1"/>
  <c r="D19" i="16" s="1"/>
  <c r="N13" i="4"/>
  <c r="N16" i="4" s="1"/>
  <c r="N19" i="4" s="1"/>
  <c r="H7" i="16"/>
  <c r="F8" i="11"/>
  <c r="G7" i="16"/>
  <c r="M13" i="4"/>
  <c r="M16" i="4" s="1"/>
  <c r="M19" i="4" s="1"/>
  <c r="E8" i="11"/>
  <c r="F7" i="16"/>
  <c r="L13" i="4"/>
  <c r="L16" i="4" s="1"/>
  <c r="L19" i="4" s="1"/>
  <c r="B8" i="11"/>
  <c r="C7" i="16"/>
  <c r="I13" i="4"/>
  <c r="I16" i="4" s="1"/>
  <c r="I19" i="4" s="1"/>
  <c r="L10" i="6"/>
  <c r="D7" i="16"/>
  <c r="C8" i="11"/>
  <c r="J13" i="4"/>
  <c r="J16" i="4" s="1"/>
  <c r="J19" i="4" s="1"/>
  <c r="K13" i="4"/>
  <c r="K16" i="4" s="1"/>
  <c r="K19" i="4" s="1"/>
  <c r="D8" i="11"/>
  <c r="E7" i="16"/>
  <c r="M10" i="6"/>
  <c r="N24" i="4" l="1"/>
  <c r="F28" i="11"/>
  <c r="F29" i="11" s="1"/>
  <c r="G4" i="11"/>
  <c r="G6" i="11" s="1"/>
  <c r="G7" i="11" s="1"/>
  <c r="G11" i="11" s="1"/>
  <c r="L24" i="4"/>
  <c r="E4" i="11"/>
  <c r="D4" i="11"/>
  <c r="K24" i="4"/>
  <c r="C4" i="11"/>
  <c r="J24" i="4"/>
  <c r="M6" i="6"/>
  <c r="M7" i="6" s="1"/>
  <c r="G18" i="16" s="1"/>
  <c r="G19" i="16" s="1"/>
  <c r="L16" i="5"/>
  <c r="L23" i="5" s="1"/>
  <c r="N26" i="4"/>
  <c r="N27" i="4" s="1"/>
  <c r="M24" i="4"/>
  <c r="F4" i="11"/>
  <c r="M16" i="5"/>
  <c r="M23" i="5" s="1"/>
  <c r="N6" i="6"/>
  <c r="N7" i="6" s="1"/>
  <c r="H18" i="16" s="1"/>
  <c r="H19" i="16" s="1"/>
  <c r="B4" i="11"/>
  <c r="I24" i="4"/>
  <c r="G17" i="11" l="1"/>
  <c r="B28" i="11" s="1"/>
  <c r="B29" i="11" s="1"/>
  <c r="G19" i="11"/>
  <c r="I26" i="4"/>
  <c r="I27" i="4" s="1"/>
  <c r="B6" i="11"/>
  <c r="B7" i="11" s="1"/>
  <c r="B11" i="11" s="1"/>
  <c r="M26" i="4"/>
  <c r="M27" i="4" s="1"/>
  <c r="J26" i="4"/>
  <c r="J27" i="4" s="1"/>
  <c r="C6" i="11"/>
  <c r="C7" i="11" s="1"/>
  <c r="C11" i="11" s="1"/>
  <c r="F6" i="11"/>
  <c r="F7" i="11" s="1"/>
  <c r="F11" i="11" s="1"/>
  <c r="K26" i="4"/>
  <c r="K27" i="4" s="1"/>
  <c r="D6" i="11"/>
  <c r="D7" i="11" s="1"/>
  <c r="D11" i="11" s="1"/>
  <c r="N28" i="4"/>
  <c r="H6" i="16"/>
  <c r="H15" i="16" s="1"/>
  <c r="N29" i="4"/>
  <c r="E6" i="11"/>
  <c r="E7" i="11" s="1"/>
  <c r="E11" i="11" s="1"/>
  <c r="L26" i="4"/>
  <c r="L27" i="4" s="1"/>
  <c r="C17" i="11" l="1"/>
  <c r="C19" i="11"/>
  <c r="D17" i="11"/>
  <c r="D19" i="11"/>
  <c r="E17" i="11"/>
  <c r="E19" i="11"/>
  <c r="B17" i="11"/>
  <c r="B19" i="11"/>
  <c r="F17" i="11"/>
  <c r="F19" i="11"/>
  <c r="D6" i="16"/>
  <c r="D15" i="16" s="1"/>
  <c r="J28" i="4"/>
  <c r="J29" i="4" s="1"/>
  <c r="F6" i="16"/>
  <c r="F15" i="16" s="1"/>
  <c r="L28" i="4"/>
  <c r="L29" i="4" s="1"/>
  <c r="C6" i="16"/>
  <c r="C15" i="16" s="1"/>
  <c r="I28" i="4"/>
  <c r="I55" i="5" s="1"/>
  <c r="M28" i="4"/>
  <c r="M29" i="4" s="1"/>
  <c r="G6" i="16"/>
  <c r="G15" i="16" s="1"/>
  <c r="K28" i="4"/>
  <c r="K29" i="4" s="1"/>
  <c r="E6" i="16"/>
  <c r="E15" i="16" s="1"/>
  <c r="N32" i="4"/>
  <c r="N37" i="4"/>
  <c r="B20" i="11" l="1"/>
  <c r="B30" i="11" s="1"/>
  <c r="B35" i="11" s="1"/>
  <c r="B40" i="11" s="1"/>
  <c r="B44" i="11" s="1"/>
  <c r="J55" i="5"/>
  <c r="K55" i="5" s="1"/>
  <c r="L55" i="5" s="1"/>
  <c r="M55" i="5" s="1"/>
  <c r="N55" i="5" s="1"/>
  <c r="L32" i="4"/>
  <c r="L37" i="4"/>
  <c r="M37" i="4"/>
  <c r="M32" i="4"/>
  <c r="I29" i="4"/>
  <c r="N34" i="4"/>
  <c r="N40" i="4" s="1"/>
  <c r="H22" i="16"/>
  <c r="H26" i="16" s="1"/>
  <c r="H28" i="16" s="1"/>
  <c r="J32" i="4"/>
  <c r="J37" i="4"/>
  <c r="K32" i="4"/>
  <c r="K37" i="4"/>
  <c r="B67" i="11" l="1"/>
  <c r="B47" i="11"/>
  <c r="F30" i="11"/>
  <c r="F35" i="11" s="1"/>
  <c r="F40" i="11" s="1"/>
  <c r="F44" i="11" s="1"/>
  <c r="B82" i="11" s="1"/>
  <c r="I37" i="4"/>
  <c r="I32" i="4"/>
  <c r="G22" i="16"/>
  <c r="G26" i="16" s="1"/>
  <c r="G28" i="16" s="1"/>
  <c r="M34" i="4"/>
  <c r="M40" i="4" s="1"/>
  <c r="K34" i="4"/>
  <c r="K40" i="4" s="1"/>
  <c r="E22" i="16"/>
  <c r="E26" i="16" s="1"/>
  <c r="E28" i="16" s="1"/>
  <c r="D22" i="16"/>
  <c r="D26" i="16" s="1"/>
  <c r="D28" i="16" s="1"/>
  <c r="J34" i="4"/>
  <c r="J40" i="4" s="1"/>
  <c r="F22" i="16"/>
  <c r="F26" i="16" s="1"/>
  <c r="F28" i="16" s="1"/>
  <c r="L34" i="4"/>
  <c r="L40" i="4" s="1"/>
  <c r="I34" i="4" l="1"/>
  <c r="I40" i="4" s="1"/>
  <c r="C22" i="16"/>
  <c r="C26" i="16" s="1"/>
  <c r="C28" i="16" s="1"/>
  <c r="C30" i="16" s="1"/>
  <c r="I6" i="5" s="1"/>
  <c r="I52" i="5"/>
  <c r="I11" i="5" l="1"/>
  <c r="I25" i="5" s="1"/>
  <c r="D29" i="16"/>
  <c r="D30" i="16" s="1"/>
  <c r="J6" i="5" s="1"/>
  <c r="I54" i="5"/>
  <c r="I56" i="5" s="1"/>
  <c r="I58" i="5" s="1"/>
  <c r="J52" i="5"/>
  <c r="J54" i="5" l="1"/>
  <c r="J56" i="5" s="1"/>
  <c r="J58" i="5" s="1"/>
  <c r="K52" i="5"/>
  <c r="J11" i="5"/>
  <c r="J25" i="5" s="1"/>
  <c r="E29" i="16"/>
  <c r="E30" i="16" s="1"/>
  <c r="K6" i="5" s="1"/>
  <c r="I61" i="5"/>
  <c r="J61" i="5" l="1"/>
  <c r="K11" i="5"/>
  <c r="K25" i="5" s="1"/>
  <c r="F29" i="16"/>
  <c r="F30" i="16" s="1"/>
  <c r="L6" i="5" s="1"/>
  <c r="L52" i="5"/>
  <c r="K54" i="5"/>
  <c r="K56" i="5" s="1"/>
  <c r="K58" i="5" s="1"/>
  <c r="K61" i="5" l="1"/>
  <c r="G29" i="16"/>
  <c r="G30" i="16" s="1"/>
  <c r="M6" i="5" s="1"/>
  <c r="L11" i="5"/>
  <c r="L25" i="5" s="1"/>
  <c r="M52" i="5"/>
  <c r="L54" i="5"/>
  <c r="L56" i="5" s="1"/>
  <c r="L58" i="5" s="1"/>
  <c r="M54" i="5" l="1"/>
  <c r="M56" i="5" s="1"/>
  <c r="M58" i="5" s="1"/>
  <c r="N52" i="5"/>
  <c r="N54" i="5" s="1"/>
  <c r="N56" i="5" s="1"/>
  <c r="N58" i="5" s="1"/>
  <c r="L61" i="5"/>
  <c r="M11" i="5"/>
  <c r="M25" i="5" s="1"/>
  <c r="H29" i="16"/>
  <c r="H30" i="16" s="1"/>
  <c r="N6" i="5" s="1"/>
  <c r="N11" i="5" s="1"/>
  <c r="N25" i="5" s="1"/>
  <c r="N61" i="5" s="1"/>
  <c r="M61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1" authorId="0" shapeId="0" xr:uid="{7D06D696-8496-4C10-857E-EBF66CBC93F7}">
      <text>
        <r>
          <rPr>
            <b/>
            <sz val="9"/>
            <color indexed="81"/>
            <rFont val="Tahoma"/>
            <family val="2"/>
          </rPr>
          <t xml:space="preserve">market screener
2024,2023,2022
</t>
        </r>
      </text>
    </comment>
    <comment ref="D31" authorId="0" shapeId="0" xr:uid="{CDE128CE-F6E2-4979-8B9C-A9EC5B91684D}">
      <text>
        <r>
          <rPr>
            <b/>
            <sz val="9"/>
            <color indexed="81"/>
            <rFont val="Tahoma"/>
            <family val="2"/>
          </rPr>
          <t>investing.com
2024,2023,2022</t>
        </r>
      </text>
    </comment>
    <comment ref="D36" authorId="0" shapeId="0" xr:uid="{A5587D38-A26B-4B75-907D-AEBF0310213A}">
      <text>
        <r>
          <rPr>
            <b/>
            <sz val="9"/>
            <color indexed="81"/>
            <rFont val="Tahoma"/>
            <family val="2"/>
          </rPr>
          <t xml:space="preserve">investing.com
2024,2023,2022
</t>
        </r>
      </text>
    </comment>
    <comment ref="D41" authorId="0" shapeId="0" xr:uid="{E8DBF02B-582F-4908-A8C1-43F08D91A684}">
      <text>
        <r>
          <rPr>
            <b/>
            <sz val="9"/>
            <color indexed="81"/>
            <rFont val="Tahoma"/>
            <family val="2"/>
          </rPr>
          <t xml:space="preserve">market screener
2024,2023,2022
</t>
        </r>
      </text>
    </comment>
    <comment ref="D46" authorId="0" shapeId="0" xr:uid="{0CFBB7CE-06A4-47A2-B636-885671B8A0C3}">
      <text>
        <r>
          <rPr>
            <b/>
            <sz val="9"/>
            <color indexed="81"/>
            <rFont val="Tahoma"/>
            <family val="2"/>
          </rPr>
          <t>market screener  2024,2023,2022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7" authorId="0" shapeId="0" xr:uid="{3AA4EEF9-CFA3-487F-9141-15200C6C3C64}">
      <text>
        <r>
          <rPr>
            <b/>
            <sz val="9"/>
            <color indexed="81"/>
            <rFont val="Tahoma"/>
            <family val="2"/>
          </rPr>
          <t>10Q Dec. 2024</t>
        </r>
      </text>
    </comment>
    <comment ref="H7" authorId="0" shapeId="0" xr:uid="{8023EFD3-A644-4664-957B-2BA48D3B6B11}">
      <text>
        <r>
          <rPr>
            <b/>
            <sz val="9"/>
            <color indexed="81"/>
            <rFont val="Tahoma"/>
            <family val="2"/>
          </rPr>
          <t>10Q Dec. 2024</t>
        </r>
      </text>
    </comment>
    <comment ref="I7" authorId="0" shapeId="0" xr:uid="{6EE43F4E-1890-415C-AE6E-42E1F10F7AEF}">
      <text>
        <r>
          <rPr>
            <b/>
            <sz val="9"/>
            <color indexed="81"/>
            <rFont val="Tahoma"/>
            <family val="2"/>
          </rPr>
          <t xml:space="preserve">10K Sep. 2024
</t>
        </r>
      </text>
    </comment>
    <comment ref="J7" authorId="0" shapeId="0" xr:uid="{5FF11222-6639-45F5-BF4C-E11915E9F2E7}">
      <text>
        <r>
          <rPr>
            <b/>
            <sz val="9"/>
            <color indexed="81"/>
            <rFont val="Tahoma"/>
            <family val="2"/>
          </rPr>
          <t>10Q Dec. 2024</t>
        </r>
      </text>
    </comment>
    <comment ref="K7" authorId="0" shapeId="0" xr:uid="{3F6F8B13-7E37-4EE6-A35B-3C0960C7442C}">
      <text>
        <r>
          <rPr>
            <b/>
            <sz val="9"/>
            <color indexed="81"/>
            <rFont val="Tahoma"/>
            <family val="2"/>
          </rPr>
          <t>10Q Dec. 2024
Long-term, Short-term &amp; Equity Investments</t>
        </r>
      </text>
    </comment>
    <comment ref="B52" authorId="0" shapeId="0" xr:uid="{F079B51F-407A-4FD3-8CBC-B2EE30EB8978}">
      <text>
        <r>
          <rPr>
            <b/>
            <sz val="9"/>
            <color indexed="81"/>
            <rFont val="Tahoma"/>
            <family val="2"/>
          </rPr>
          <t>10K Sep. 2024</t>
        </r>
      </text>
    </comment>
    <comment ref="B53" authorId="0" shapeId="0" xr:uid="{77E10F7C-6F81-44EC-AC50-A9FC900A444E}">
      <text>
        <r>
          <rPr>
            <b/>
            <sz val="9"/>
            <color indexed="81"/>
            <rFont val="Tahoma"/>
            <family val="2"/>
          </rPr>
          <t>10K Sep. 2024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RITIKA</author>
  </authors>
  <commentList>
    <comment ref="H14" authorId="0" shapeId="0" xr:uid="{1127FA04-4D1F-46A5-99D7-D85399DA3E51}">
      <text>
        <r>
          <rPr>
            <b/>
            <sz val="9"/>
            <color indexed="81"/>
            <rFont val="Tahoma"/>
            <family val="2"/>
          </rPr>
          <t xml:space="preserve">investing.com
</t>
        </r>
      </text>
    </comment>
    <comment ref="I14" authorId="0" shapeId="0" xr:uid="{B79B62BE-C047-4340-A0B9-EB46CD608C17}">
      <text>
        <r>
          <rPr>
            <b/>
            <sz val="9"/>
            <color indexed="81"/>
            <rFont val="Tahoma"/>
            <family val="2"/>
          </rPr>
          <t>investing.com</t>
        </r>
      </text>
    </comment>
    <comment ref="H16" authorId="0" shapeId="0" xr:uid="{F73858B1-A3BB-4845-84C0-8C59BC76D8A1}">
      <text>
        <r>
          <rPr>
            <b/>
            <sz val="9"/>
            <color indexed="81"/>
            <rFont val="Tahoma"/>
            <family val="2"/>
          </rPr>
          <t>investing.com</t>
        </r>
      </text>
    </comment>
    <comment ref="I16" authorId="0" shapeId="0" xr:uid="{BEAFEA22-FA8A-4C39-AFE0-3F2CEAC972AF}">
      <text>
        <r>
          <rPr>
            <b/>
            <sz val="9"/>
            <color indexed="81"/>
            <rFont val="Tahoma"/>
            <family val="2"/>
          </rPr>
          <t>investing.com</t>
        </r>
      </text>
    </comment>
  </commentList>
</comments>
</file>

<file path=xl/sharedStrings.xml><?xml version="1.0" encoding="utf-8"?>
<sst xmlns="http://schemas.openxmlformats.org/spreadsheetml/2006/main" count="1974" uniqueCount="714">
  <si>
    <t>Segment Information</t>
  </si>
  <si>
    <t>NORTH AMERICA</t>
  </si>
  <si>
    <t>Growth%</t>
  </si>
  <si>
    <t>INTERNATIONAL</t>
  </si>
  <si>
    <t>CHANNEL DEVELOPMENT</t>
  </si>
  <si>
    <t>CORPORATE &amp; OTHER</t>
  </si>
  <si>
    <t>Total revenue excluding Elimitations</t>
  </si>
  <si>
    <t>12 months</t>
  </si>
  <si>
    <t>OCT. 1, 2019</t>
  </si>
  <si>
    <t>OCT. 1, 2020</t>
  </si>
  <si>
    <t>OCT. 1, 2021</t>
  </si>
  <si>
    <t>OCT. 1, 2022</t>
  </si>
  <si>
    <t>OCT. 1, 2023</t>
  </si>
  <si>
    <t>OCT. 1, 2024</t>
  </si>
  <si>
    <t>OCT. 1, 2025</t>
  </si>
  <si>
    <t>OCT. 1, 2026</t>
  </si>
  <si>
    <t>OCT. 1, 2027</t>
  </si>
  <si>
    <t>OCT. 1, 2028</t>
  </si>
  <si>
    <t>OCT. 1, 2029</t>
  </si>
  <si>
    <t>STARBUCKS COFFEE COMPANY</t>
  </si>
  <si>
    <t>-</t>
  </si>
  <si>
    <t>Company-operated stores</t>
  </si>
  <si>
    <t>Licensed stores</t>
  </si>
  <si>
    <t>Other</t>
  </si>
  <si>
    <t>Product and distribution cost</t>
  </si>
  <si>
    <t>Store operating expenses</t>
  </si>
  <si>
    <t>Other operating expenses</t>
  </si>
  <si>
    <t>Depreciation and amortization expenses</t>
  </si>
  <si>
    <t>General and administrative expenses</t>
  </si>
  <si>
    <t>Restructuring and impairments</t>
  </si>
  <si>
    <t>Gain from sale of assets</t>
  </si>
  <si>
    <t>Operating income</t>
  </si>
  <si>
    <t>Gain resulting from acquisition of joint venture</t>
  </si>
  <si>
    <t>Net gain resulting from divestiture of certain operations</t>
  </si>
  <si>
    <t>Interest income and other, net</t>
  </si>
  <si>
    <t>Interest expense</t>
  </si>
  <si>
    <t>Earnings before income taxes</t>
  </si>
  <si>
    <t>Income tax expense</t>
  </si>
  <si>
    <t>Net earnings attributable to Starbucks</t>
  </si>
  <si>
    <t>Dividend paid</t>
  </si>
  <si>
    <t>Depreciation &amp; amortization</t>
  </si>
  <si>
    <t xml:space="preserve">Dep </t>
  </si>
  <si>
    <t>Amortization</t>
  </si>
  <si>
    <t>NET REVENUE:</t>
  </si>
  <si>
    <t>Accounts receivable, net</t>
  </si>
  <si>
    <t>Inventories</t>
  </si>
  <si>
    <t>Prepaid expenses and other current assets</t>
  </si>
  <si>
    <t>Long-term investment</t>
  </si>
  <si>
    <t>Equity investments</t>
  </si>
  <si>
    <t>Property, plant and equipment, net</t>
  </si>
  <si>
    <t>Intangible assets</t>
  </si>
  <si>
    <t>Operating lease, right-of-use asset</t>
  </si>
  <si>
    <t>Deferred income taxes, net</t>
  </si>
  <si>
    <t>Other long-term assets</t>
  </si>
  <si>
    <t>Other intangible assets</t>
  </si>
  <si>
    <t>Goodwill</t>
  </si>
  <si>
    <t>TOTAL ASSETS</t>
  </si>
  <si>
    <t>LIABILITIES AND SHAREHOLDERS' EQUITY</t>
  </si>
  <si>
    <t>Current liabilities:</t>
  </si>
  <si>
    <t>Accounts payable</t>
  </si>
  <si>
    <t>Accrued liabilities</t>
  </si>
  <si>
    <t>Accrued payroll and benefits</t>
  </si>
  <si>
    <t>Income tax payable</t>
  </si>
  <si>
    <t>Current portion of operating lease liability</t>
  </si>
  <si>
    <t>Stored value card liability and current portion of deferred revenue</t>
  </si>
  <si>
    <t>Short-term debt</t>
  </si>
  <si>
    <t>Current portion of long-term debt</t>
  </si>
  <si>
    <t>Long-term debt</t>
  </si>
  <si>
    <t>Operating lease liability</t>
  </si>
  <si>
    <t>Deferred revenue</t>
  </si>
  <si>
    <t>Other long-term liabilities</t>
  </si>
  <si>
    <t>Shareholders’ deficit:</t>
  </si>
  <si>
    <t xml:space="preserve"> issued and outstanding, 1,142.6 and 1,147.9 shares, respectively</t>
  </si>
  <si>
    <t>Additional paid-in capital</t>
  </si>
  <si>
    <t>Retained deficit</t>
  </si>
  <si>
    <t>Accumulated other comprehensive income/(loss)</t>
  </si>
  <si>
    <t>Total shareholders’ deficit</t>
  </si>
  <si>
    <t>TOTAL LIABILITIES AND SHAREHOLDERS’ EQUITY/(DEFICIT)</t>
  </si>
  <si>
    <t>CHECKSUM</t>
  </si>
  <si>
    <t>Common stock ($0.001 par value) - authorized, 2,400.0 shares;</t>
  </si>
  <si>
    <t>Fixed Assets Schedule</t>
  </si>
  <si>
    <t>Opening balance</t>
  </si>
  <si>
    <t>Add: Net addition during the period</t>
  </si>
  <si>
    <t>Total dep assets during the year</t>
  </si>
  <si>
    <t>Less: Depreciation</t>
  </si>
  <si>
    <t>Closing balance</t>
  </si>
  <si>
    <t>PPE ratio=revenue/depreciable asset</t>
  </si>
  <si>
    <t>Total amortization assets during the year</t>
  </si>
  <si>
    <t>Less: Amortization</t>
  </si>
  <si>
    <t>Dividend%</t>
  </si>
  <si>
    <t>Opening Debt</t>
  </si>
  <si>
    <t>(+)Debt Raised</t>
  </si>
  <si>
    <t>(-)Debt Repaid</t>
  </si>
  <si>
    <t>Short Term</t>
  </si>
  <si>
    <t>Long Term</t>
  </si>
  <si>
    <t>June 2026 notes</t>
  </si>
  <si>
    <t>Depreciation %</t>
  </si>
  <si>
    <t>Amortization %</t>
  </si>
  <si>
    <t>Calculation of Projected Acc. Rec.</t>
  </si>
  <si>
    <t>Steps:</t>
  </si>
  <si>
    <t>Historical DSO=365/ARTR</t>
  </si>
  <si>
    <t>(Pro. COGS*Pro. DPO)/365</t>
  </si>
  <si>
    <t>(Pro. COGS*Pro. DIO)/365</t>
  </si>
  <si>
    <r>
      <t xml:space="preserve">And, </t>
    </r>
    <r>
      <rPr>
        <b/>
        <sz val="11"/>
        <color theme="1"/>
        <rFont val="Calibri"/>
        <family val="2"/>
        <scheme val="minor"/>
      </rPr>
      <t>Pro. Inventories</t>
    </r>
    <r>
      <rPr>
        <sz val="11"/>
        <color theme="1"/>
        <rFont val="Calibri"/>
        <family val="2"/>
        <scheme val="minor"/>
      </rPr>
      <t xml:space="preserve"> will be, </t>
    </r>
  </si>
  <si>
    <t>Dividend Payout Ratio = Dividend per share/EPS</t>
  </si>
  <si>
    <t>EBIT</t>
  </si>
  <si>
    <t>Tax rate</t>
  </si>
  <si>
    <t>NOPAT</t>
  </si>
  <si>
    <t>(+)Depreciation</t>
  </si>
  <si>
    <t>(+)Net changes in working capital</t>
  </si>
  <si>
    <t>(-)Capex</t>
  </si>
  <si>
    <t>FCFF(Explicit cash flow)</t>
  </si>
  <si>
    <t>WACC</t>
  </si>
  <si>
    <t>Growth rate</t>
  </si>
  <si>
    <t>Free cash flow to the firm</t>
  </si>
  <si>
    <t>rd= rf + credit spread</t>
  </si>
  <si>
    <t>1. Find out the competitors of Stabucks using Market Screener</t>
  </si>
  <si>
    <t>2. Download historical data of starbucks, its competitors and S&amp;P 500 from Investing.com using weekly data</t>
  </si>
  <si>
    <t>3. Calculate weekly returns of the above companies</t>
  </si>
  <si>
    <t>4. Using slope function, calculate BETA of each stock</t>
  </si>
  <si>
    <t>Income Tax %</t>
  </si>
  <si>
    <t xml:space="preserve">Tax </t>
  </si>
  <si>
    <t>Competitors of Starbucks:</t>
  </si>
  <si>
    <t xml:space="preserve"> </t>
  </si>
  <si>
    <t>Chipotle Mexican Grill Inc.</t>
  </si>
  <si>
    <t>Yum! Brands Inc.</t>
  </si>
  <si>
    <t>Darden Restaurants Inc.</t>
  </si>
  <si>
    <t>Domino's Pizza Inc.</t>
  </si>
  <si>
    <t>Name</t>
  </si>
  <si>
    <t>Discount Factor</t>
  </si>
  <si>
    <t>Terminal Value</t>
  </si>
  <si>
    <t xml:space="preserve">Here, </t>
  </si>
  <si>
    <t>t = Tax Rate</t>
  </si>
  <si>
    <t>Here,</t>
  </si>
  <si>
    <t xml:space="preserve">rd = Risk Free Spread </t>
  </si>
  <si>
    <t>rf = Risk Free Rate</t>
  </si>
  <si>
    <t>rd</t>
  </si>
  <si>
    <t>BBB+</t>
  </si>
  <si>
    <t>wd = Weight of Debt</t>
  </si>
  <si>
    <t>we = Weight of Equity</t>
  </si>
  <si>
    <t>Cost of Debt (rd)</t>
  </si>
  <si>
    <t>Date</t>
  </si>
  <si>
    <t>Price</t>
  </si>
  <si>
    <t>Return</t>
  </si>
  <si>
    <t>S&amp;P 500</t>
  </si>
  <si>
    <t>STARBUCKS</t>
  </si>
  <si>
    <t>BETA</t>
  </si>
  <si>
    <t>CHIPOTLE MEXICAN GRILL INC.</t>
  </si>
  <si>
    <t>YUM! BRANDS INC.</t>
  </si>
  <si>
    <t>DARDEN RESTAURANTS INC.</t>
  </si>
  <si>
    <t>5. BETA = SLOPE(Company's Return,S&amp;P'S Return)</t>
  </si>
  <si>
    <t>DOMINO'S PIZZA INC.</t>
  </si>
  <si>
    <t>rd as per Book Value Method:</t>
  </si>
  <si>
    <t>Cash Flow Statement</t>
  </si>
  <si>
    <t>Net Income</t>
  </si>
  <si>
    <t>Depreciation and amortization</t>
  </si>
  <si>
    <t>Share-based compensation expense</t>
  </si>
  <si>
    <t>Change in assets and liabilities:</t>
  </si>
  <si>
    <t>Capital Expenditure</t>
  </si>
  <si>
    <t>Net Cash Used for Investing Activities</t>
  </si>
  <si>
    <t>Debt Raised</t>
  </si>
  <si>
    <t>Debt Repaid</t>
  </si>
  <si>
    <t>Net Increase/(Decrease) in Cash and Cash Equivalents</t>
  </si>
  <si>
    <t xml:space="preserve">OPERATING ACTIVITIES </t>
  </si>
  <si>
    <t>Net Cash from Operating Activities</t>
  </si>
  <si>
    <t>INVESTING ACTIVITIES</t>
  </si>
  <si>
    <t>FINANCING ACTIVITIES</t>
  </si>
  <si>
    <t>Interest Expense</t>
  </si>
  <si>
    <t>Cash Dividends Paid</t>
  </si>
  <si>
    <t>Net Cash Used for Financing Activities</t>
  </si>
  <si>
    <t>Cash and Cash Equivalents (Beginning of the Year)</t>
  </si>
  <si>
    <t>Cash and Cash Equivalents (End of the Year)</t>
  </si>
  <si>
    <t>Face Value</t>
  </si>
  <si>
    <t>Effective Int. Rate</t>
  </si>
  <si>
    <t xml:space="preserve">Feb 2026 notes </t>
  </si>
  <si>
    <t>Aug 2025 notes</t>
  </si>
  <si>
    <t>Mar 2027 notes</t>
  </si>
  <si>
    <t>Mar 2028 notes</t>
  </si>
  <si>
    <t>Nov 2028 notes</t>
  </si>
  <si>
    <t>Aug 2029 notes</t>
  </si>
  <si>
    <t>Mar 2030 notes</t>
  </si>
  <si>
    <t>Nov 2030 notes</t>
  </si>
  <si>
    <t>Feb 2032 notes</t>
  </si>
  <si>
    <t>Feb 2033 notes</t>
  </si>
  <si>
    <t>Monthly Int. Amt.</t>
  </si>
  <si>
    <t>Jun 2045 notes</t>
  </si>
  <si>
    <t>Dec 2047 notes</t>
  </si>
  <si>
    <t>Nov 2048 notes</t>
  </si>
  <si>
    <t>Aug 2049 notes</t>
  </si>
  <si>
    <t>Mar 2050 notes</t>
  </si>
  <si>
    <t>Nov 2050 notes</t>
  </si>
  <si>
    <t>Interest</t>
  </si>
  <si>
    <t>Non-Current Assets:</t>
  </si>
  <si>
    <t>Current Assets:</t>
  </si>
  <si>
    <t>Cash and Cash Equivalents</t>
  </si>
  <si>
    <t>Short-term Investments</t>
  </si>
  <si>
    <t>(in USD millions except per share data)</t>
  </si>
  <si>
    <t>(in USD million except per share data)</t>
  </si>
  <si>
    <t>Projected DSO</t>
  </si>
  <si>
    <t>Pro. Acc Payables</t>
  </si>
  <si>
    <t>Calculation of Projected Acc. Payables</t>
  </si>
  <si>
    <t>Historical APTR = COGS/Acc. Payables</t>
  </si>
  <si>
    <t>Historical ARTR = Revenue/Acc. Rec.</t>
  </si>
  <si>
    <t>Pro. Acc Receivables</t>
  </si>
  <si>
    <t>Projected DPO</t>
  </si>
  <si>
    <t>Historical DPO=365/APTR</t>
  </si>
  <si>
    <t>(Pro. Revenue*Pro. DSO)/365</t>
  </si>
  <si>
    <t>Historical In. TR = COGS/Inventories</t>
  </si>
  <si>
    <t>Historical DIO=365/In. TR</t>
  </si>
  <si>
    <t>Projected DIO</t>
  </si>
  <si>
    <t>Accounts Receivable</t>
  </si>
  <si>
    <t>Accounts Payable</t>
  </si>
  <si>
    <t>Dividend per share = Dividend Paid/Outstanding Shares</t>
  </si>
  <si>
    <t>EPS = Net Income/Outstanding Shares</t>
  </si>
  <si>
    <t>rd= Int. Exp./Out. Debt</t>
  </si>
  <si>
    <t>Non-Controlling Interests (Minority Interest)</t>
  </si>
  <si>
    <t>Total Current Liabilities</t>
  </si>
  <si>
    <t>Total Non-Current Liabilities</t>
  </si>
  <si>
    <t>Total Net Revenues</t>
  </si>
  <si>
    <t>Product and Distribution Cost</t>
  </si>
  <si>
    <t>Store Operating Expenses</t>
  </si>
  <si>
    <t>Other Operating Expenses</t>
  </si>
  <si>
    <t>Depreciation and Amortization Expenses</t>
  </si>
  <si>
    <t>General and Administrative Expenses</t>
  </si>
  <si>
    <t>Restructuring and Impairments</t>
  </si>
  <si>
    <t>Total Operating Expenses</t>
  </si>
  <si>
    <t>Income from Equity Investees</t>
  </si>
  <si>
    <t>Net earnings including non-controlling interests</t>
  </si>
  <si>
    <t>Net loss attributable to non-controlling interests</t>
  </si>
  <si>
    <t>Non-Controlling Interests as a % of PAT</t>
  </si>
  <si>
    <t>TOTAL LIABILITIES</t>
  </si>
  <si>
    <t>Total Shareholder's Equity/(Deficit)</t>
  </si>
  <si>
    <t>Total Current Assets</t>
  </si>
  <si>
    <t>Total Non-Current Assets</t>
  </si>
  <si>
    <t>Amortization Schedule</t>
  </si>
  <si>
    <t>Calculation of Projected Inventories</t>
  </si>
  <si>
    <t xml:space="preserve">Short Term Debt </t>
  </si>
  <si>
    <t xml:space="preserve">Interest Expense </t>
  </si>
  <si>
    <t xml:space="preserve">Long Term Debt </t>
  </si>
  <si>
    <t xml:space="preserve">Credit Rating of Starbucks on S&amp;P </t>
  </si>
  <si>
    <t>Credit Spread (on Damodaran's site) of Starbucks</t>
  </si>
  <si>
    <t>Regression BETA</t>
  </si>
  <si>
    <t>Cost of Equity</t>
  </si>
  <si>
    <t>Risk Free Rate i.e, rf</t>
  </si>
  <si>
    <t xml:space="preserve">Risk Free Rate (Investing.com) i.e., rf  </t>
  </si>
  <si>
    <t>rd as per Rating Based Method:</t>
  </si>
  <si>
    <t>OCT. 1, 2030</t>
  </si>
  <si>
    <t>Current Assets</t>
  </si>
  <si>
    <t>Current Liabilities</t>
  </si>
  <si>
    <t>Current Ratio</t>
  </si>
  <si>
    <t>Net Profit Margin</t>
  </si>
  <si>
    <t>Gross Profit Margin</t>
  </si>
  <si>
    <t>Cava Group Inc.</t>
  </si>
  <si>
    <t>CAVA GROUP INC.</t>
  </si>
  <si>
    <t>C.P/F.P-1</t>
  </si>
  <si>
    <t>RETURN (for BETA)</t>
  </si>
  <si>
    <t>01/26/2025</t>
  </si>
  <si>
    <t>01/19/2025</t>
  </si>
  <si>
    <t>12/29/2024</t>
  </si>
  <si>
    <t>12/22/2024</t>
  </si>
  <si>
    <t>12/15/2024</t>
  </si>
  <si>
    <t>11/24/2024</t>
  </si>
  <si>
    <t>11/17/2024</t>
  </si>
  <si>
    <t>10/27/2024</t>
  </si>
  <si>
    <t>10/20/2024</t>
  </si>
  <si>
    <t>10/13/2024</t>
  </si>
  <si>
    <t>09/29/2024</t>
  </si>
  <si>
    <t>09/22/2024</t>
  </si>
  <si>
    <t>09/15/2024</t>
  </si>
  <si>
    <t>08/25/2024</t>
  </si>
  <si>
    <t>08/18/2024</t>
  </si>
  <si>
    <t>07/28/2024</t>
  </si>
  <si>
    <t>07/21/2024</t>
  </si>
  <si>
    <t>07/14/2024</t>
  </si>
  <si>
    <t>06/30/2024</t>
  </si>
  <si>
    <t>06/23/2024</t>
  </si>
  <si>
    <t>06/16/2024</t>
  </si>
  <si>
    <t>05/26/2024</t>
  </si>
  <si>
    <t>05/19/2024</t>
  </si>
  <si>
    <t>04/28/2024</t>
  </si>
  <si>
    <t>04/21/2024</t>
  </si>
  <si>
    <t>04/14/2024</t>
  </si>
  <si>
    <t>03/31/2024</t>
  </si>
  <si>
    <t>03/24/2024</t>
  </si>
  <si>
    <t>03/17/2024</t>
  </si>
  <si>
    <t>02/25/2024</t>
  </si>
  <si>
    <t>02/18/2024</t>
  </si>
  <si>
    <t>01/28/2024</t>
  </si>
  <si>
    <t>01/21/2024</t>
  </si>
  <si>
    <t>01/14/2024</t>
  </si>
  <si>
    <t>12/31/2023</t>
  </si>
  <si>
    <t>12/24/2023</t>
  </si>
  <si>
    <t>12/17/2023</t>
  </si>
  <si>
    <t>11/26/2023</t>
  </si>
  <si>
    <t>11/19/2023</t>
  </si>
  <si>
    <t>10/29/2023</t>
  </si>
  <si>
    <t>10/22/2023</t>
  </si>
  <si>
    <t>10/15/2023</t>
  </si>
  <si>
    <t>09/24/2023</t>
  </si>
  <si>
    <t>09/17/2023</t>
  </si>
  <si>
    <t>08/27/2023</t>
  </si>
  <si>
    <t>08/20/2023</t>
  </si>
  <si>
    <t>08/13/2023</t>
  </si>
  <si>
    <t>07/30/2023</t>
  </si>
  <si>
    <t>07/23/2023</t>
  </si>
  <si>
    <t>07/16/2023</t>
  </si>
  <si>
    <t>06/25/2023</t>
  </si>
  <si>
    <t>06/18/2023</t>
  </si>
  <si>
    <t>05/28/2023</t>
  </si>
  <si>
    <t>05/21/2023</t>
  </si>
  <si>
    <t>05/14/2023</t>
  </si>
  <si>
    <t>04/30/2023</t>
  </si>
  <si>
    <t>04/23/2023</t>
  </si>
  <si>
    <t>04/16/2023</t>
  </si>
  <si>
    <t>03/26/2023</t>
  </si>
  <si>
    <t>03/19/2023</t>
  </si>
  <si>
    <t>02/26/2023</t>
  </si>
  <si>
    <t>02/19/2023</t>
  </si>
  <si>
    <t>01/29/2023</t>
  </si>
  <si>
    <t>01/22/2023</t>
  </si>
  <si>
    <t>01/15/2023</t>
  </si>
  <si>
    <t>12/25/2022</t>
  </si>
  <si>
    <t>12/18/2022</t>
  </si>
  <si>
    <t>11/27/2022</t>
  </si>
  <si>
    <t>11/20/2022</t>
  </si>
  <si>
    <t>11/13/2022</t>
  </si>
  <si>
    <t>10/30/2022</t>
  </si>
  <si>
    <t>10/23/2022</t>
  </si>
  <si>
    <t>10/16/2022</t>
  </si>
  <si>
    <t>09/25/2022</t>
  </si>
  <si>
    <t>09/18/2022</t>
  </si>
  <si>
    <t>08/28/2022</t>
  </si>
  <si>
    <t>08/21/2022</t>
  </si>
  <si>
    <t>08/14/2022</t>
  </si>
  <si>
    <t>07/31/2022</t>
  </si>
  <si>
    <t>07/24/2022</t>
  </si>
  <si>
    <t>07/17/2022</t>
  </si>
  <si>
    <t>06/26/2022</t>
  </si>
  <si>
    <t>06/19/2022</t>
  </si>
  <si>
    <t>05/29/2022</t>
  </si>
  <si>
    <t>05/22/2022</t>
  </si>
  <si>
    <t>05/15/2022</t>
  </si>
  <si>
    <t>04/24/2022</t>
  </si>
  <si>
    <t>04/17/2022</t>
  </si>
  <si>
    <t>03/27/2022</t>
  </si>
  <si>
    <t>03/20/2022</t>
  </si>
  <si>
    <t>03/13/2022</t>
  </si>
  <si>
    <t>02/27/2022</t>
  </si>
  <si>
    <t>02/20/2022</t>
  </si>
  <si>
    <t>02/13/2022</t>
  </si>
  <si>
    <t>01/30/2022</t>
  </si>
  <si>
    <t>01/23/2022</t>
  </si>
  <si>
    <t>01/16/2022</t>
  </si>
  <si>
    <t>12/26/2021</t>
  </si>
  <si>
    <t>12/19/2021</t>
  </si>
  <si>
    <t>11/28/2021</t>
  </si>
  <si>
    <t>11/21/2021</t>
  </si>
  <si>
    <t>11/14/2021</t>
  </si>
  <si>
    <t>10/31/2021</t>
  </si>
  <si>
    <t>10/24/2021</t>
  </si>
  <si>
    <t>10/17/2021</t>
  </si>
  <si>
    <t>09/26/2021</t>
  </si>
  <si>
    <t>09/19/2021</t>
  </si>
  <si>
    <t>08/29/2021</t>
  </si>
  <si>
    <t>08/22/2021</t>
  </si>
  <si>
    <t>08/15/2021</t>
  </si>
  <si>
    <t>07/25/2021</t>
  </si>
  <si>
    <t>07/18/2021</t>
  </si>
  <si>
    <t>06/27/2021</t>
  </si>
  <si>
    <t>06/20/2021</t>
  </si>
  <si>
    <t>06/13/2021</t>
  </si>
  <si>
    <t>05/30/2021</t>
  </si>
  <si>
    <t>05/23/2021</t>
  </si>
  <si>
    <t>05/16/2021</t>
  </si>
  <si>
    <t>04/25/2021</t>
  </si>
  <si>
    <t>04/18/2021</t>
  </si>
  <si>
    <t>03/28/2021</t>
  </si>
  <si>
    <t>03/21/2021</t>
  </si>
  <si>
    <t>03/14/2021</t>
  </si>
  <si>
    <t>02/28/2021</t>
  </si>
  <si>
    <t>02/21/2021</t>
  </si>
  <si>
    <t>02/14/2021</t>
  </si>
  <si>
    <t>01/31/2021</t>
  </si>
  <si>
    <t>01/24/2021</t>
  </si>
  <si>
    <t>01/17/2021</t>
  </si>
  <si>
    <t>12/27/2020</t>
  </si>
  <si>
    <t>12/20/2020</t>
  </si>
  <si>
    <t>12/13/2020</t>
  </si>
  <si>
    <t>11/29/2020</t>
  </si>
  <si>
    <t>11/22/2020</t>
  </si>
  <si>
    <t>11/15/2020</t>
  </si>
  <si>
    <t>10/25/2020</t>
  </si>
  <si>
    <t>10/18/2020</t>
  </si>
  <si>
    <t>09/27/2020</t>
  </si>
  <si>
    <t>09/20/2020</t>
  </si>
  <si>
    <t>09/13/2020</t>
  </si>
  <si>
    <t>08/30/2020</t>
  </si>
  <si>
    <t>08/23/2020</t>
  </si>
  <si>
    <t>08/16/2020</t>
  </si>
  <si>
    <t>07/26/2020</t>
  </si>
  <si>
    <t>07/19/2020</t>
  </si>
  <si>
    <t>06/28/2020</t>
  </si>
  <si>
    <t>06/21/2020</t>
  </si>
  <si>
    <t>06/14/2020</t>
  </si>
  <si>
    <t>05/31/2020</t>
  </si>
  <si>
    <t>05/24/2020</t>
  </si>
  <si>
    <t>05/17/2020</t>
  </si>
  <si>
    <t>04/26/2020</t>
  </si>
  <si>
    <t>04/19/2020</t>
  </si>
  <si>
    <t>03/29/2020</t>
  </si>
  <si>
    <t>03/22/2020</t>
  </si>
  <si>
    <t>03/15/2020</t>
  </si>
  <si>
    <t>02/23/2020</t>
  </si>
  <si>
    <t>02/16/2020</t>
  </si>
  <si>
    <t>Operating EV</t>
  </si>
  <si>
    <t>Non operating assets</t>
  </si>
  <si>
    <t>Total EV</t>
  </si>
  <si>
    <t>Cost of Equity (re)</t>
  </si>
  <si>
    <t>re as per Rating Based Method</t>
  </si>
  <si>
    <t>Wd</t>
  </si>
  <si>
    <t>We</t>
  </si>
  <si>
    <t>WACC= Wd*Rd*(1-t) + We*Re</t>
  </si>
  <si>
    <t>Tax Rate (t)</t>
  </si>
  <si>
    <t xml:space="preserve">Terminal growth </t>
  </si>
  <si>
    <t>PV of TV</t>
  </si>
  <si>
    <t>Current assets held for sale</t>
  </si>
  <si>
    <t>Noncurrent assets held for sale</t>
  </si>
  <si>
    <t>Current liabilities held for sale</t>
  </si>
  <si>
    <t>Actual years</t>
  </si>
  <si>
    <t>Value per share</t>
  </si>
  <si>
    <t>MV = Equity = CMP*O/S Shares</t>
  </si>
  <si>
    <t>Debt = BookValue</t>
  </si>
  <si>
    <t>Gordan's Growth Model</t>
  </si>
  <si>
    <t>Exit Multiple</t>
  </si>
  <si>
    <t>PV of Explicit Cash Flow (FCFF)</t>
  </si>
  <si>
    <t>Sum of PV of Explicit Cash Flow</t>
  </si>
  <si>
    <t>Debt and Debt Equivalents (LTD+STD+Current Portion)</t>
  </si>
  <si>
    <t>Cash</t>
  </si>
  <si>
    <t>O/s Shares assuming dilution</t>
  </si>
  <si>
    <t>Non-Controlling Interests</t>
  </si>
  <si>
    <t>CMP</t>
  </si>
  <si>
    <t>Particulars</t>
  </si>
  <si>
    <t>RETURN ON EQUITY</t>
  </si>
  <si>
    <t>Net Profit</t>
  </si>
  <si>
    <t>Return on Equity (RoE)</t>
  </si>
  <si>
    <t>ROE-Dupont Equation</t>
  </si>
  <si>
    <t>Revenue</t>
  </si>
  <si>
    <t>Shareholder's Equity</t>
  </si>
  <si>
    <t>Equity Multiplier/ Financial Leverage</t>
  </si>
  <si>
    <t>Return on Equity (A*B*C)</t>
  </si>
  <si>
    <t>Return on Equity</t>
  </si>
  <si>
    <t>Checksum</t>
  </si>
  <si>
    <t>DUPONT ANALYSIS</t>
  </si>
  <si>
    <t>Equity</t>
  </si>
  <si>
    <t>Total Assets</t>
  </si>
  <si>
    <t>Total assets</t>
  </si>
  <si>
    <t>Total Asset Turnover Ratio</t>
  </si>
  <si>
    <t>Market Value</t>
  </si>
  <si>
    <t>UNLEVERED BETA CALCULATION - COMPARABLES</t>
  </si>
  <si>
    <t>Levered Beta</t>
  </si>
  <si>
    <t>Debt</t>
  </si>
  <si>
    <t>% Debt</t>
  </si>
  <si>
    <t>% Equity</t>
  </si>
  <si>
    <t>Tax Rate</t>
  </si>
  <si>
    <t>Unlevered Beta</t>
  </si>
  <si>
    <t>Relevered Beta</t>
  </si>
  <si>
    <t>Median</t>
  </si>
  <si>
    <t>Bottom up Beta</t>
  </si>
  <si>
    <t>Regression Beta</t>
  </si>
  <si>
    <t>Calculation of Capital Structure of Peer Group Companies</t>
  </si>
  <si>
    <t>Share Price</t>
  </si>
  <si>
    <t>Shares O/S</t>
  </si>
  <si>
    <t>M.Cap</t>
  </si>
  <si>
    <t>Starbucks</t>
  </si>
  <si>
    <t>(Terminal Growth* Dis. Factor of Terminal Year)</t>
  </si>
  <si>
    <t>(Operating Income*EV/EBITDA or EV/EBIT)</t>
  </si>
  <si>
    <t>operating income*16.5</t>
  </si>
  <si>
    <t>(PV of TV+Sum of PV of Explicit Cash Flow)</t>
  </si>
  <si>
    <t>EPS</t>
  </si>
  <si>
    <t>P/E Ratio</t>
  </si>
  <si>
    <t xml:space="preserve">EV/EBITDA </t>
  </si>
  <si>
    <t>(2027, marketscreener)</t>
  </si>
  <si>
    <t>Outstanding Shares (Basic)</t>
  </si>
  <si>
    <t>Outstanding Shares (Diluted)</t>
  </si>
  <si>
    <t>ERP (Damodaran)</t>
  </si>
  <si>
    <t>NOTE: We've taken Cost of Debt (rd) as per Rating Based Method for calculating WACC</t>
  </si>
  <si>
    <t>Debt = Long Term Debt</t>
  </si>
  <si>
    <t>NOTES:</t>
  </si>
  <si>
    <t>Equity = Take Market Cap. and since we're using market cap., don't use o/s shares &amp; share price</t>
  </si>
  <si>
    <t>DFL</t>
  </si>
  <si>
    <t>Source- Marketscreener.com</t>
  </si>
  <si>
    <t>EBITDA</t>
  </si>
  <si>
    <t>Sales</t>
  </si>
  <si>
    <t>Dilution</t>
  </si>
  <si>
    <t>Buyback</t>
  </si>
  <si>
    <t>Shares Issued</t>
  </si>
  <si>
    <t>ITM?</t>
  </si>
  <si>
    <t>O/S</t>
  </si>
  <si>
    <t>Net</t>
  </si>
  <si>
    <t>Notional</t>
  </si>
  <si>
    <t>Exercise</t>
  </si>
  <si>
    <t>ESoPS/Warrants etc. Treasury Stock Method</t>
  </si>
  <si>
    <t>STARBUCKS CMP (14 Feb 2025)</t>
  </si>
  <si>
    <t>Diluted Shares o/s</t>
  </si>
  <si>
    <t>Basic Shares o/s</t>
  </si>
  <si>
    <t>Calculation of Diluted Shares-STARBUCKS</t>
  </si>
  <si>
    <t>Starbucks Valuation Range as per Trading Comps</t>
  </si>
  <si>
    <t>FY2 P/E</t>
  </si>
  <si>
    <t>FY1 P/E</t>
  </si>
  <si>
    <t>Higher</t>
  </si>
  <si>
    <t>Lower</t>
  </si>
  <si>
    <t>Metrics</t>
  </si>
  <si>
    <t>Implied Per Share Value-STARBUCKS</t>
  </si>
  <si>
    <t>Industry Multiple Range</t>
  </si>
  <si>
    <t>FY2 EV/Sales</t>
  </si>
  <si>
    <t>FY1 EV/Sales</t>
  </si>
  <si>
    <t>LTM EV/Sales</t>
  </si>
  <si>
    <t>Diluted Shares O/S</t>
  </si>
  <si>
    <t>Implied Equity-STARBUCKS</t>
  </si>
  <si>
    <t>Investments</t>
  </si>
  <si>
    <t>Cash &amp; Cash Eq</t>
  </si>
  <si>
    <t>Debt Equivalent</t>
  </si>
  <si>
    <t>Total Debt</t>
  </si>
  <si>
    <t>Minority Interest</t>
  </si>
  <si>
    <t>Implied EV-STARBUCKS</t>
  </si>
  <si>
    <t>FY2 EV/EBIT</t>
  </si>
  <si>
    <t>FY1 EV/EBIT</t>
  </si>
  <si>
    <t>LTM EV/EBIT</t>
  </si>
  <si>
    <t>FY2 EV/EBITDA</t>
  </si>
  <si>
    <t>FY1 EV/EBITDA</t>
  </si>
  <si>
    <t>LTM EV/EBITDA</t>
  </si>
  <si>
    <t>75th Percentile</t>
  </si>
  <si>
    <t>25th Percentile</t>
  </si>
  <si>
    <t>Name of Target Company</t>
  </si>
  <si>
    <t>Mean</t>
  </si>
  <si>
    <t>Cava</t>
  </si>
  <si>
    <t>Dominos</t>
  </si>
  <si>
    <t>Darden</t>
  </si>
  <si>
    <t>YumBrands</t>
  </si>
  <si>
    <t>Chipotle</t>
  </si>
  <si>
    <t>Growth</t>
  </si>
  <si>
    <t>P/E</t>
  </si>
  <si>
    <t>EV/EBIT</t>
  </si>
  <si>
    <t>EV/EBITDA</t>
  </si>
  <si>
    <t>EV/Sales</t>
  </si>
  <si>
    <t>EV</t>
  </si>
  <si>
    <t>Market Cap</t>
  </si>
  <si>
    <t>Peer Group Companies</t>
  </si>
  <si>
    <t>FY2 Multiple</t>
  </si>
  <si>
    <t>FY1 Multiple</t>
  </si>
  <si>
    <t>LTM Multiples</t>
  </si>
  <si>
    <t>Exchange Rate</t>
  </si>
  <si>
    <t>Reported Currency</t>
  </si>
  <si>
    <t>P65</t>
  </si>
  <si>
    <t>M74</t>
  </si>
  <si>
    <t>M63</t>
  </si>
  <si>
    <t>M65</t>
  </si>
  <si>
    <t>M59</t>
  </si>
  <si>
    <t>L74</t>
  </si>
  <si>
    <t>L63</t>
  </si>
  <si>
    <t>L65</t>
  </si>
  <si>
    <t>L59</t>
  </si>
  <si>
    <t>K74</t>
  </si>
  <si>
    <t>K63</t>
  </si>
  <si>
    <t>K65</t>
  </si>
  <si>
    <t>K59</t>
  </si>
  <si>
    <t>F32</t>
  </si>
  <si>
    <t>F18</t>
  </si>
  <si>
    <t>F33</t>
  </si>
  <si>
    <t>F10</t>
  </si>
  <si>
    <t>USD</t>
  </si>
  <si>
    <t>Currency</t>
  </si>
  <si>
    <t>US</t>
  </si>
  <si>
    <t>Geography</t>
  </si>
  <si>
    <t>Industry</t>
  </si>
  <si>
    <t>(All numbers are in millions except per share data)</t>
  </si>
  <si>
    <t>Comparable Company Analysis</t>
  </si>
  <si>
    <t>(30% of 200-180=20)</t>
  </si>
  <si>
    <t>CHANGE IN NET INCOME</t>
  </si>
  <si>
    <t>ADJ. NET INCOME</t>
  </si>
  <si>
    <t>REPORTED NET INCOME</t>
  </si>
  <si>
    <t>TAX</t>
  </si>
  <si>
    <t>ADJ. PBT</t>
  </si>
  <si>
    <t>REPORTED PBT</t>
  </si>
  <si>
    <t>INT.</t>
  </si>
  <si>
    <t>INTEREST</t>
  </si>
  <si>
    <t>ADJ. EBIT</t>
  </si>
  <si>
    <t>REPORTED EBIT</t>
  </si>
  <si>
    <t>NON-GAAP</t>
  </si>
  <si>
    <t>GAAP</t>
  </si>
  <si>
    <t>Adjusted EBIT, Adjusted EBITDA, Adjusted Net Income are to be converted from GAAP to Non-GAAP(basically everything given in bold)</t>
  </si>
  <si>
    <t>Note:</t>
  </si>
  <si>
    <t>Non-GAAP numbers were not given in 10K/10Q</t>
  </si>
  <si>
    <t>NOTE:</t>
  </si>
  <si>
    <t>Diluted EPS</t>
  </si>
  <si>
    <t>Diluted Weighted Average No of Shares</t>
  </si>
  <si>
    <t>Adjusted Net Income to Common Shareholders of the Company</t>
  </si>
  <si>
    <t>Less: Share of Minority Interest</t>
  </si>
  <si>
    <t>Adjusted Net Income</t>
  </si>
  <si>
    <t>Add/Less: Non Tax Deductable Adjustments</t>
  </si>
  <si>
    <t>Less: Tax on Adjustments</t>
  </si>
  <si>
    <t>Add/Less: Exceptional Items reported below EBIT</t>
  </si>
  <si>
    <t>Add/Less: Exceptional Items reported above EBIT</t>
  </si>
  <si>
    <t>Reported Net Income</t>
  </si>
  <si>
    <t>Adjusted EBITDA</t>
  </si>
  <si>
    <t>Add: D&amp;A</t>
  </si>
  <si>
    <t>Adjusted EBIT</t>
  </si>
  <si>
    <t>Add/Less: Exceptional/No-Operating Items reported above EBIT</t>
  </si>
  <si>
    <t>Reported EBIT/Operating Income</t>
  </si>
  <si>
    <t>Reported Sales</t>
  </si>
  <si>
    <t>12M</t>
  </si>
  <si>
    <t>FY5</t>
  </si>
  <si>
    <t>FY4</t>
  </si>
  <si>
    <t>FY3</t>
  </si>
  <si>
    <t>FY2</t>
  </si>
  <si>
    <t>FY1</t>
  </si>
  <si>
    <t>LTM</t>
  </si>
  <si>
    <t>Pr. YTD</t>
  </si>
  <si>
    <t>Crt. YTD</t>
  </si>
  <si>
    <t>Annual</t>
  </si>
  <si>
    <t>Key Financials</t>
  </si>
  <si>
    <t>(marketscreener-Analyst's Forecast)</t>
  </si>
  <si>
    <t>10k</t>
  </si>
  <si>
    <t>Debt/Pref</t>
  </si>
  <si>
    <t>BV</t>
  </si>
  <si>
    <t>Nature</t>
  </si>
  <si>
    <t>Share Dilution</t>
  </si>
  <si>
    <t>Conversion Price</t>
  </si>
  <si>
    <t>Convertible Debt / Pref shares</t>
  </si>
  <si>
    <t>(PSUs aren't considered as they are performance based)</t>
  </si>
  <si>
    <t>Units Outstanding</t>
  </si>
  <si>
    <t xml:space="preserve">ESoPS/Warrants/RSUs/PSU </t>
  </si>
  <si>
    <t>Calculation of Dilution</t>
  </si>
  <si>
    <t>Weighted Average Share Price of All Classes of Share</t>
  </si>
  <si>
    <t>(Short term investments, joint ventures)</t>
  </si>
  <si>
    <t>Non Operating Assets</t>
  </si>
  <si>
    <t>Total Enterprise Value</t>
  </si>
  <si>
    <t>(Cash flow)</t>
  </si>
  <si>
    <t>- Cash &amp; Cash Equivalents</t>
  </si>
  <si>
    <t>(Both Current &amp; Non-Current Operating Lease Liabilities from BS)</t>
  </si>
  <si>
    <t>Capitalised Value of Operating Lease</t>
  </si>
  <si>
    <t>Unfunded Pension Obligations</t>
  </si>
  <si>
    <t>+ Debt Equivalents</t>
  </si>
  <si>
    <t>Add: Convertible Debt not Converted to Common Equity</t>
  </si>
  <si>
    <t>(LTD + STD + Current portion of LTD) =Total Debt</t>
  </si>
  <si>
    <t>: Total Debt (Other Than Convertible) Reported in B/S</t>
  </si>
  <si>
    <t>+ Debt</t>
  </si>
  <si>
    <t>Add: Convertible Pref Not Converted to Common Equity</t>
  </si>
  <si>
    <t>Total Pref. Capital (Other Than Convertible) in Balance Sheet</t>
  </si>
  <si>
    <t>+ Pref. Share Capital</t>
  </si>
  <si>
    <t>Shares Outstanding Diluted</t>
  </si>
  <si>
    <t>(first date of 10k)</t>
  </si>
  <si>
    <t>Shares Outstanding Basic</t>
  </si>
  <si>
    <t>(Updation date wale din ka price from investing.com)</t>
  </si>
  <si>
    <t>Per Share Price</t>
  </si>
  <si>
    <t>Class C</t>
  </si>
  <si>
    <t>Class B</t>
  </si>
  <si>
    <t>Class A</t>
  </si>
  <si>
    <t>Enterprise Value</t>
  </si>
  <si>
    <t>(From Investing.com)</t>
  </si>
  <si>
    <t>Latest Quarter</t>
  </si>
  <si>
    <t>Latest Annual</t>
  </si>
  <si>
    <t>CMG</t>
  </si>
  <si>
    <t>Ticker</t>
  </si>
  <si>
    <t>Updation Date</t>
  </si>
  <si>
    <t xml:space="preserve">Ritika </t>
  </si>
  <si>
    <t>Analyst Name</t>
  </si>
  <si>
    <t>Basic Details</t>
  </si>
  <si>
    <t>Non-GAAP i.e., Adjusted Net Income was given in 10Q as 1105 (2024) and 1117 (2023)</t>
  </si>
  <si>
    <t>Non-GAAP i.e., Adjusted Net Income was given in 10K as 1536</t>
  </si>
  <si>
    <t>10Q</t>
  </si>
  <si>
    <t>(Balance Sheet)</t>
  </si>
  <si>
    <t>(Operating Lease Liabilities from 10Q)</t>
  </si>
  <si>
    <t>(Plan Assets)</t>
  </si>
  <si>
    <t>YUM</t>
  </si>
  <si>
    <t>(Search RSU,PSU,ESOP,Warrants,Stock options, Stock based compensation)</t>
  </si>
  <si>
    <t>DRI</t>
  </si>
  <si>
    <t>DPZ</t>
  </si>
  <si>
    <t>No Non-GAAP Adjustments were given for Adjusted Net Income for 2024 and 2023 in 10Q</t>
  </si>
  <si>
    <t>Non-GAAP EBITDA i.e., Adjusted EBITDA was given in the 10Q as 101,144 (2024) and 58,135(2023)</t>
  </si>
  <si>
    <t>Non-GAAP Adjustment was given in 10K as 80,100 as Tax Benefit. Hence, Adjusted Net Income is 50,219.</t>
  </si>
  <si>
    <t>Non-GAAP EBITDA i.e., Adjusted EBITDA was given in the 10K as 126,248</t>
  </si>
  <si>
    <t>(Non-Vested RSUs should be included &amp; no price is taken for RSUs)</t>
  </si>
  <si>
    <t>(For Stock Options O/S Units are taken with its Exercise Price)</t>
  </si>
  <si>
    <t>CAVA</t>
  </si>
  <si>
    <t>Restaurants</t>
  </si>
  <si>
    <t>52 week range</t>
  </si>
  <si>
    <t>Market Consensus</t>
  </si>
  <si>
    <t>(Comparable Company Analysis)</t>
  </si>
  <si>
    <t>CCA</t>
  </si>
  <si>
    <t>Perpetual Growth</t>
  </si>
  <si>
    <t>Yes</t>
  </si>
  <si>
    <t>DCF</t>
  </si>
  <si>
    <t>Private</t>
  </si>
  <si>
    <t xml:space="preserve">Public </t>
  </si>
  <si>
    <t>Applicability</t>
  </si>
  <si>
    <t>Method</t>
  </si>
  <si>
    <t>Price range</t>
  </si>
  <si>
    <t>Range</t>
  </si>
  <si>
    <t>(Note: The numbers are taken from DCF, Trading comps and Transaction Comps final outputs)</t>
  </si>
  <si>
    <t>Final range</t>
  </si>
  <si>
    <t>Unaffected Price</t>
  </si>
  <si>
    <t>Difference</t>
  </si>
  <si>
    <t>CCA (FY1- EV/EBITDA)</t>
  </si>
  <si>
    <t>CCA (FY2- EV/EBITDA)</t>
  </si>
  <si>
    <t>(After football field analysis)</t>
  </si>
  <si>
    <t>(CMP of updation date i.e., 14 Feb,2025 from investing.com)</t>
  </si>
  <si>
    <t>Valuation Date: 14 Feb,2025</t>
  </si>
  <si>
    <t>SENSITIVITY ANALYSIS USING GORDON'S GROWTH MODEL</t>
  </si>
  <si>
    <t>SENSITIVITY ANALYSIS USING EXIT MULTIPLE MODEL</t>
  </si>
  <si>
    <t>Growth Rate</t>
  </si>
  <si>
    <t>RECOMMENDATION</t>
  </si>
  <si>
    <t>rd = Cost of Debt</t>
  </si>
  <si>
    <t xml:space="preserve">re = Cost of Equity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</si>
</sst>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* #,##0_);_(* \(#,##0\);_(* &quot;-&quot;??_);_(@_)"/>
    <numFmt numFmtId="165" formatCode="0&quot; Months&quot;"/>
    <numFmt numFmtId="166" formatCode="0.0"/>
    <numFmt numFmtId="167" formatCode="#,##0.0"/>
    <numFmt numFmtId="168" formatCode="0.0%"/>
    <numFmt numFmtId="169" formatCode="_ * #,##0_ ;_ * \-#,##0_ ;_ * &quot;-&quot;??_ ;_ @_ "/>
    <numFmt numFmtId="170" formatCode="0.000%"/>
    <numFmt numFmtId="171" formatCode="[$-14009]dd/mm/yyyy;@"/>
    <numFmt numFmtId="172" formatCode="0.000"/>
    <numFmt numFmtId="173" formatCode="_-* #,##0.00_-;\-* #,##0.00_-;_-* &quot;-&quot;??_-;_-@_-"/>
    <numFmt numFmtId="174" formatCode="_-* #,##0_-;\-* #,##0_-;_-* &quot;-&quot;??_-;_-@_-"/>
    <numFmt numFmtId="175" formatCode="[$-14009]dd\ mmmm\ yyyy;@"/>
    <numFmt numFmtId="176" formatCode="_(* #,##0.0_);_(* \(#,##0.0\);_(* &quot;-&quot;??_);_(@_)"/>
    <numFmt numFmtId="177" formatCode="_(* #,##0.00_);_(* \(#,##0.00\);_(* &quot;-&quot;??_);_(@_)"/>
    <numFmt numFmtId="178" formatCode="_ * #,##0.0_ ;_ * \-#,##0.0_ ;_ * &quot;-&quot;??_ ;_ @_ "/>
    <numFmt numFmtId="179" formatCode="0.0&quot;x&quot;"/>
    <numFmt numFmtId="180" formatCode="0.000&quot;x&quot;"/>
    <numFmt numFmtId="181" formatCode="0.00\x"/>
    <numFmt numFmtId="182" formatCode="dd\ mmm\'yy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</font>
    <font>
      <b/>
      <sz val="11"/>
      <color theme="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i/>
      <u/>
      <sz val="11"/>
      <color theme="1"/>
      <name val="Calibri"/>
      <family val="2"/>
      <scheme val="minor"/>
    </font>
    <font>
      <i/>
      <sz val="10"/>
      <color theme="1"/>
      <name val="Calibri"/>
      <family val="2"/>
    </font>
    <font>
      <sz val="10"/>
      <color theme="1"/>
      <name val="Gill Sans"/>
    </font>
    <font>
      <sz val="10"/>
      <color theme="0"/>
      <name val="Gill Sans"/>
    </font>
    <font>
      <sz val="11"/>
      <color rgb="FF44546A"/>
      <name val="Calibri"/>
      <family val="2"/>
    </font>
    <font>
      <sz val="11"/>
      <color theme="0"/>
      <name val="Calibri"/>
      <family val="2"/>
    </font>
    <font>
      <b/>
      <sz val="16"/>
      <color theme="1"/>
      <name val="Calibri"/>
      <family val="2"/>
    </font>
    <font>
      <b/>
      <sz val="10"/>
      <color theme="1"/>
      <name val="Gill Sans"/>
    </font>
    <font>
      <i/>
      <sz val="10"/>
      <color rgb="FF000000"/>
      <name val="Gill Sans"/>
    </font>
    <font>
      <b/>
      <sz val="10"/>
      <color rgb="FF000000"/>
      <name val="Gill Sans"/>
    </font>
    <font>
      <i/>
      <sz val="10"/>
      <color theme="1"/>
      <name val="Gill Sans"/>
    </font>
    <font>
      <sz val="10"/>
      <color rgb="FFD8D8D8"/>
      <name val="Gill Sans"/>
    </font>
    <font>
      <sz val="10"/>
      <color rgb="FF000000"/>
      <name val="Gill Sans"/>
    </font>
    <font>
      <sz val="10"/>
      <color rgb="FFE7E6E6"/>
      <name val="Gill Sans"/>
    </font>
    <font>
      <sz val="11"/>
      <color rgb="FF095712"/>
      <name val="Calibri"/>
      <family val="2"/>
    </font>
    <font>
      <b/>
      <sz val="16"/>
      <color theme="0"/>
      <name val="Calibri"/>
      <family val="2"/>
    </font>
    <font>
      <i/>
      <sz val="10"/>
      <color theme="0"/>
      <name val="Gill Sans"/>
    </font>
    <font>
      <b/>
      <sz val="10"/>
      <color theme="0"/>
      <name val="Gill Sans"/>
    </font>
    <font>
      <b/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15852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95712"/>
        <bgColor indexed="64"/>
      </patternFill>
    </fill>
    <fill>
      <patternFill patternType="solid">
        <fgColor rgb="FF095712"/>
        <bgColor theme="1"/>
      </patternFill>
    </fill>
    <fill>
      <patternFill patternType="solid">
        <fgColor rgb="FF095712"/>
        <bgColor rgb="FF1F38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095712"/>
        <bgColor rgb="FF8EAADB"/>
      </patternFill>
    </fill>
    <fill>
      <patternFill patternType="solid">
        <fgColor rgb="FF095712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92D050"/>
        <bgColor indexed="64"/>
      </patternFill>
    </fill>
  </fills>
  <borders count="5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44546A"/>
      </top>
      <bottom style="medium">
        <color rgb="FF000000"/>
      </bottom>
      <diagonal/>
    </border>
    <border>
      <left/>
      <right/>
      <top style="medium">
        <color rgb="FF44546A"/>
      </top>
      <bottom style="medium">
        <color rgb="FF000000"/>
      </bottom>
      <diagonal/>
    </border>
    <border>
      <left/>
      <right style="medium">
        <color rgb="FF000000"/>
      </right>
      <top style="medium">
        <color rgb="FF44546A"/>
      </top>
      <bottom/>
      <diagonal/>
    </border>
    <border>
      <left/>
      <right/>
      <top style="medium">
        <color rgb="FF44546A"/>
      </top>
      <bottom/>
      <diagonal/>
    </border>
    <border>
      <left style="medium">
        <color rgb="FF000000"/>
      </left>
      <right/>
      <top style="medium">
        <color rgb="FF44546A"/>
      </top>
      <bottom/>
      <diagonal/>
    </border>
    <border>
      <left/>
      <right/>
      <top style="medium">
        <color rgb="FF000000"/>
      </top>
      <bottom style="medium">
        <color rgb="FF44546A"/>
      </bottom>
      <diagonal/>
    </border>
    <border>
      <left style="medium">
        <color rgb="FF000000"/>
      </left>
      <right/>
      <top style="medium">
        <color rgb="FF000000"/>
      </top>
      <bottom style="medium">
        <color rgb="FF44546A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0" fontId="3" fillId="0" borderId="2" applyNumberFormat="0" applyFill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12" borderId="0" applyNumberFormat="0" applyBorder="0" applyAlignment="0" applyProtection="0"/>
    <xf numFmtId="17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</cellStyleXfs>
  <cellXfs count="443">
    <xf numFmtId="0" fontId="0" fillId="0" borderId="0" xfId="0"/>
    <xf numFmtId="0" fontId="4" fillId="3" borderId="0" xfId="0" applyFont="1" applyFill="1" applyAlignment="1">
      <alignment horizontal="left" vertical="top"/>
    </xf>
    <xf numFmtId="0" fontId="5" fillId="3" borderId="0" xfId="0" applyFont="1" applyFill="1" applyAlignment="1">
      <alignment vertical="top"/>
    </xf>
    <xf numFmtId="165" fontId="5" fillId="3" borderId="0" xfId="0" applyNumberFormat="1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0" fillId="4" borderId="0" xfId="0" applyFill="1"/>
    <xf numFmtId="0" fontId="3" fillId="0" borderId="0" xfId="0" applyFont="1"/>
    <xf numFmtId="164" fontId="7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right"/>
    </xf>
    <xf numFmtId="9" fontId="0" fillId="0" borderId="0" xfId="1" applyFon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6" fillId="0" borderId="1" xfId="0" applyNumberFormat="1" applyFont="1" applyBorder="1" applyAlignment="1">
      <alignment horizontal="left" vertical="top"/>
    </xf>
    <xf numFmtId="0" fontId="0" fillId="0" borderId="1" xfId="0" applyBorder="1"/>
    <xf numFmtId="0" fontId="3" fillId="0" borderId="1" xfId="0" applyFont="1" applyBorder="1"/>
    <xf numFmtId="4" fontId="0" fillId="0" borderId="0" xfId="0" applyNumberFormat="1"/>
    <xf numFmtId="4" fontId="3" fillId="0" borderId="0" xfId="0" applyNumberFormat="1" applyFont="1"/>
    <xf numFmtId="4" fontId="3" fillId="0" borderId="1" xfId="0" applyNumberFormat="1" applyFont="1" applyBorder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4" fontId="0" fillId="0" borderId="1" xfId="0" applyNumberFormat="1" applyBorder="1"/>
    <xf numFmtId="0" fontId="0" fillId="0" borderId="0" xfId="0" applyAlignment="1">
      <alignment horizontal="right" indent="1"/>
    </xf>
    <xf numFmtId="0" fontId="8" fillId="0" borderId="0" xfId="0" applyFont="1"/>
    <xf numFmtId="0" fontId="9" fillId="0" borderId="0" xfId="0" applyFont="1"/>
    <xf numFmtId="0" fontId="3" fillId="0" borderId="1" xfId="2" applyBorder="1"/>
    <xf numFmtId="9" fontId="0" fillId="0" borderId="0" xfId="0" applyNumberFormat="1"/>
    <xf numFmtId="2" fontId="0" fillId="0" borderId="0" xfId="3" applyNumberFormat="1" applyFont="1"/>
    <xf numFmtId="2" fontId="3" fillId="0" borderId="1" xfId="0" applyNumberFormat="1" applyFont="1" applyBorder="1"/>
    <xf numFmtId="3" fontId="0" fillId="0" borderId="0" xfId="0" applyNumberFormat="1"/>
    <xf numFmtId="0" fontId="8" fillId="0" borderId="1" xfId="0" applyFont="1" applyBorder="1"/>
    <xf numFmtId="3" fontId="0" fillId="0" borderId="1" xfId="0" applyNumberFormat="1" applyBorder="1"/>
    <xf numFmtId="3" fontId="3" fillId="0" borderId="1" xfId="0" applyNumberFormat="1" applyFont="1" applyBorder="1"/>
    <xf numFmtId="10" fontId="0" fillId="0" borderId="0" xfId="0" applyNumberFormat="1"/>
    <xf numFmtId="43" fontId="0" fillId="0" borderId="0" xfId="4" applyFont="1"/>
    <xf numFmtId="4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1" fontId="0" fillId="0" borderId="0" xfId="0" applyNumberFormat="1"/>
    <xf numFmtId="1" fontId="3" fillId="0" borderId="1" xfId="0" applyNumberFormat="1" applyFont="1" applyBorder="1"/>
    <xf numFmtId="1" fontId="3" fillId="0" borderId="1" xfId="2" applyNumberFormat="1" applyBorder="1"/>
    <xf numFmtId="3" fontId="11" fillId="0" borderId="0" xfId="0" applyNumberFormat="1" applyFont="1"/>
    <xf numFmtId="2" fontId="3" fillId="0" borderId="0" xfId="0" applyNumberFormat="1" applyFont="1"/>
    <xf numFmtId="168" fontId="0" fillId="0" borderId="0" xfId="1" applyNumberFormat="1" applyFont="1"/>
    <xf numFmtId="0" fontId="2" fillId="4" borderId="0" xfId="0" applyFont="1" applyFill="1"/>
    <xf numFmtId="10" fontId="3" fillId="0" borderId="0" xfId="0" applyNumberFormat="1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6" borderId="0" xfId="0" applyFont="1" applyFill="1" applyAlignment="1">
      <alignment horizontal="center"/>
    </xf>
    <xf numFmtId="2" fontId="0" fillId="0" borderId="0" xfId="0" applyNumberFormat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right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12" fillId="6" borderId="0" xfId="0" applyFont="1" applyFill="1"/>
    <xf numFmtId="0" fontId="2" fillId="6" borderId="0" xfId="0" applyFont="1" applyFill="1"/>
    <xf numFmtId="0" fontId="1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0" fontId="14" fillId="0" borderId="0" xfId="0" applyFont="1"/>
    <xf numFmtId="169" fontId="0" fillId="0" borderId="0" xfId="4" applyNumberFormat="1" applyFont="1"/>
    <xf numFmtId="0" fontId="14" fillId="0" borderId="0" xfId="0" applyFont="1" applyAlignment="1">
      <alignment horizontal="left"/>
    </xf>
    <xf numFmtId="0" fontId="11" fillId="0" borderId="0" xfId="0" applyFont="1" applyAlignment="1">
      <alignment vertical="top"/>
    </xf>
    <xf numFmtId="164" fontId="14" fillId="0" borderId="0" xfId="0" applyNumberFormat="1" applyFont="1"/>
    <xf numFmtId="169" fontId="0" fillId="0" borderId="0" xfId="4" applyNumberFormat="1" applyFont="1" applyFill="1"/>
    <xf numFmtId="164" fontId="8" fillId="0" borderId="0" xfId="0" applyNumberFormat="1" applyFont="1"/>
    <xf numFmtId="0" fontId="8" fillId="0" borderId="5" xfId="0" applyFont="1" applyBorder="1"/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0" fontId="2" fillId="8" borderId="0" xfId="0" applyFont="1" applyFill="1"/>
    <xf numFmtId="165" fontId="5" fillId="9" borderId="0" xfId="0" applyNumberFormat="1" applyFont="1" applyFill="1" applyAlignment="1">
      <alignment horizontal="center" vertical="top"/>
    </xf>
    <xf numFmtId="165" fontId="5" fillId="10" borderId="0" xfId="0" applyNumberFormat="1" applyFont="1" applyFill="1" applyAlignment="1">
      <alignment horizontal="center" vertical="top"/>
    </xf>
    <xf numFmtId="0" fontId="5" fillId="8" borderId="0" xfId="0" applyFont="1" applyFill="1" applyAlignment="1">
      <alignment horizontal="center" vertical="center"/>
    </xf>
    <xf numFmtId="0" fontId="15" fillId="0" borderId="0" xfId="0" applyFont="1"/>
    <xf numFmtId="0" fontId="5" fillId="9" borderId="0" xfId="0" applyFont="1" applyFill="1" applyAlignment="1">
      <alignment vertical="top"/>
    </xf>
    <xf numFmtId="165" fontId="10" fillId="10" borderId="0" xfId="0" applyNumberFormat="1" applyFont="1" applyFill="1" applyAlignment="1">
      <alignment horizontal="center" vertical="top"/>
    </xf>
    <xf numFmtId="0" fontId="12" fillId="8" borderId="0" xfId="0" applyFont="1" applyFill="1"/>
    <xf numFmtId="170" fontId="0" fillId="0" borderId="0" xfId="0" applyNumberFormat="1"/>
    <xf numFmtId="166" fontId="1" fillId="11" borderId="0" xfId="6" applyNumberFormat="1"/>
    <xf numFmtId="9" fontId="1" fillId="11" borderId="0" xfId="6" applyNumberFormat="1"/>
    <xf numFmtId="167" fontId="1" fillId="11" borderId="0" xfId="6" applyNumberFormat="1"/>
    <xf numFmtId="2" fontId="1" fillId="11" borderId="0" xfId="6" applyNumberFormat="1"/>
    <xf numFmtId="167" fontId="3" fillId="11" borderId="1" xfId="6" applyNumberFormat="1" applyFont="1" applyBorder="1"/>
    <xf numFmtId="2" fontId="3" fillId="11" borderId="1" xfId="6" applyNumberFormat="1" applyFont="1" applyBorder="1"/>
    <xf numFmtId="4" fontId="1" fillId="11" borderId="0" xfId="6" applyNumberFormat="1"/>
    <xf numFmtId="1" fontId="1" fillId="11" borderId="0" xfId="6" applyNumberFormat="1"/>
    <xf numFmtId="4" fontId="3" fillId="11" borderId="1" xfId="6" applyNumberFormat="1" applyFont="1" applyBorder="1"/>
    <xf numFmtId="9" fontId="1" fillId="0" borderId="0" xfId="1" applyFont="1" applyBorder="1"/>
    <xf numFmtId="3" fontId="1" fillId="11" borderId="0" xfId="6" applyNumberFormat="1"/>
    <xf numFmtId="0" fontId="3" fillId="0" borderId="5" xfId="0" applyFont="1" applyBorder="1"/>
    <xf numFmtId="0" fontId="0" fillId="0" borderId="5" xfId="0" applyBorder="1"/>
    <xf numFmtId="4" fontId="3" fillId="0" borderId="5" xfId="0" applyNumberFormat="1" applyFont="1" applyBorder="1"/>
    <xf numFmtId="4" fontId="3" fillId="11" borderId="5" xfId="6" applyNumberFormat="1" applyFont="1" applyBorder="1"/>
    <xf numFmtId="0" fontId="3" fillId="0" borderId="6" xfId="0" applyFont="1" applyBorder="1"/>
    <xf numFmtId="0" fontId="0" fillId="0" borderId="6" xfId="0" applyBorder="1"/>
    <xf numFmtId="4" fontId="3" fillId="0" borderId="6" xfId="0" applyNumberFormat="1" applyFont="1" applyBorder="1"/>
    <xf numFmtId="4" fontId="3" fillId="11" borderId="6" xfId="6" applyNumberFormat="1" applyFont="1" applyBorder="1"/>
    <xf numFmtId="4" fontId="0" fillId="0" borderId="6" xfId="0" applyNumberFormat="1" applyBorder="1"/>
    <xf numFmtId="2" fontId="3" fillId="11" borderId="0" xfId="6" applyNumberFormat="1" applyFont="1"/>
    <xf numFmtId="169" fontId="1" fillId="11" borderId="0" xfId="6" applyNumberFormat="1"/>
    <xf numFmtId="164" fontId="1" fillId="11" borderId="0" xfId="6" applyNumberFormat="1"/>
    <xf numFmtId="169" fontId="3" fillId="11" borderId="1" xfId="6" applyNumberFormat="1" applyFont="1" applyBorder="1"/>
    <xf numFmtId="164" fontId="3" fillId="11" borderId="1" xfId="6" applyNumberFormat="1" applyFont="1" applyBorder="1"/>
    <xf numFmtId="169" fontId="3" fillId="11" borderId="0" xfId="6" applyNumberFormat="1" applyFont="1" applyBorder="1"/>
    <xf numFmtId="169" fontId="3" fillId="11" borderId="5" xfId="6" applyNumberFormat="1" applyFont="1" applyBorder="1"/>
    <xf numFmtId="10" fontId="3" fillId="0" borderId="1" xfId="0" applyNumberFormat="1" applyFont="1" applyBorder="1"/>
    <xf numFmtId="0" fontId="16" fillId="0" borderId="0" xfId="0" applyFont="1"/>
    <xf numFmtId="9" fontId="3" fillId="0" borderId="1" xfId="1" applyFont="1" applyBorder="1"/>
    <xf numFmtId="168" fontId="0" fillId="0" borderId="0" xfId="0" applyNumberFormat="1"/>
    <xf numFmtId="14" fontId="0" fillId="0" borderId="0" xfId="0" applyNumberFormat="1"/>
    <xf numFmtId="0" fontId="5" fillId="4" borderId="0" xfId="0" applyFont="1" applyFill="1" applyAlignment="1">
      <alignment horizontal="center" vertical="center"/>
    </xf>
    <xf numFmtId="166" fontId="3" fillId="0" borderId="1" xfId="0" applyNumberFormat="1" applyFont="1" applyBorder="1"/>
    <xf numFmtId="4" fontId="0" fillId="0" borderId="0" xfId="0" applyNumberFormat="1" applyAlignment="1">
      <alignment horizontal="right"/>
    </xf>
    <xf numFmtId="2" fontId="3" fillId="0" borderId="6" xfId="0" applyNumberFormat="1" applyFont="1" applyBorder="1"/>
    <xf numFmtId="1" fontId="3" fillId="0" borderId="0" xfId="0" applyNumberFormat="1" applyFont="1"/>
    <xf numFmtId="171" fontId="0" fillId="0" borderId="0" xfId="0" applyNumberFormat="1" applyAlignment="1">
      <alignment horizontal="left"/>
    </xf>
    <xf numFmtId="171" fontId="3" fillId="0" borderId="0" xfId="0" applyNumberFormat="1" applyFont="1" applyAlignment="1">
      <alignment horizontal="left"/>
    </xf>
    <xf numFmtId="172" fontId="0" fillId="0" borderId="0" xfId="0" applyNumberFormat="1"/>
    <xf numFmtId="172" fontId="3" fillId="0" borderId="0" xfId="0" applyNumberFormat="1" applyFont="1"/>
    <xf numFmtId="4" fontId="3" fillId="0" borderId="0" xfId="3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3" fillId="0" borderId="0" xfId="1" applyNumberFormat="1" applyFont="1" applyBorder="1" applyAlignment="1">
      <alignment horizontal="left"/>
    </xf>
    <xf numFmtId="0" fontId="17" fillId="0" borderId="0" xfId="0" applyFont="1"/>
    <xf numFmtId="10" fontId="0" fillId="0" borderId="0" xfId="1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1" xfId="0" applyNumberFormat="1" applyBorder="1"/>
    <xf numFmtId="2" fontId="9" fillId="0" borderId="0" xfId="0" applyNumberFormat="1" applyFont="1"/>
    <xf numFmtId="4" fontId="9" fillId="0" borderId="0" xfId="0" applyNumberFormat="1" applyFont="1"/>
    <xf numFmtId="172" fontId="9" fillId="0" borderId="0" xfId="0" applyNumberFormat="1" applyFont="1"/>
    <xf numFmtId="0" fontId="17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72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2" fontId="1" fillId="11" borderId="7" xfId="6" applyNumberFormat="1" applyBorder="1" applyAlignment="1">
      <alignment horizontal="center"/>
    </xf>
    <xf numFmtId="9" fontId="1" fillId="11" borderId="7" xfId="6" applyNumberFormat="1" applyBorder="1" applyAlignment="1">
      <alignment horizontal="center"/>
    </xf>
    <xf numFmtId="172" fontId="1" fillId="11" borderId="7" xfId="6" applyNumberFormat="1" applyBorder="1" applyAlignment="1">
      <alignment horizontal="center"/>
    </xf>
    <xf numFmtId="0" fontId="3" fillId="11" borderId="7" xfId="6" applyFont="1" applyBorder="1" applyAlignment="1">
      <alignment horizontal="left"/>
    </xf>
    <xf numFmtId="0" fontId="3" fillId="11" borderId="9" xfId="6" applyFont="1" applyBorder="1" applyAlignment="1">
      <alignment horizontal="left"/>
    </xf>
    <xf numFmtId="174" fontId="0" fillId="0" borderId="0" xfId="11" applyNumberFormat="1" applyFont="1" applyFill="1" applyBorder="1"/>
    <xf numFmtId="10" fontId="0" fillId="0" borderId="0" xfId="1" applyNumberFormat="1" applyFont="1" applyFill="1" applyBorder="1"/>
    <xf numFmtId="2" fontId="0" fillId="0" borderId="0" xfId="1" applyNumberFormat="1" applyFont="1" applyFill="1" applyBorder="1"/>
    <xf numFmtId="173" fontId="0" fillId="0" borderId="0" xfId="11" applyFont="1" applyFill="1" applyBorder="1"/>
    <xf numFmtId="174" fontId="3" fillId="0" borderId="1" xfId="11" applyNumberFormat="1" applyFont="1" applyFill="1" applyBorder="1"/>
    <xf numFmtId="10" fontId="3" fillId="0" borderId="1" xfId="1" applyNumberFormat="1" applyFont="1" applyFill="1" applyBorder="1"/>
    <xf numFmtId="173" fontId="3" fillId="0" borderId="0" xfId="0" applyNumberFormat="1" applyFont="1"/>
    <xf numFmtId="173" fontId="0" fillId="0" borderId="0" xfId="11" applyFont="1" applyFill="1"/>
    <xf numFmtId="173" fontId="3" fillId="0" borderId="0" xfId="11" applyFont="1" applyFill="1" applyBorder="1"/>
    <xf numFmtId="0" fontId="0" fillId="0" borderId="0" xfId="0" applyAlignment="1">
      <alignment vertical="top"/>
    </xf>
    <xf numFmtId="17" fontId="0" fillId="0" borderId="0" xfId="0" applyNumberFormat="1" applyAlignment="1">
      <alignment horizontal="left" vertical="top" indent="1"/>
    </xf>
    <xf numFmtId="164" fontId="0" fillId="0" borderId="0" xfId="11" applyNumberFormat="1" applyFont="1" applyFill="1" applyBorder="1" applyAlignment="1">
      <alignment vertical="top"/>
    </xf>
    <xf numFmtId="2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9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174" fontId="0" fillId="0" borderId="0" xfId="11" applyNumberFormat="1" applyFont="1" applyFill="1" applyBorder="1" applyAlignment="1">
      <alignment vertical="top"/>
    </xf>
    <xf numFmtId="169" fontId="0" fillId="0" borderId="0" xfId="11" applyNumberFormat="1" applyFont="1" applyFill="1" applyBorder="1" applyAlignment="1">
      <alignment vertical="top"/>
    </xf>
    <xf numFmtId="175" fontId="0" fillId="0" borderId="0" xfId="0" applyNumberFormat="1" applyAlignment="1">
      <alignment horizontal="left" vertical="top" indent="1"/>
    </xf>
    <xf numFmtId="9" fontId="0" fillId="0" borderId="0" xfId="1" applyFont="1" applyFill="1" applyBorder="1" applyAlignment="1">
      <alignment vertical="top"/>
    </xf>
    <xf numFmtId="169" fontId="0" fillId="0" borderId="0" xfId="11" applyNumberFormat="1" applyFont="1" applyBorder="1" applyAlignment="1">
      <alignment vertical="top"/>
    </xf>
    <xf numFmtId="173" fontId="0" fillId="0" borderId="0" xfId="11" applyFont="1" applyBorder="1" applyAlignment="1">
      <alignment vertical="top"/>
    </xf>
    <xf numFmtId="0" fontId="0" fillId="8" borderId="0" xfId="0" applyFill="1"/>
    <xf numFmtId="0" fontId="2" fillId="8" borderId="10" xfId="0" applyFont="1" applyFill="1" applyBorder="1"/>
    <xf numFmtId="0" fontId="12" fillId="8" borderId="6" xfId="0" applyFont="1" applyFill="1" applyBorder="1"/>
    <xf numFmtId="0" fontId="3" fillId="13" borderId="11" xfId="0" applyFont="1" applyFill="1" applyBorder="1"/>
    <xf numFmtId="0" fontId="3" fillId="13" borderId="0" xfId="0" applyFont="1" applyFill="1"/>
    <xf numFmtId="0" fontId="3" fillId="0" borderId="12" xfId="0" applyFont="1" applyBorder="1"/>
    <xf numFmtId="0" fontId="2" fillId="8" borderId="0" xfId="0" applyFont="1" applyFill="1" applyAlignment="1">
      <alignment horizontal="center" vertical="top"/>
    </xf>
    <xf numFmtId="0" fontId="12" fillId="8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15" fillId="0" borderId="0" xfId="0" applyFont="1" applyAlignment="1">
      <alignment horizontal="right"/>
    </xf>
    <xf numFmtId="173" fontId="0" fillId="0" borderId="0" xfId="11" applyFont="1" applyFill="1" applyBorder="1" applyAlignment="1">
      <alignment vertical="top"/>
    </xf>
    <xf numFmtId="168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3" fillId="0" borderId="1" xfId="1" applyNumberFormat="1" applyFont="1" applyBorder="1" applyAlignment="1">
      <alignment horizontal="right"/>
    </xf>
    <xf numFmtId="10" fontId="3" fillId="0" borderId="0" xfId="1" applyNumberFormat="1" applyFont="1" applyBorder="1" applyAlignment="1">
      <alignment horizontal="right"/>
    </xf>
    <xf numFmtId="0" fontId="3" fillId="0" borderId="13" xfId="0" applyFont="1" applyBorder="1"/>
    <xf numFmtId="0" fontId="0" fillId="0" borderId="14" xfId="0" applyBorder="1"/>
    <xf numFmtId="0" fontId="0" fillId="0" borderId="15" xfId="0" applyBorder="1"/>
    <xf numFmtId="0" fontId="3" fillId="0" borderId="16" xfId="0" applyFont="1" applyBorder="1"/>
    <xf numFmtId="0" fontId="0" fillId="0" borderId="17" xfId="0" applyBorder="1"/>
    <xf numFmtId="9" fontId="0" fillId="0" borderId="17" xfId="0" applyNumberFormat="1" applyBorder="1"/>
    <xf numFmtId="10" fontId="0" fillId="0" borderId="17" xfId="1" applyNumberFormat="1" applyFont="1" applyBorder="1"/>
    <xf numFmtId="0" fontId="0" fillId="0" borderId="19" xfId="0" applyBorder="1"/>
    <xf numFmtId="10" fontId="0" fillId="0" borderId="20" xfId="1" applyNumberFormat="1" applyFont="1" applyBorder="1"/>
    <xf numFmtId="0" fontId="3" fillId="0" borderId="21" xfId="0" applyFont="1" applyBorder="1"/>
    <xf numFmtId="0" fontId="0" fillId="0" borderId="22" xfId="0" applyBorder="1"/>
    <xf numFmtId="10" fontId="3" fillId="0" borderId="23" xfId="1" applyNumberFormat="1" applyFont="1" applyBorder="1"/>
    <xf numFmtId="0" fontId="0" fillId="0" borderId="16" xfId="0" applyBorder="1"/>
    <xf numFmtId="0" fontId="0" fillId="0" borderId="18" xfId="0" applyBorder="1"/>
    <xf numFmtId="0" fontId="19" fillId="0" borderId="0" xfId="0" applyFont="1"/>
    <xf numFmtId="0" fontId="1" fillId="14" borderId="0" xfId="12"/>
    <xf numFmtId="0" fontId="12" fillId="7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7" borderId="0" xfId="0" applyFont="1" applyFill="1" applyAlignment="1">
      <alignment vertical="top"/>
    </xf>
    <xf numFmtId="0" fontId="0" fillId="0" borderId="0" xfId="0" applyAlignment="1">
      <alignment horizontal="left" vertical="top" indent="1"/>
    </xf>
    <xf numFmtId="172" fontId="3" fillId="0" borderId="1" xfId="0" applyNumberFormat="1" applyFont="1" applyBorder="1"/>
    <xf numFmtId="164" fontId="0" fillId="0" borderId="0" xfId="0" applyNumberFormat="1"/>
    <xf numFmtId="173" fontId="3" fillId="0" borderId="1" xfId="11" applyFont="1" applyFill="1" applyBorder="1"/>
    <xf numFmtId="0" fontId="3" fillId="13" borderId="0" xfId="0" applyFont="1" applyFill="1" applyAlignment="1">
      <alignment horizontal="left"/>
    </xf>
    <xf numFmtId="0" fontId="3" fillId="13" borderId="0" xfId="0" applyFont="1" applyFill="1" applyAlignment="1">
      <alignment horizontal="center"/>
    </xf>
    <xf numFmtId="9" fontId="3" fillId="0" borderId="1" xfId="0" applyNumberFormat="1" applyFont="1" applyBorder="1"/>
    <xf numFmtId="169" fontId="0" fillId="0" borderId="0" xfId="0" applyNumberFormat="1"/>
    <xf numFmtId="172" fontId="1" fillId="14" borderId="0" xfId="12" applyNumberFormat="1"/>
    <xf numFmtId="0" fontId="3" fillId="13" borderId="0" xfId="0" applyFont="1" applyFill="1" applyAlignment="1">
      <alignment horizontal="right"/>
    </xf>
    <xf numFmtId="172" fontId="3" fillId="0" borderId="1" xfId="1" applyNumberFormat="1" applyFont="1" applyFill="1" applyBorder="1"/>
    <xf numFmtId="0" fontId="3" fillId="14" borderId="0" xfId="12" applyFont="1"/>
    <xf numFmtId="172" fontId="3" fillId="14" borderId="0" xfId="12" applyNumberFormat="1" applyFont="1"/>
    <xf numFmtId="0" fontId="1" fillId="0" borderId="0" xfId="0" applyFont="1"/>
    <xf numFmtId="0" fontId="20" fillId="0" borderId="24" xfId="0" applyFont="1" applyBorder="1"/>
    <xf numFmtId="0" fontId="14" fillId="0" borderId="25" xfId="0" applyFont="1" applyBorder="1"/>
    <xf numFmtId="0" fontId="14" fillId="0" borderId="26" xfId="0" applyFont="1" applyBorder="1"/>
    <xf numFmtId="3" fontId="14" fillId="0" borderId="26" xfId="0" applyNumberFormat="1" applyFont="1" applyBorder="1"/>
    <xf numFmtId="0" fontId="14" fillId="0" borderId="27" xfId="0" applyFont="1" applyBorder="1"/>
    <xf numFmtId="168" fontId="14" fillId="0" borderId="28" xfId="0" applyNumberFormat="1" applyFont="1" applyBorder="1"/>
    <xf numFmtId="0" fontId="14" fillId="0" borderId="24" xfId="0" applyFont="1" applyBorder="1"/>
    <xf numFmtId="0" fontId="14" fillId="0" borderId="28" xfId="0" applyFont="1" applyBorder="1"/>
    <xf numFmtId="0" fontId="14" fillId="0" borderId="29" xfId="0" applyFont="1" applyBorder="1"/>
    <xf numFmtId="0" fontId="14" fillId="0" borderId="30" xfId="0" applyFont="1" applyBorder="1"/>
    <xf numFmtId="0" fontId="21" fillId="0" borderId="33" xfId="0" applyFont="1" applyBorder="1"/>
    <xf numFmtId="0" fontId="14" fillId="0" borderId="34" xfId="0" applyFont="1" applyBorder="1"/>
    <xf numFmtId="0" fontId="14" fillId="0" borderId="36" xfId="0" applyFont="1" applyBorder="1"/>
    <xf numFmtId="0" fontId="21" fillId="0" borderId="37" xfId="0" applyFont="1" applyBorder="1" applyAlignment="1">
      <alignment horizontal="right"/>
    </xf>
    <xf numFmtId="0" fontId="21" fillId="0" borderId="33" xfId="0" applyFont="1" applyBorder="1" applyAlignment="1">
      <alignment horizontal="right"/>
    </xf>
    <xf numFmtId="0" fontId="21" fillId="0" borderId="35" xfId="0" applyFont="1" applyBorder="1" applyAlignment="1">
      <alignment horizontal="right"/>
    </xf>
    <xf numFmtId="0" fontId="21" fillId="0" borderId="38" xfId="0" applyFont="1" applyBorder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14" fillId="0" borderId="39" xfId="0" applyFont="1" applyBorder="1"/>
    <xf numFmtId="0" fontId="8" fillId="16" borderId="38" xfId="0" applyFont="1" applyFill="1" applyBorder="1"/>
    <xf numFmtId="178" fontId="14" fillId="0" borderId="0" xfId="0" applyNumberFormat="1" applyFont="1"/>
    <xf numFmtId="166" fontId="14" fillId="0" borderId="0" xfId="0" applyNumberFormat="1" applyFont="1"/>
    <xf numFmtId="0" fontId="23" fillId="0" borderId="0" xfId="0" applyFont="1"/>
    <xf numFmtId="0" fontId="14" fillId="0" borderId="0" xfId="0" applyFont="1" applyAlignment="1">
      <alignment horizontal="center" wrapText="1"/>
    </xf>
    <xf numFmtId="179" fontId="14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179" fontId="14" fillId="0" borderId="0" xfId="0" applyNumberFormat="1" applyFont="1"/>
    <xf numFmtId="0" fontId="13" fillId="0" borderId="0" xfId="0" applyFont="1"/>
    <xf numFmtId="179" fontId="14" fillId="0" borderId="0" xfId="0" applyNumberFormat="1" applyFont="1" applyAlignment="1">
      <alignment horizontal="center"/>
    </xf>
    <xf numFmtId="1" fontId="14" fillId="0" borderId="0" xfId="0" applyNumberFormat="1" applyFont="1"/>
    <xf numFmtId="179" fontId="14" fillId="17" borderId="0" xfId="0" applyNumberFormat="1" applyFont="1" applyFill="1" applyAlignment="1">
      <alignment horizontal="center"/>
    </xf>
    <xf numFmtId="179" fontId="14" fillId="0" borderId="34" xfId="0" applyNumberFormat="1" applyFont="1" applyBorder="1" applyAlignment="1">
      <alignment horizontal="center"/>
    </xf>
    <xf numFmtId="169" fontId="14" fillId="0" borderId="0" xfId="0" applyNumberFormat="1" applyFont="1"/>
    <xf numFmtId="179" fontId="14" fillId="0" borderId="42" xfId="0" applyNumberFormat="1" applyFont="1" applyBorder="1" applyAlignment="1">
      <alignment horizontal="center"/>
    </xf>
    <xf numFmtId="179" fontId="14" fillId="0" borderId="47" xfId="0" applyNumberFormat="1" applyFont="1" applyBorder="1" applyAlignment="1">
      <alignment horizontal="center"/>
    </xf>
    <xf numFmtId="179" fontId="14" fillId="0" borderId="49" xfId="0" applyNumberFormat="1" applyFont="1" applyBorder="1" applyAlignment="1">
      <alignment horizontal="center"/>
    </xf>
    <xf numFmtId="10" fontId="14" fillId="0" borderId="0" xfId="1" applyNumberFormat="1" applyFont="1"/>
    <xf numFmtId="2" fontId="14" fillId="0" borderId="0" xfId="0" applyNumberFormat="1" applyFont="1"/>
    <xf numFmtId="172" fontId="23" fillId="15" borderId="0" xfId="0" applyNumberFormat="1" applyFont="1" applyFill="1"/>
    <xf numFmtId="181" fontId="14" fillId="0" borderId="0" xfId="0" applyNumberFormat="1" applyFont="1"/>
    <xf numFmtId="0" fontId="14" fillId="0" borderId="0" xfId="0" applyFont="1" applyAlignment="1">
      <alignment horizontal="center" vertic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164" fontId="21" fillId="0" borderId="0" xfId="0" applyNumberFormat="1" applyFont="1"/>
    <xf numFmtId="0" fontId="28" fillId="0" borderId="0" xfId="0" applyFont="1"/>
    <xf numFmtId="2" fontId="21" fillId="0" borderId="0" xfId="0" applyNumberFormat="1" applyFont="1"/>
    <xf numFmtId="164" fontId="28" fillId="0" borderId="0" xfId="0" applyNumberFormat="1" applyFont="1"/>
    <xf numFmtId="0" fontId="21" fillId="0" borderId="0" xfId="0" applyFont="1" applyAlignment="1">
      <alignment horizontal="left"/>
    </xf>
    <xf numFmtId="17" fontId="21" fillId="0" borderId="0" xfId="0" applyNumberFormat="1" applyFont="1"/>
    <xf numFmtId="17" fontId="21" fillId="0" borderId="0" xfId="0" applyNumberFormat="1" applyFont="1" applyAlignment="1">
      <alignment horizontal="right"/>
    </xf>
    <xf numFmtId="43" fontId="21" fillId="0" borderId="0" xfId="0" applyNumberFormat="1" applyFont="1"/>
    <xf numFmtId="164" fontId="21" fillId="0" borderId="33" xfId="0" applyNumberFormat="1" applyFont="1" applyBorder="1"/>
    <xf numFmtId="0" fontId="21" fillId="0" borderId="34" xfId="0" applyFont="1" applyBorder="1"/>
    <xf numFmtId="0" fontId="21" fillId="0" borderId="36" xfId="0" applyFont="1" applyBorder="1"/>
    <xf numFmtId="0" fontId="29" fillId="0" borderId="0" xfId="0" applyFont="1"/>
    <xf numFmtId="0" fontId="27" fillId="0" borderId="0" xfId="0" applyFont="1" applyAlignment="1">
      <alignment horizontal="right"/>
    </xf>
    <xf numFmtId="0" fontId="27" fillId="0" borderId="36" xfId="0" applyFont="1" applyBorder="1"/>
    <xf numFmtId="0" fontId="21" fillId="0" borderId="51" xfId="0" applyFont="1" applyBorder="1"/>
    <xf numFmtId="0" fontId="27" fillId="0" borderId="51" xfId="0" applyFont="1" applyBorder="1"/>
    <xf numFmtId="0" fontId="27" fillId="0" borderId="39" xfId="0" applyFont="1" applyBorder="1"/>
    <xf numFmtId="176" fontId="21" fillId="0" borderId="0" xfId="0" applyNumberFormat="1" applyFont="1"/>
    <xf numFmtId="0" fontId="21" fillId="0" borderId="34" xfId="0" applyFont="1" applyBorder="1" applyAlignment="1">
      <alignment horizontal="right"/>
    </xf>
    <xf numFmtId="0" fontId="21" fillId="0" borderId="0" xfId="0" applyFont="1" applyAlignment="1">
      <alignment horizontal="center"/>
    </xf>
    <xf numFmtId="0" fontId="21" fillId="0" borderId="36" xfId="0" applyFont="1" applyBorder="1" applyAlignment="1">
      <alignment horizontal="right"/>
    </xf>
    <xf numFmtId="0" fontId="30" fillId="0" borderId="0" xfId="0" applyFont="1"/>
    <xf numFmtId="164" fontId="27" fillId="0" borderId="0" xfId="0" applyNumberFormat="1" applyFont="1"/>
    <xf numFmtId="0" fontId="31" fillId="0" borderId="36" xfId="0" applyFont="1" applyBorder="1"/>
    <xf numFmtId="164" fontId="28" fillId="0" borderId="52" xfId="0" applyNumberFormat="1" applyFont="1" applyBorder="1"/>
    <xf numFmtId="0" fontId="28" fillId="0" borderId="52" xfId="0" applyFont="1" applyBorder="1"/>
    <xf numFmtId="0" fontId="28" fillId="0" borderId="53" xfId="0" applyFont="1" applyBorder="1"/>
    <xf numFmtId="0" fontId="21" fillId="0" borderId="36" xfId="0" quotePrefix="1" applyFont="1" applyBorder="1"/>
    <xf numFmtId="164" fontId="21" fillId="0" borderId="35" xfId="0" applyNumberFormat="1" applyFont="1" applyBorder="1"/>
    <xf numFmtId="16" fontId="21" fillId="0" borderId="0" xfId="0" applyNumberFormat="1" applyFont="1"/>
    <xf numFmtId="0" fontId="21" fillId="0" borderId="35" xfId="0" applyFont="1" applyBorder="1"/>
    <xf numFmtId="3" fontId="21" fillId="0" borderId="0" xfId="0" applyNumberFormat="1" applyFont="1"/>
    <xf numFmtId="0" fontId="21" fillId="0" borderId="0" xfId="0" applyFont="1" applyAlignment="1">
      <alignment wrapText="1"/>
    </xf>
    <xf numFmtId="166" fontId="21" fillId="0" borderId="0" xfId="0" applyNumberFormat="1" applyFont="1"/>
    <xf numFmtId="2" fontId="28" fillId="0" borderId="0" xfId="0" applyNumberFormat="1" applyFont="1"/>
    <xf numFmtId="177" fontId="21" fillId="0" borderId="0" xfId="0" applyNumberFormat="1" applyFont="1"/>
    <xf numFmtId="177" fontId="28" fillId="0" borderId="0" xfId="0" applyNumberFormat="1" applyFont="1"/>
    <xf numFmtId="0" fontId="5" fillId="10" borderId="0" xfId="0" applyFont="1" applyFill="1" applyAlignment="1">
      <alignment horizontal="center"/>
    </xf>
    <xf numFmtId="0" fontId="24" fillId="10" borderId="0" xfId="0" applyFont="1" applyFill="1"/>
    <xf numFmtId="0" fontId="5" fillId="10" borderId="31" xfId="0" applyFont="1" applyFill="1" applyBorder="1"/>
    <xf numFmtId="0" fontId="5" fillId="10" borderId="30" xfId="0" applyFont="1" applyFill="1" applyBorder="1"/>
    <xf numFmtId="164" fontId="1" fillId="14" borderId="0" xfId="12" applyNumberFormat="1"/>
    <xf numFmtId="9" fontId="1" fillId="12" borderId="0" xfId="10" applyNumberFormat="1"/>
    <xf numFmtId="164" fontId="33" fillId="15" borderId="0" xfId="0" applyNumberFormat="1" applyFont="1" applyFill="1"/>
    <xf numFmtId="179" fontId="33" fillId="15" borderId="0" xfId="0" applyNumberFormat="1" applyFont="1" applyFill="1" applyAlignment="1">
      <alignment horizontal="center" vertical="center"/>
    </xf>
    <xf numFmtId="0" fontId="33" fillId="15" borderId="0" xfId="0" applyFont="1" applyFill="1"/>
    <xf numFmtId="166" fontId="1" fillId="14" borderId="0" xfId="12" applyNumberFormat="1"/>
    <xf numFmtId="178" fontId="1" fillId="14" borderId="42" xfId="12" applyNumberFormat="1" applyBorder="1"/>
    <xf numFmtId="43" fontId="1" fillId="14" borderId="0" xfId="12" applyNumberFormat="1"/>
    <xf numFmtId="43" fontId="33" fillId="15" borderId="0" xfId="0" applyNumberFormat="1" applyFont="1" applyFill="1"/>
    <xf numFmtId="166" fontId="22" fillId="18" borderId="0" xfId="0" applyNumberFormat="1" applyFont="1" applyFill="1"/>
    <xf numFmtId="176" fontId="22" fillId="18" borderId="32" xfId="0" applyNumberFormat="1" applyFont="1" applyFill="1" applyBorder="1"/>
    <xf numFmtId="176" fontId="1" fillId="14" borderId="0" xfId="12" applyNumberFormat="1" applyAlignment="1">
      <alignment horizontal="center"/>
    </xf>
    <xf numFmtId="176" fontId="1" fillId="14" borderId="0" xfId="12" applyNumberFormat="1"/>
    <xf numFmtId="176" fontId="1" fillId="14" borderId="35" xfId="12" applyNumberFormat="1" applyBorder="1"/>
    <xf numFmtId="176" fontId="1" fillId="14" borderId="36" xfId="12" applyNumberFormat="1" applyBorder="1"/>
    <xf numFmtId="176" fontId="14" fillId="15" borderId="0" xfId="0" applyNumberFormat="1" applyFont="1" applyFill="1"/>
    <xf numFmtId="177" fontId="14" fillId="15" borderId="0" xfId="0" applyNumberFormat="1" applyFont="1" applyFill="1"/>
    <xf numFmtId="0" fontId="24" fillId="19" borderId="0" xfId="0" applyFont="1" applyFill="1"/>
    <xf numFmtId="0" fontId="24" fillId="8" borderId="0" xfId="0" applyFont="1" applyFill="1" applyAlignment="1">
      <alignment horizontal="center"/>
    </xf>
    <xf numFmtId="9" fontId="24" fillId="19" borderId="0" xfId="0" applyNumberFormat="1" applyFont="1" applyFill="1"/>
    <xf numFmtId="0" fontId="24" fillId="19" borderId="0" xfId="0" applyFont="1" applyFill="1" applyAlignment="1">
      <alignment horizontal="left"/>
    </xf>
    <xf numFmtId="0" fontId="24" fillId="19" borderId="0" xfId="0" applyFont="1" applyFill="1" applyAlignment="1">
      <alignment horizontal="center"/>
    </xf>
    <xf numFmtId="179" fontId="1" fillId="14" borderId="48" xfId="12" applyNumberFormat="1" applyBorder="1" applyAlignment="1">
      <alignment horizontal="center"/>
    </xf>
    <xf numFmtId="179" fontId="1" fillId="14" borderId="46" xfId="12" applyNumberFormat="1" applyBorder="1" applyAlignment="1">
      <alignment horizontal="center"/>
    </xf>
    <xf numFmtId="179" fontId="1" fillId="14" borderId="44" xfId="12" applyNumberFormat="1" applyBorder="1" applyAlignment="1">
      <alignment horizontal="center"/>
    </xf>
    <xf numFmtId="180" fontId="1" fillId="14" borderId="46" xfId="12" applyNumberFormat="1" applyBorder="1" applyAlignment="1">
      <alignment horizontal="center"/>
    </xf>
    <xf numFmtId="179" fontId="1" fillId="14" borderId="45" xfId="12" applyNumberFormat="1" applyBorder="1" applyAlignment="1">
      <alignment horizontal="center"/>
    </xf>
    <xf numFmtId="179" fontId="1" fillId="14" borderId="43" xfId="12" applyNumberFormat="1" applyBorder="1" applyAlignment="1">
      <alignment horizontal="center"/>
    </xf>
    <xf numFmtId="0" fontId="22" fillId="10" borderId="0" xfId="0" applyFont="1" applyFill="1"/>
    <xf numFmtId="0" fontId="35" fillId="10" borderId="0" xfId="0" applyFont="1" applyFill="1"/>
    <xf numFmtId="0" fontId="34" fillId="9" borderId="0" xfId="0" applyFont="1" applyFill="1" applyAlignment="1">
      <alignment vertical="top"/>
    </xf>
    <xf numFmtId="0" fontId="22" fillId="10" borderId="39" xfId="0" applyFont="1" applyFill="1" applyBorder="1"/>
    <xf numFmtId="0" fontId="32" fillId="10" borderId="51" xfId="0" applyFont="1" applyFill="1" applyBorder="1"/>
    <xf numFmtId="0" fontId="32" fillId="10" borderId="50" xfId="0" applyFont="1" applyFill="1" applyBorder="1"/>
    <xf numFmtId="0" fontId="1" fillId="14" borderId="35" xfId="12" applyBorder="1"/>
    <xf numFmtId="15" fontId="1" fillId="14" borderId="35" xfId="12" applyNumberFormat="1" applyBorder="1" applyAlignment="1">
      <alignment horizontal="left"/>
    </xf>
    <xf numFmtId="0" fontId="1" fillId="14" borderId="35" xfId="12" applyBorder="1" applyAlignment="1">
      <alignment horizontal="left"/>
    </xf>
    <xf numFmtId="182" fontId="1" fillId="14" borderId="35" xfId="12" applyNumberFormat="1" applyBorder="1" applyAlignment="1">
      <alignment horizontal="left"/>
    </xf>
    <xf numFmtId="9" fontId="1" fillId="14" borderId="37" xfId="12" applyNumberFormat="1" applyBorder="1" applyAlignment="1">
      <alignment horizontal="left"/>
    </xf>
    <xf numFmtId="0" fontId="22" fillId="10" borderId="42" xfId="0" applyFont="1" applyFill="1" applyBorder="1"/>
    <xf numFmtId="0" fontId="22" fillId="10" borderId="41" xfId="0" applyFont="1" applyFill="1" applyBorder="1"/>
    <xf numFmtId="0" fontId="22" fillId="10" borderId="41" xfId="0" applyFont="1" applyFill="1" applyBorder="1" applyAlignment="1">
      <alignment horizontal="right"/>
    </xf>
    <xf numFmtId="0" fontId="22" fillId="10" borderId="40" xfId="0" applyFont="1" applyFill="1" applyBorder="1"/>
    <xf numFmtId="177" fontId="1" fillId="14" borderId="0" xfId="12" applyNumberFormat="1"/>
    <xf numFmtId="164" fontId="1" fillId="14" borderId="35" xfId="12" applyNumberFormat="1" applyBorder="1"/>
    <xf numFmtId="164" fontId="3" fillId="14" borderId="32" xfId="12" applyNumberFormat="1" applyFont="1" applyBorder="1"/>
    <xf numFmtId="43" fontId="1" fillId="14" borderId="37" xfId="12" applyNumberFormat="1" applyBorder="1"/>
    <xf numFmtId="0" fontId="21" fillId="10" borderId="41" xfId="0" applyFont="1" applyFill="1" applyBorder="1"/>
    <xf numFmtId="0" fontId="36" fillId="10" borderId="42" xfId="0" applyFont="1" applyFill="1" applyBorder="1"/>
    <xf numFmtId="0" fontId="21" fillId="10" borderId="40" xfId="0" applyFont="1" applyFill="1" applyBorder="1"/>
    <xf numFmtId="176" fontId="1" fillId="11" borderId="32" xfId="6" applyNumberFormat="1" applyBorder="1"/>
    <xf numFmtId="177" fontId="1" fillId="12" borderId="36" xfId="10" applyNumberFormat="1" applyBorder="1"/>
    <xf numFmtId="176" fontId="1" fillId="12" borderId="0" xfId="10" applyNumberFormat="1"/>
    <xf numFmtId="176" fontId="1" fillId="12" borderId="36" xfId="10" applyNumberFormat="1" applyBorder="1"/>
    <xf numFmtId="164" fontId="1" fillId="12" borderId="0" xfId="10" applyNumberFormat="1"/>
    <xf numFmtId="43" fontId="1" fillId="12" borderId="0" xfId="10" applyNumberFormat="1"/>
    <xf numFmtId="43" fontId="1" fillId="14" borderId="35" xfId="12" applyNumberFormat="1" applyBorder="1"/>
    <xf numFmtId="43" fontId="1" fillId="14" borderId="38" xfId="12" applyNumberFormat="1" applyBorder="1"/>
    <xf numFmtId="43" fontId="1" fillId="14" borderId="33" xfId="12" applyNumberFormat="1" applyBorder="1"/>
    <xf numFmtId="43" fontId="1" fillId="14" borderId="32" xfId="12" applyNumberFormat="1" applyBorder="1"/>
    <xf numFmtId="177" fontId="3" fillId="14" borderId="0" xfId="12" applyNumberFormat="1" applyFont="1"/>
    <xf numFmtId="164" fontId="3" fillId="14" borderId="0" xfId="12" applyNumberFormat="1" applyFont="1"/>
    <xf numFmtId="43" fontId="3" fillId="14" borderId="0" xfId="12" applyNumberFormat="1" applyFont="1"/>
    <xf numFmtId="0" fontId="22" fillId="10" borderId="0" xfId="0" applyFont="1" applyFill="1" applyAlignment="1">
      <alignment horizontal="right"/>
    </xf>
    <xf numFmtId="177" fontId="1" fillId="12" borderId="0" xfId="10" applyNumberFormat="1"/>
    <xf numFmtId="0" fontId="12" fillId="8" borderId="42" xfId="12" applyFont="1" applyFill="1" applyBorder="1"/>
    <xf numFmtId="0" fontId="2" fillId="8" borderId="42" xfId="12" applyFont="1" applyFill="1" applyBorder="1"/>
    <xf numFmtId="0" fontId="1" fillId="8" borderId="41" xfId="12" applyFill="1" applyBorder="1"/>
    <xf numFmtId="0" fontId="12" fillId="8" borderId="41" xfId="12" applyFont="1" applyFill="1" applyBorder="1"/>
    <xf numFmtId="0" fontId="12" fillId="8" borderId="40" xfId="12" applyFont="1" applyFill="1" applyBorder="1"/>
    <xf numFmtId="0" fontId="12" fillId="8" borderId="0" xfId="12" applyFont="1" applyFill="1"/>
    <xf numFmtId="0" fontId="12" fillId="8" borderId="0" xfId="12" applyFont="1" applyFill="1" applyAlignment="1">
      <alignment horizontal="right"/>
    </xf>
    <xf numFmtId="0" fontId="21" fillId="10" borderId="0" xfId="0" applyFont="1" applyFill="1"/>
    <xf numFmtId="164" fontId="1" fillId="14" borderId="35" xfId="12" applyNumberFormat="1" applyBorder="1" applyAlignment="1">
      <alignment horizontal="center"/>
    </xf>
    <xf numFmtId="0" fontId="1" fillId="14" borderId="33" xfId="12" applyBorder="1"/>
    <xf numFmtId="176" fontId="3" fillId="14" borderId="0" xfId="12" applyNumberFormat="1" applyFont="1"/>
    <xf numFmtId="43" fontId="3" fillId="14" borderId="0" xfId="12" applyNumberFormat="1" applyFont="1" applyAlignment="1">
      <alignment horizontal="right"/>
    </xf>
    <xf numFmtId="177" fontId="3" fillId="14" borderId="0" xfId="12" applyNumberFormat="1" applyFont="1" applyAlignment="1">
      <alignment horizontal="right"/>
    </xf>
    <xf numFmtId="2" fontId="1" fillId="14" borderId="0" xfId="12" applyNumberFormat="1"/>
    <xf numFmtId="2" fontId="3" fillId="14" borderId="0" xfId="12" applyNumberFormat="1" applyFont="1"/>
    <xf numFmtId="0" fontId="36" fillId="10" borderId="41" xfId="0" applyFont="1" applyFill="1" applyBorder="1"/>
    <xf numFmtId="0" fontId="26" fillId="10" borderId="41" xfId="0" applyFont="1" applyFill="1" applyBorder="1"/>
    <xf numFmtId="178" fontId="1" fillId="14" borderId="37" xfId="12" applyNumberFormat="1" applyBorder="1"/>
    <xf numFmtId="0" fontId="0" fillId="0" borderId="20" xfId="0" applyBorder="1"/>
    <xf numFmtId="0" fontId="0" fillId="20" borderId="17" xfId="0" applyFill="1" applyBorder="1"/>
    <xf numFmtId="0" fontId="0" fillId="20" borderId="0" xfId="0" applyFill="1"/>
    <xf numFmtId="0" fontId="12" fillId="21" borderId="13" xfId="0" applyFont="1" applyFill="1" applyBorder="1"/>
    <xf numFmtId="0" fontId="0" fillId="22" borderId="0" xfId="0" applyFill="1"/>
    <xf numFmtId="166" fontId="0" fillId="22" borderId="0" xfId="0" applyNumberFormat="1" applyFill="1"/>
    <xf numFmtId="178" fontId="0" fillId="0" borderId="0" xfId="4" applyNumberFormat="1" applyFont="1"/>
    <xf numFmtId="0" fontId="0" fillId="20" borderId="54" xfId="0" applyFill="1" applyBorder="1"/>
    <xf numFmtId="178" fontId="0" fillId="0" borderId="0" xfId="0" applyNumberFormat="1"/>
    <xf numFmtId="2" fontId="0" fillId="22" borderId="0" xfId="0" applyNumberFormat="1" applyFill="1"/>
    <xf numFmtId="0" fontId="5" fillId="8" borderId="0" xfId="0" applyFont="1" applyFill="1"/>
    <xf numFmtId="164" fontId="11" fillId="0" borderId="0" xfId="0" applyNumberFormat="1" applyFont="1" applyAlignment="1">
      <alignment vertical="top"/>
    </xf>
    <xf numFmtId="10" fontId="11" fillId="0" borderId="8" xfId="0" applyNumberFormat="1" applyFont="1" applyBorder="1" applyAlignment="1">
      <alignment vertical="top"/>
    </xf>
    <xf numFmtId="176" fontId="11" fillId="0" borderId="0" xfId="0" applyNumberFormat="1" applyFont="1" applyAlignment="1">
      <alignment vertical="top"/>
    </xf>
    <xf numFmtId="10" fontId="11" fillId="0" borderId="0" xfId="0" applyNumberFormat="1" applyFont="1" applyAlignment="1">
      <alignment vertical="top"/>
    </xf>
    <xf numFmtId="10" fontId="11" fillId="0" borderId="55" xfId="0" applyNumberFormat="1" applyFont="1" applyBorder="1" applyAlignment="1">
      <alignment vertical="top"/>
    </xf>
    <xf numFmtId="10" fontId="11" fillId="0" borderId="56" xfId="0" applyNumberFormat="1" applyFont="1" applyBorder="1" applyAlignment="1">
      <alignment vertical="top"/>
    </xf>
    <xf numFmtId="176" fontId="11" fillId="0" borderId="8" xfId="0" applyNumberFormat="1" applyFont="1" applyBorder="1" applyAlignment="1">
      <alignment vertical="top"/>
    </xf>
    <xf numFmtId="10" fontId="11" fillId="0" borderId="55" xfId="1" applyNumberFormat="1" applyFont="1" applyBorder="1" applyAlignment="1">
      <alignment vertical="top"/>
    </xf>
    <xf numFmtId="10" fontId="11" fillId="0" borderId="56" xfId="1" applyNumberFormat="1" applyFont="1" applyBorder="1" applyAlignment="1">
      <alignment vertical="top"/>
    </xf>
    <xf numFmtId="181" fontId="11" fillId="0" borderId="8" xfId="0" applyNumberFormat="1" applyFont="1" applyBorder="1" applyAlignment="1">
      <alignment vertical="top"/>
    </xf>
    <xf numFmtId="164" fontId="11" fillId="7" borderId="0" xfId="0" applyNumberFormat="1" applyFont="1" applyFill="1" applyAlignment="1">
      <alignment vertical="top"/>
    </xf>
    <xf numFmtId="164" fontId="4" fillId="7" borderId="0" xfId="0" applyNumberFormat="1" applyFont="1" applyFill="1" applyAlignment="1">
      <alignment vertical="top"/>
    </xf>
    <xf numFmtId="177" fontId="37" fillId="25" borderId="54" xfId="0" applyNumberFormat="1" applyFont="1" applyFill="1" applyBorder="1" applyAlignment="1">
      <alignment vertical="top"/>
    </xf>
    <xf numFmtId="164" fontId="1" fillId="23" borderId="0" xfId="13" applyNumberFormat="1" applyAlignment="1">
      <alignment vertical="top"/>
    </xf>
    <xf numFmtId="0" fontId="1" fillId="24" borderId="11" xfId="14" applyBorder="1" applyAlignment="1">
      <alignment vertical="top"/>
    </xf>
    <xf numFmtId="0" fontId="1" fillId="24" borderId="8" xfId="14" applyBorder="1" applyAlignment="1">
      <alignment horizontal="center" vertical="top"/>
    </xf>
    <xf numFmtId="0" fontId="1" fillId="24" borderId="0" xfId="14" applyAlignment="1">
      <alignment horizontal="center" vertical="top"/>
    </xf>
    <xf numFmtId="0" fontId="1" fillId="24" borderId="9" xfId="14" applyBorder="1" applyAlignment="1">
      <alignment vertical="top"/>
    </xf>
    <xf numFmtId="0" fontId="16" fillId="24" borderId="8" xfId="14" applyFont="1" applyBorder="1" applyAlignment="1">
      <alignment horizontal="center" vertical="top"/>
    </xf>
    <xf numFmtId="0" fontId="3" fillId="12" borderId="0" xfId="10" applyFont="1" applyAlignment="1">
      <alignment horizontal="center"/>
    </xf>
    <xf numFmtId="9" fontId="3" fillId="12" borderId="0" xfId="10" applyNumberFormat="1" applyFont="1" applyAlignment="1">
      <alignment horizontal="center"/>
    </xf>
    <xf numFmtId="0" fontId="17" fillId="24" borderId="7" xfId="14" applyFont="1" applyBorder="1" applyAlignment="1">
      <alignment horizontal="center" vertical="top"/>
    </xf>
    <xf numFmtId="0" fontId="17" fillId="24" borderId="6" xfId="14" applyFont="1" applyBorder="1" applyAlignment="1">
      <alignment horizontal="center" vertical="top"/>
    </xf>
    <xf numFmtId="0" fontId="16" fillId="23" borderId="0" xfId="13" applyFont="1" applyAlignment="1">
      <alignment horizontal="center" vertical="center"/>
    </xf>
    <xf numFmtId="0" fontId="12" fillId="8" borderId="0" xfId="0" applyFont="1" applyFill="1" applyAlignment="1">
      <alignment horizontal="center" vertical="top"/>
    </xf>
    <xf numFmtId="0" fontId="2" fillId="8" borderId="0" xfId="0" applyFont="1" applyFill="1" applyAlignment="1">
      <alignment horizontal="center" vertical="top"/>
    </xf>
    <xf numFmtId="0" fontId="24" fillId="10" borderId="38" xfId="0" applyFont="1" applyFill="1" applyBorder="1" applyAlignment="1">
      <alignment horizontal="center"/>
    </xf>
    <xf numFmtId="0" fontId="11" fillId="8" borderId="38" xfId="0" applyFont="1" applyFill="1" applyBorder="1"/>
    <xf numFmtId="0" fontId="24" fillId="10" borderId="0" xfId="0" applyFont="1" applyFill="1" applyAlignment="1">
      <alignment horizontal="center" wrapText="1"/>
    </xf>
    <xf numFmtId="0" fontId="11" fillId="8" borderId="0" xfId="0" applyFont="1" applyFill="1"/>
    <xf numFmtId="0" fontId="22" fillId="10" borderId="42" xfId="0" applyFont="1" applyFill="1" applyBorder="1" applyAlignment="1">
      <alignment horizontal="center"/>
    </xf>
    <xf numFmtId="0" fontId="11" fillId="8" borderId="41" xfId="0" applyFont="1" applyFill="1" applyBorder="1"/>
    <xf numFmtId="0" fontId="11" fillId="8" borderId="40" xfId="0" applyFont="1" applyFill="1" applyBorder="1"/>
    <xf numFmtId="0" fontId="14" fillId="0" borderId="0" xfId="0" applyFont="1" applyAlignment="1">
      <alignment horizontal="center"/>
    </xf>
    <xf numFmtId="0" fontId="0" fillId="0" borderId="0" xfId="0"/>
    <xf numFmtId="0" fontId="14" fillId="0" borderId="0" xfId="0" applyFont="1" applyAlignment="1">
      <alignment horizontal="center" wrapText="1"/>
    </xf>
    <xf numFmtId="0" fontId="24" fillId="19" borderId="0" xfId="0" applyFont="1" applyFill="1" applyAlignment="1">
      <alignment horizontal="center" wrapText="1"/>
    </xf>
    <xf numFmtId="0" fontId="24" fillId="8" borderId="0" xfId="0" applyFont="1" applyFill="1"/>
    <xf numFmtId="0" fontId="24" fillId="19" borderId="38" xfId="0" applyFont="1" applyFill="1" applyBorder="1" applyAlignment="1">
      <alignment horizontal="center"/>
    </xf>
    <xf numFmtId="0" fontId="24" fillId="8" borderId="38" xfId="0" applyFont="1" applyFill="1" applyBorder="1"/>
    <xf numFmtId="0" fontId="24" fillId="19" borderId="38" xfId="0" applyFont="1" applyFill="1" applyBorder="1" applyAlignment="1">
      <alignment horizontal="center" wrapText="1"/>
    </xf>
    <xf numFmtId="0" fontId="21" fillId="0" borderId="0" xfId="0" applyFont="1" applyAlignment="1">
      <alignment horizontal="center"/>
    </xf>
    <xf numFmtId="0" fontId="27" fillId="0" borderId="51" xfId="0" applyFont="1" applyBorder="1" applyAlignment="1">
      <alignment horizontal="center" wrapText="1"/>
    </xf>
    <xf numFmtId="0" fontId="27" fillId="0" borderId="50" xfId="0" applyFont="1" applyBorder="1" applyAlignment="1">
      <alignment horizontal="center" wrapText="1"/>
    </xf>
    <xf numFmtId="0" fontId="11" fillId="0" borderId="35" xfId="0" applyFont="1" applyBorder="1"/>
    <xf numFmtId="0" fontId="27" fillId="0" borderId="0" xfId="0" applyFont="1" applyAlignment="1">
      <alignment horizontal="center" wrapText="1"/>
    </xf>
    <xf numFmtId="0" fontId="12" fillId="21" borderId="0" xfId="0" applyFont="1" applyFill="1" applyAlignment="1">
      <alignment horizontal="center"/>
    </xf>
    <xf numFmtId="0" fontId="12" fillId="21" borderId="14" xfId="0" applyFont="1" applyFill="1" applyBorder="1" applyAlignment="1">
      <alignment horizontal="center"/>
    </xf>
    <xf numFmtId="0" fontId="12" fillId="21" borderId="15" xfId="0" applyFont="1" applyFill="1" applyBorder="1" applyAlignment="1">
      <alignment horizontal="center"/>
    </xf>
    <xf numFmtId="172" fontId="0" fillId="0" borderId="0" xfId="0" applyNumberFormat="1" applyAlignment="1">
      <alignment horizontal="right"/>
    </xf>
  </cellXfs>
  <cellStyles count="15">
    <cellStyle name="20% - Accent6" xfId="10" builtinId="50"/>
    <cellStyle name="40% - Accent2" xfId="13" builtinId="35"/>
    <cellStyle name="40% - Accent4" xfId="14" builtinId="43"/>
    <cellStyle name="40% - Accent6" xfId="12" builtinId="51"/>
    <cellStyle name="60% - Accent6" xfId="6" builtinId="52"/>
    <cellStyle name="Comma" xfId="4" builtinId="3"/>
    <cellStyle name="Comma 2" xfId="5" xr:uid="{C83130F5-0180-4D36-82FB-BFC6AC27D056}"/>
    <cellStyle name="Comma 3" xfId="7" xr:uid="{03CDF7C4-EC61-4FD8-B323-F35919D8668D}"/>
    <cellStyle name="Comma 4" xfId="11" xr:uid="{57666007-BBD9-433B-B1EB-35F04094DF7F}"/>
    <cellStyle name="Currency" xfId="3" builtinId="4"/>
    <cellStyle name="Currency 2" xfId="9" xr:uid="{A5EE3B77-79A4-4800-9053-3EA54241AFDE}"/>
    <cellStyle name="Normal" xfId="0" builtinId="0"/>
    <cellStyle name="Normal 2" xfId="8" xr:uid="{F792E982-B887-4CF7-A351-511A2C9D0CE8}"/>
    <cellStyle name="Percent" xfId="1" builtinId="5"/>
    <cellStyle name="Total" xfId="2" builtinId="25"/>
  </cellStyles>
  <dxfs count="18">
    <dxf>
      <numFmt numFmtId="0" formatCode="General"/>
    </dxf>
    <dxf>
      <numFmt numFmtId="171" formatCode="[$-14009]dd/mm/yyyy;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4" formatCode="#,##0.0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172" formatCode="0.00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172" formatCode="0.000"/>
    </dxf>
    <dxf>
      <numFmt numFmtId="0" formatCode="General"/>
    </dxf>
    <dxf>
      <numFmt numFmtId="171" formatCode="[$-14009]dd/mm/yyyy;@"/>
      <alignment horizontal="left" vertical="bottom" textRotation="0" wrapText="0" indent="0" justifyLastLine="0" shrinkToFit="0" readingOrder="0"/>
    </dxf>
    <dxf>
      <border outline="0">
        <left style="thin">
          <color theme="9" tint="0.39997558519241921"/>
        </left>
      </border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95712"/>
      <color rgb="FF155808"/>
      <color rgb="FF1585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u="sng">
                <a:solidFill>
                  <a:schemeClr val="tx1"/>
                </a:solidFill>
              </a:rPr>
              <a:t>NET PROFIT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'Ratio Analysis'!$C$3:$H$3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'Ratio Analysis'!$C$8:$H$8</c:f>
              <c:numCache>
                <c:formatCode>General</c:formatCode>
                <c:ptCount val="6"/>
                <c:pt idx="0">
                  <c:v>13.57</c:v>
                </c:pt>
                <c:pt idx="1">
                  <c:v>3.95</c:v>
                </c:pt>
                <c:pt idx="2">
                  <c:v>14.45</c:v>
                </c:pt>
                <c:pt idx="3">
                  <c:v>10.18</c:v>
                </c:pt>
                <c:pt idx="4">
                  <c:v>11.46</c:v>
                </c:pt>
                <c:pt idx="5">
                  <c:v>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C0-4CDF-B36F-32F52D096F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61513424"/>
        <c:axId val="861527344"/>
      </c:barChart>
      <c:catAx>
        <c:axId val="8615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27344"/>
        <c:crosses val="autoZero"/>
        <c:auto val="1"/>
        <c:lblAlgn val="ctr"/>
        <c:lblOffset val="100"/>
        <c:noMultiLvlLbl val="0"/>
      </c:catAx>
      <c:valAx>
        <c:axId val="86152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1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400" u="sng">
                <a:solidFill>
                  <a:schemeClr val="tx1"/>
                </a:solidFill>
              </a:rPr>
              <a:t>TOTAL</a:t>
            </a:r>
            <a:r>
              <a:rPr lang="en-IN" sz="1400" u="sng" baseline="0">
                <a:solidFill>
                  <a:schemeClr val="tx1"/>
                </a:solidFill>
              </a:rPr>
              <a:t> ASSET TURNOVER RATIO</a:t>
            </a:r>
            <a:endParaRPr lang="en-IN" sz="1400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'Ratio Analysis'!$C$9:$H$9</c:f>
              <c:strCache>
                <c:ptCount val="6"/>
                <c:pt idx="0">
                  <c:v>24.35</c:v>
                </c:pt>
                <c:pt idx="1">
                  <c:v>21.86</c:v>
                </c:pt>
                <c:pt idx="2">
                  <c:v>29.03</c:v>
                </c:pt>
                <c:pt idx="3">
                  <c:v>26</c:v>
                </c:pt>
                <c:pt idx="4">
                  <c:v>27.43</c:v>
                </c:pt>
                <c:pt idx="5">
                  <c:v>26.9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'Ratio Analysis'!$C$3:$H$3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'Dupont Analysis'!$B$16:$G$16</c:f>
              <c:numCache>
                <c:formatCode>0.00</c:formatCode>
                <c:ptCount val="6"/>
                <c:pt idx="0">
                  <c:v>1.3792482673937023</c:v>
                </c:pt>
                <c:pt idx="1">
                  <c:v>0.80062639364074273</c:v>
                </c:pt>
                <c:pt idx="2">
                  <c:v>0.92571497741505959</c:v>
                </c:pt>
                <c:pt idx="3">
                  <c:v>1.1526856432104764</c:v>
                </c:pt>
                <c:pt idx="4">
                  <c:v>1.221769030921533</c:v>
                </c:pt>
                <c:pt idx="5">
                  <c:v>1.1543544923401903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E-449E-9505-84AC0A0675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61513424"/>
        <c:axId val="861527344"/>
      </c:barChart>
      <c:catAx>
        <c:axId val="8615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27344"/>
        <c:crosses val="autoZero"/>
        <c:auto val="1"/>
        <c:lblAlgn val="ctr"/>
        <c:lblOffset val="100"/>
        <c:noMultiLvlLbl val="0"/>
      </c:catAx>
      <c:valAx>
        <c:axId val="86152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1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u="sng">
                <a:solidFill>
                  <a:schemeClr val="tx1"/>
                </a:solidFill>
              </a:rPr>
              <a:t>CURRENT</a:t>
            </a:r>
            <a:r>
              <a:rPr lang="en-IN" u="sng" baseline="0">
                <a:solidFill>
                  <a:schemeClr val="tx1"/>
                </a:solidFill>
              </a:rPr>
              <a:t> RATIO</a:t>
            </a:r>
            <a:endParaRPr lang="en-IN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'Ratio Analysis'!$C$3:$H$3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'Ratio Analysis'!$C$7:$H$7</c:f>
              <c:numCache>
                <c:formatCode>0.00</c:formatCode>
                <c:ptCount val="6"/>
                <c:pt idx="0">
                  <c:v>0.91654643604000841</c:v>
                </c:pt>
                <c:pt idx="1">
                  <c:v>1.0625578483149125</c:v>
                </c:pt>
                <c:pt idx="2">
                  <c:v>1.1968986922491842</c:v>
                </c:pt>
                <c:pt idx="3">
                  <c:v>0.76692016870998059</c:v>
                </c:pt>
                <c:pt idx="4">
                  <c:v>0.78150514162199181</c:v>
                </c:pt>
                <c:pt idx="5">
                  <c:v>0.75495038588754126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D-490B-9D48-1073E7B280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61513424"/>
        <c:axId val="861527344"/>
      </c:barChart>
      <c:catAx>
        <c:axId val="8615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27344"/>
        <c:crosses val="autoZero"/>
        <c:auto val="1"/>
        <c:lblAlgn val="ctr"/>
        <c:lblOffset val="100"/>
        <c:noMultiLvlLbl val="0"/>
      </c:catAx>
      <c:valAx>
        <c:axId val="86152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1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u="sng">
                <a:solidFill>
                  <a:schemeClr val="tx1"/>
                </a:solidFill>
              </a:rPr>
              <a:t>RETURN</a:t>
            </a:r>
            <a:r>
              <a:rPr lang="en-IN" u="sng" baseline="0">
                <a:solidFill>
                  <a:schemeClr val="tx1"/>
                </a:solidFill>
              </a:rPr>
              <a:t> ON EQUITY</a:t>
            </a:r>
            <a:endParaRPr lang="en-IN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'Ratio Analysis'!$C$3:$H$3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'Dupont Analysis'!$B$7:$G$7</c:f>
              <c:numCache>
                <c:formatCode>0.00</c:formatCode>
                <c:ptCount val="6"/>
                <c:pt idx="0">
                  <c:v>-0.57762798908682478</c:v>
                </c:pt>
                <c:pt idx="1">
                  <c:v>-0.11902197604943932</c:v>
                </c:pt>
                <c:pt idx="2">
                  <c:v>-0.79015899896509534</c:v>
                </c:pt>
                <c:pt idx="3">
                  <c:v>-0.37725177325347475</c:v>
                </c:pt>
                <c:pt idx="4">
                  <c:v>-0.51634993364881421</c:v>
                </c:pt>
                <c:pt idx="5">
                  <c:v>-0.50538862610191382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F-4DC4-B91C-91B075EC10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61513424"/>
        <c:axId val="861527344"/>
      </c:barChart>
      <c:catAx>
        <c:axId val="8615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27344"/>
        <c:crosses val="autoZero"/>
        <c:auto val="1"/>
        <c:lblAlgn val="ctr"/>
        <c:lblOffset val="100"/>
        <c:noMultiLvlLbl val="0"/>
      </c:catAx>
      <c:valAx>
        <c:axId val="86152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1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u="sng" baseline="0">
                <a:solidFill>
                  <a:schemeClr val="tx1"/>
                </a:solidFill>
              </a:rPr>
              <a:t>P/E RATIO</a:t>
            </a:r>
            <a:endParaRPr lang="en-IN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'Ratio Analysis'!$C$3:$H$3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'Ratio Analysis'!$C$11:$H$11</c:f>
              <c:numCache>
                <c:formatCode>General</c:formatCode>
                <c:ptCount val="6"/>
                <c:pt idx="0">
                  <c:v>44.839999999999996</c:v>
                </c:pt>
                <c:pt idx="1">
                  <c:v>107</c:v>
                </c:pt>
                <c:pt idx="2">
                  <c:v>31.7</c:v>
                </c:pt>
                <c:pt idx="3">
                  <c:v>30.6</c:v>
                </c:pt>
                <c:pt idx="4">
                  <c:v>25.5</c:v>
                </c:pt>
                <c:pt idx="5">
                  <c:v>29.4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67-4C5C-BB92-B1BB8208EC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61513424"/>
        <c:axId val="861527344"/>
      </c:barChart>
      <c:catAx>
        <c:axId val="8615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27344"/>
        <c:crosses val="autoZero"/>
        <c:auto val="1"/>
        <c:lblAlgn val="ctr"/>
        <c:lblOffset val="100"/>
        <c:noMultiLvlLbl val="0"/>
      </c:catAx>
      <c:valAx>
        <c:axId val="86152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1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u="sng" baseline="0">
                <a:solidFill>
                  <a:schemeClr val="tx1"/>
                </a:solidFill>
              </a:rPr>
              <a:t>EARNINGS PER SHARE (EPS)</a:t>
            </a:r>
            <a:endParaRPr lang="en-IN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'Ratio Analysis'!$C$3:$H$3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'Ratio Analysis'!$C$10:$H$10</c:f>
              <c:numCache>
                <c:formatCode>General</c:formatCode>
                <c:ptCount val="6"/>
                <c:pt idx="0">
                  <c:v>2.81</c:v>
                </c:pt>
                <c:pt idx="1">
                  <c:v>0.79</c:v>
                </c:pt>
                <c:pt idx="2">
                  <c:v>3.54</c:v>
                </c:pt>
                <c:pt idx="3">
                  <c:v>2.83</c:v>
                </c:pt>
                <c:pt idx="4">
                  <c:v>3.58</c:v>
                </c:pt>
                <c:pt idx="5">
                  <c:v>3.31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2-4D7B-819C-F3C94217EF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61513424"/>
        <c:axId val="861527344"/>
      </c:barChart>
      <c:catAx>
        <c:axId val="8615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27344"/>
        <c:crosses val="autoZero"/>
        <c:auto val="1"/>
        <c:lblAlgn val="ctr"/>
        <c:lblOffset val="100"/>
        <c:noMultiLvlLbl val="0"/>
      </c:catAx>
      <c:valAx>
        <c:axId val="86152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1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600" b="1" u="sng">
                <a:solidFill>
                  <a:schemeClr val="tx1"/>
                </a:solidFill>
              </a:rPr>
              <a:t>Football</a:t>
            </a:r>
            <a:r>
              <a:rPr lang="en-IN" sz="1600" b="1" u="sng" baseline="0">
                <a:solidFill>
                  <a:schemeClr val="tx1"/>
                </a:solidFill>
              </a:rPr>
              <a:t> Field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05B-4B65-AF91-059E88A74A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Analysis'!$C$3:$C$9</c:f>
              <c:strCache>
                <c:ptCount val="7"/>
                <c:pt idx="0">
                  <c:v>Perpetual Growth</c:v>
                </c:pt>
                <c:pt idx="1">
                  <c:v>Exit Multiple</c:v>
                </c:pt>
                <c:pt idx="2">
                  <c:v>CCA (FY1- EV/EBITDA)</c:v>
                </c:pt>
                <c:pt idx="3">
                  <c:v>CCA (FY2- EV/EBITDA)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</c:v>
                </c:pt>
              </c:strCache>
            </c:strRef>
          </c:cat>
          <c:val>
            <c:numRef>
              <c:f>'Football Field Analysis'!$D$3:$D$9</c:f>
              <c:numCache>
                <c:formatCode>General</c:formatCode>
                <c:ptCount val="7"/>
                <c:pt idx="0">
                  <c:v>70.25</c:v>
                </c:pt>
                <c:pt idx="1">
                  <c:v>121.05</c:v>
                </c:pt>
                <c:pt idx="2">
                  <c:v>149.05652690534376</c:v>
                </c:pt>
                <c:pt idx="3">
                  <c:v>148.05373806217128</c:v>
                </c:pt>
                <c:pt idx="4" formatCode="0.0">
                  <c:v>76</c:v>
                </c:pt>
                <c:pt idx="5" formatCode="0.0">
                  <c:v>72</c:v>
                </c:pt>
                <c:pt idx="6" formatCode="0.00">
                  <c:v>112.55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B-4B65-AF91-059E88A74AB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'Football Field Analysis'!$C$3:$C$9</c:f>
              <c:strCache>
                <c:ptCount val="7"/>
                <c:pt idx="0">
                  <c:v>Perpetual Growth</c:v>
                </c:pt>
                <c:pt idx="1">
                  <c:v>Exit Multiple</c:v>
                </c:pt>
                <c:pt idx="2">
                  <c:v>CCA (FY1- EV/EBITDA)</c:v>
                </c:pt>
                <c:pt idx="3">
                  <c:v>CCA (FY2- EV/EBITDA)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</c:v>
                </c:pt>
              </c:strCache>
            </c:strRef>
          </c:cat>
          <c:val>
            <c:numRef>
              <c:f>'Football Field Analysis'!$E$3:$E$9</c:f>
              <c:numCache>
                <c:formatCode>_ * #,##0.0_ ;_ * \-#,##0.0_ ;_ * "-"??_ ;_ @_ </c:formatCode>
                <c:ptCount val="7"/>
                <c:pt idx="0">
                  <c:v>22.299999999999997</c:v>
                </c:pt>
                <c:pt idx="1">
                  <c:v>12.970000000000013</c:v>
                </c:pt>
                <c:pt idx="2">
                  <c:v>35.249723925383023</c:v>
                </c:pt>
                <c:pt idx="3">
                  <c:v>35.026881960233538</c:v>
                </c:pt>
                <c:pt idx="4">
                  <c:v>49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5B-4B65-AF91-059E88A74AB5}"/>
            </c:ext>
          </c:extLst>
        </c:ser>
        <c:ser>
          <c:idx val="2"/>
          <c:order val="2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Analysis'!$C$3:$C$9</c:f>
              <c:strCache>
                <c:ptCount val="7"/>
                <c:pt idx="0">
                  <c:v>Perpetual Growth</c:v>
                </c:pt>
                <c:pt idx="1">
                  <c:v>Exit Multiple</c:v>
                </c:pt>
                <c:pt idx="2">
                  <c:v>CCA (FY1- EV/EBITDA)</c:v>
                </c:pt>
                <c:pt idx="3">
                  <c:v>CCA (FY2- EV/EBITDA)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</c:v>
                </c:pt>
              </c:strCache>
            </c:strRef>
          </c:cat>
          <c:val>
            <c:numRef>
              <c:f>'Football Field Analysis'!$F$3:$F$9</c:f>
              <c:numCache>
                <c:formatCode>0.00</c:formatCode>
                <c:ptCount val="7"/>
                <c:pt idx="0">
                  <c:v>92.55</c:v>
                </c:pt>
                <c:pt idx="1">
                  <c:v>134.02000000000001</c:v>
                </c:pt>
                <c:pt idx="2" formatCode="General">
                  <c:v>184.30625083072678</c:v>
                </c:pt>
                <c:pt idx="3" formatCode="General">
                  <c:v>183.08062002240482</c:v>
                </c:pt>
                <c:pt idx="4" formatCode="0.0">
                  <c:v>125</c:v>
                </c:pt>
                <c:pt idx="5" formatCode="0.0">
                  <c:v>117</c:v>
                </c:pt>
                <c:pt idx="6">
                  <c:v>112.55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5B-4B65-AF91-059E88A74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646864"/>
        <c:axId val="160647824"/>
      </c:barChart>
      <c:catAx>
        <c:axId val="160646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47824"/>
        <c:crosses val="autoZero"/>
        <c:auto val="1"/>
        <c:lblAlgn val="ctr"/>
        <c:lblOffset val="100"/>
        <c:noMultiLvlLbl val="0"/>
      </c:catAx>
      <c:valAx>
        <c:axId val="16064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4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317500</xdr:colOff>
      <xdr:row>15</xdr:row>
      <xdr:rowOff>46790</xdr:rowOff>
    </xdr:from>
    <xdr:to>
      <xdr:col>4</xdr:col>
      <xdr:colOff>1122947</xdr:colOff>
      <xdr:row>26</xdr:row>
      <xdr:rowOff>27698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BC58FD-0ADF-03D8-40D2-0064BB136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46789</xdr:colOff>
      <xdr:row>15</xdr:row>
      <xdr:rowOff>40105</xdr:rowOff>
    </xdr:from>
    <xdr:to>
      <xdr:col>7</xdr:col>
      <xdr:colOff>808789</xdr:colOff>
      <xdr:row>25</xdr:row>
      <xdr:rowOff>140369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6D4B0D-86ED-4E46-87FE-D2B4FBF2D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287421</xdr:colOff>
      <xdr:row>15</xdr:row>
      <xdr:rowOff>60158</xdr:rowOff>
    </xdr:from>
    <xdr:to>
      <xdr:col>2</xdr:col>
      <xdr:colOff>150394</xdr:colOff>
      <xdr:row>26</xdr:row>
      <xdr:rowOff>41066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A5F477-4EC0-47BB-8501-1EE706A64D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387684</xdr:colOff>
      <xdr:row>28</xdr:row>
      <xdr:rowOff>73526</xdr:rowOff>
    </xdr:from>
    <xdr:to>
      <xdr:col>2</xdr:col>
      <xdr:colOff>106947</xdr:colOff>
      <xdr:row>39</xdr:row>
      <xdr:rowOff>41066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9D268E-D5C8-4505-A432-6A27D6394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367632</xdr:colOff>
      <xdr:row>28</xdr:row>
      <xdr:rowOff>106947</xdr:rowOff>
    </xdr:from>
    <xdr:to>
      <xdr:col>4</xdr:col>
      <xdr:colOff>1096210</xdr:colOff>
      <xdr:row>39</xdr:row>
      <xdr:rowOff>74487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831AB5-5D7A-4052-B1FD-8A1FFE8F3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73528</xdr:colOff>
      <xdr:row>28</xdr:row>
      <xdr:rowOff>133684</xdr:rowOff>
    </xdr:from>
    <xdr:to>
      <xdr:col>7</xdr:col>
      <xdr:colOff>822158</xdr:colOff>
      <xdr:row>39</xdr:row>
      <xdr:rowOff>94541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0D2811-5091-4FD9-A080-83DD403A68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D676FB08-B45C-49DC-AAE0-24FDE317A09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0" y="4921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EE70E277-07CD-4FE5-97D4-F5A64E86A66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19700" y="1870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8FAFCCA4-3623-4582-83FD-1D39E99502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0" y="4921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229F6C81-EB71-47BA-8241-A38EB3A78B8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19700" y="1870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804B7A36-8CDA-450F-B1A2-4739688028C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0" y="4921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C3A7CD6A-EF58-47E6-88FF-78D15852268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19700" y="1870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E0678CBD-758D-42D2-9200-229FDD58A7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0" y="4921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F7618615-28DA-4E51-9A6B-8FD1E54CBCE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19700" y="1870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B34A8276-BAE1-4011-8F95-0BA7136BD8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0" y="4921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4EAA67F0-BD8F-4384-BE17-7BD3CE281F5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19700" y="1870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17404A31-318E-497B-AF95-03BF89EA9F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0" y="4921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06E7EA55-40D4-4C41-BC12-CD8689EE316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19700" y="1870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703F6A88-3787-4141-974D-A99B387A98A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0" y="4921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29914C4D-B5CC-427E-91C4-2AC3ADCFC25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19700" y="1870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EA0FA22D-A9C6-46F4-B782-A24BAED6FC3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0" y="4921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E05198E1-0843-4B9B-804B-47A098F9661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19700" y="1870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15B3BA78-162C-41F8-99EA-F20CA464E9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0" y="4921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CA9A537C-0C16-43F3-93F5-575AB13F605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19700" y="18700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AEE5300A-00AB-4706-8AE5-51D432030B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15250" y="492125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B1EA4F6C-7DE0-4E2B-BCC4-261A9CEE9F6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19700" y="18700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481702</xdr:colOff>
      <xdr:row>2</xdr:row>
      <xdr:rowOff>1026</xdr:rowOff>
    </xdr:from>
    <xdr:to>
      <xdr:col>14</xdr:col>
      <xdr:colOff>178954</xdr:colOff>
      <xdr:row>16</xdr:row>
      <xdr:rowOff>140084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1DB299-0D36-A2D0-0FDE-A45D88802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0.57789</cdr:x>
      <cdr:y>0.14946</cdr:y>
    </cdr:from>
    <cdr:to>
      <cdr:x>0.58323</cdr:x>
      <cdr:y>0.91869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7342D41F-6960-4B8E-9704-E5E52093BBF3}"/>
            </a:ext>
          </a:extLst>
        </cdr:cNvPr>
        <cdr:cNvCxnSpPr/>
      </cdr:nvCxnSpPr>
      <cdr:spPr>
        <a:xfrm xmlns:a="http://schemas.openxmlformats.org/drawingml/2006/main">
          <a:off x="2642113" y="409992"/>
          <a:ext cx="24423" cy="2110154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0.38148</cdr:x>
      <cdr:y>0.15881</cdr:y>
    </cdr:from>
    <cdr:to>
      <cdr:x>0.38682</cdr:x>
      <cdr:y>0.92804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0E76466-9D94-4565-9173-D11FC7CF766D}"/>
            </a:ext>
          </a:extLst>
        </cdr:cNvPr>
        <cdr:cNvCxnSpPr/>
      </cdr:nvCxnSpPr>
      <cdr:spPr>
        <a:xfrm xmlns:a="http://schemas.openxmlformats.org/drawingml/2006/main">
          <a:off x="1744134" y="435649"/>
          <a:ext cx="24423" cy="2110153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0.45443</cdr:x>
      <cdr:y>0.15413</cdr:y>
    </cdr:from>
    <cdr:to>
      <cdr:x>0.45978</cdr:x>
      <cdr:y>0.92336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AD23CD0F-D12E-49F0-AED5-91353457728F}"/>
            </a:ext>
          </a:extLst>
        </cdr:cNvPr>
        <cdr:cNvCxnSpPr/>
      </cdr:nvCxnSpPr>
      <cdr:spPr>
        <a:xfrm xmlns:a="http://schemas.openxmlformats.org/drawingml/2006/main">
          <a:off x="2077669" y="422820"/>
          <a:ext cx="24423" cy="2110153"/>
        </a:xfrm>
        <a:prstGeom xmlns:a="http://schemas.openxmlformats.org/drawingml/2006/main" prst="line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CC0198-1C5A-4762-A04C-5EA37D7C0359}" name="Table4" displayName="Table4" ref="A15:B16" headerRowCount="0" totalsRowShown="0">
  <tableColumns count="2">
    <tableColumn id="1" xr3:uid="{5C9A789A-C014-4089-A184-FC2A8D709AB8}" name="Column1" headerRowDxfId="17" dataDxfId="16"/>
    <tableColumn id="2" xr3:uid="{00B49532-1F97-440E-A04F-92FCD65E7159}" name="Column2" headerRowDxfId="15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E42DEB-28F6-4328-B12F-71BCB4883703}" name="Table5" displayName="Table5" ref="K22:M284" totalsRowShown="0" tableBorderDxfId="14">
  <autoFilter ref="K22:M284" xr:uid="{3EE42DEB-28F6-4328-B12F-71BCB4883703}"/>
  <tableColumns count="3">
    <tableColumn id="1" xr3:uid="{E6D730D5-E140-427B-8C11-929E5B1CADE2}" name="Date" dataDxfId="13"/>
    <tableColumn id="2" xr3:uid="{D9FAF310-28CE-48BF-91E2-5B539F531B5D}" name="Price"/>
    <tableColumn id="3" xr3:uid="{46F9CFBB-FA79-4021-9858-AFE7766C582A}" name="Return" dataDxfId="12">
      <calculatedColumnFormula>Table5[[#This Row],[Price]]/L24-1</calculatedColumnFormula>
    </tableColumn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982FAE-B9B5-4A25-BB19-D3FC8AD95C1F}" name="Table6" displayName="Table6" ref="P22:R284" totalsRowShown="0">
  <autoFilter ref="P22:R284" xr:uid="{8C982FAE-B9B5-4A25-BB19-D3FC8AD95C1F}"/>
  <tableColumns count="3">
    <tableColumn id="1" xr3:uid="{78E1F8F8-DFA4-4874-86B5-6B48206FE22C}" name="Date"/>
    <tableColumn id="2" xr3:uid="{07787154-F7BB-41A0-BE95-0F28A2E8A96C}" name="Price"/>
    <tableColumn id="3" xr3:uid="{C9FCC06B-078B-4C18-BF34-EC27D5548297}" name="Return" dataDxfId="11">
      <calculatedColumnFormula>Table6[[#This Row],[Price]]/Q24-1</calculatedColumnFormula>
    </tableColumn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B45DED-0C33-4724-AB6D-D1CC6101DE0D}" name="Table8" displayName="Table8" ref="U22:W284" totalsRowShown="0">
  <autoFilter ref="U22:W284" xr:uid="{7EB45DED-0C33-4724-AB6D-D1CC6101DE0D}"/>
  <tableColumns count="3">
    <tableColumn id="1" xr3:uid="{8BD1B267-D4DA-4852-B47C-42C31B743E56}" name="Date" dataDxfId="10"/>
    <tableColumn id="2" xr3:uid="{D75E33FD-0C30-4B4B-8F76-CBA5F549B3E7}" name="Price"/>
    <tableColumn id="3" xr3:uid="{0171F7C7-2683-43A3-82CC-25C024E6D854}" name="Return" dataDxfId="9">
      <calculatedColumnFormula>Table8[[#This Row],[Price]]/V24-1</calculatedColumnFormula>
    </tableColumn>
  </tableColumns>
  <tableStyleInfo name="TableStyleMedium2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6CCD45-E9A8-4C01-AE2E-557E55B864E5}" name="Table9" displayName="Table9" ref="Z22:AB284" totalsRowShown="0">
  <autoFilter ref="Z22:AB284" xr:uid="{F96CCD45-E9A8-4C01-AE2E-557E55B864E5}"/>
  <tableColumns count="3">
    <tableColumn id="1" xr3:uid="{3FE20F6F-F1C9-4364-B31C-665837F687B2}" name="Date" dataDxfId="8"/>
    <tableColumn id="2" xr3:uid="{4FE5EAA5-A8E0-4576-A8E3-7BBC3054D171}" name="Price"/>
    <tableColumn id="3" xr3:uid="{177FF890-E38B-42D1-9F66-835BB486F7D7}" name="Return" dataDxfId="7">
      <calculatedColumnFormula>Table9[[#This Row],[Price]]/AA24-1</calculatedColumnFormula>
    </tableColumn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9DA272-6629-42F0-9051-B5B0120164BF}" name="Table10" displayName="Table10" ref="AE22:AG284" totalsRowShown="0">
  <autoFilter ref="AE22:AG284" xr:uid="{979DA272-6629-42F0-9051-B5B0120164BF}"/>
  <tableColumns count="3">
    <tableColumn id="1" xr3:uid="{D270382E-C363-4A71-8B69-4A94192FEBC1}" name="Date"/>
    <tableColumn id="2" xr3:uid="{8B9A6A2E-FE93-4318-9085-F4CF1EEEAD1B}" name="Price"/>
    <tableColumn id="3" xr3:uid="{80DAA0E1-7045-4619-8D60-812B61DE63B8}" name="Return" dataDxfId="6">
      <calculatedColumnFormula>Table10[[#This Row],[Price]]/AF24-1</calculatedColumnFormula>
    </tableColumn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9394F0-2C57-4A27-AB62-6913D3BEF932}" name="Table2" displayName="Table2" ref="F22:H284" totalsRowShown="0">
  <autoFilter ref="F22:H284" xr:uid="{999394F0-2C57-4A27-AB62-6913D3BEF932}"/>
  <tableColumns count="3">
    <tableColumn id="1" xr3:uid="{B49488EC-2B5B-4B01-AEDB-42E97A95AE68}" name="Date" dataDxfId="5"/>
    <tableColumn id="2" xr3:uid="{BCDDB077-B8F8-4CCC-A395-DF6FB3F34CC6}" name="Price" dataDxfId="4"/>
    <tableColumn id="3" xr3:uid="{6EBF5C38-43D5-4AA0-BD6D-37A2935C8538}" name="Return" dataDxfId="3">
      <calculatedColumnFormula>Table2[[#This Row],[Price]]/G24-1</calculatedColumnFormula>
    </tableColumn>
  </tableColumns>
  <tableStyleInfo name="TableStyleMedium2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114DE-E9A7-48A7-8753-E5BC56021A50}" name="Table1" displayName="Table1" ref="A22:C284" totalsRowShown="0" headerRowDxfId="2">
  <autoFilter ref="A22:C284" xr:uid="{B31114DE-E9A7-48A7-8753-E5BC56021A50}"/>
  <tableColumns count="3">
    <tableColumn id="1" xr3:uid="{E92EF285-30CE-4A9D-8D93-E749169B4F73}" name="Date" dataDxfId="1"/>
    <tableColumn id="2" xr3:uid="{22E201AE-1A2D-49E4-882E-298449E61636}" name="Price"/>
    <tableColumn id="3" xr3:uid="{23791BDD-BC34-4981-9BB6-1D1749FD78BF}" name="Return" dataDxfId="0">
      <calculatedColumnFormula>B23/B24-1</calculatedColumnFormula>
    </tableColumn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3410-D293-401D-BC33-E99C86D40795}">
  <dimension ref="A1:N21"/>
  <sheetViews>
    <sheetView showGridLines="0" zoomScale="82" zoomScaleNormal="82" workbookViewId="0">
      <pane xSplit="8" topLeftCell="I1" activePane="topRight" state="frozen"/>
      <selection pane="topRight" activeCell="D25" sqref="D25"/>
    </sheetView>
  </sheetViews>
  <sheetFormatPr defaultRowHeight="14.5"/>
  <cols>
    <col min="1" max="1" width="35.36328125" customWidth="1"/>
    <col min="2" max="2" width="12.36328125" customWidth="1"/>
    <col min="3" max="7" width="13.81640625" customWidth="1"/>
    <col min="8" max="8" width="13.453125" customWidth="1"/>
    <col min="9" max="14" width="12.54296875" customWidth="1"/>
  </cols>
  <sheetData>
    <row r="1" spans="1:14">
      <c r="A1" s="71" t="s">
        <v>19</v>
      </c>
    </row>
    <row r="2" spans="1:14">
      <c r="A2" s="75" t="s">
        <v>196</v>
      </c>
    </row>
    <row r="3" spans="1:14">
      <c r="A3" s="1" t="s">
        <v>0</v>
      </c>
      <c r="B3" s="5"/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72" t="s">
        <v>7</v>
      </c>
      <c r="J3" s="72" t="s">
        <v>7</v>
      </c>
      <c r="K3" s="72" t="s">
        <v>7</v>
      </c>
      <c r="L3" s="72" t="s">
        <v>7</v>
      </c>
      <c r="M3" s="73">
        <v>12</v>
      </c>
      <c r="N3" s="73">
        <v>12</v>
      </c>
    </row>
    <row r="4" spans="1:14">
      <c r="A4" s="2"/>
      <c r="B4" s="5"/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112" t="s">
        <v>13</v>
      </c>
      <c r="I4" s="74" t="s">
        <v>14</v>
      </c>
      <c r="J4" s="74" t="s">
        <v>15</v>
      </c>
      <c r="K4" s="74" t="s">
        <v>16</v>
      </c>
      <c r="L4" s="74" t="s">
        <v>17</v>
      </c>
      <c r="M4" s="74" t="s">
        <v>18</v>
      </c>
      <c r="N4" s="74" t="s">
        <v>246</v>
      </c>
    </row>
    <row r="5" spans="1:14">
      <c r="A5" s="6" t="s">
        <v>1</v>
      </c>
      <c r="C5">
        <v>18130.400000000001</v>
      </c>
      <c r="D5">
        <v>16296.2</v>
      </c>
      <c r="E5">
        <v>20447.900000000001</v>
      </c>
      <c r="F5">
        <v>23370.799999999999</v>
      </c>
      <c r="G5" s="12">
        <v>26569.599999999999</v>
      </c>
      <c r="H5" s="11">
        <v>27009.5</v>
      </c>
      <c r="I5" s="82">
        <f t="shared" ref="I5:M5" si="0">H5*($H$6+1)</f>
        <v>27456.683211264004</v>
      </c>
      <c r="J5" s="82">
        <f t="shared" si="0"/>
        <v>27911.270218393773</v>
      </c>
      <c r="K5" s="82">
        <f t="shared" si="0"/>
        <v>28373.383602451926</v>
      </c>
      <c r="L5" s="82">
        <f t="shared" si="0"/>
        <v>28843.14797401637</v>
      </c>
      <c r="M5" s="82">
        <f t="shared" si="0"/>
        <v>29320.690006782006</v>
      </c>
      <c r="N5" s="82">
        <f t="shared" ref="N5" si="1">M5*($H$6+1)</f>
        <v>29806.138471718758</v>
      </c>
    </row>
    <row r="6" spans="1:14" ht="13" customHeight="1">
      <c r="A6" s="7" t="s">
        <v>2</v>
      </c>
      <c r="C6" s="8" t="s">
        <v>20</v>
      </c>
      <c r="D6" s="9">
        <f>D5/C5-1</f>
        <v>-0.1011671005603848</v>
      </c>
      <c r="E6" s="9">
        <f>E5/D5-1</f>
        <v>0.25476491451994954</v>
      </c>
      <c r="F6" s="9">
        <f>F5/E5-1</f>
        <v>0.1429437741772992</v>
      </c>
      <c r="G6" s="9">
        <f>G5/F5-1</f>
        <v>0.13687165180481631</v>
      </c>
      <c r="H6" s="9">
        <f t="shared" ref="H6" si="2">H5/G5-1</f>
        <v>1.6556515717210729E-2</v>
      </c>
      <c r="I6" s="81">
        <f t="shared" ref="I6:N6" si="3">AVERAGE($C$6:$G$6)</f>
        <v>0.10835330998542006</v>
      </c>
      <c r="J6" s="81">
        <f t="shared" si="3"/>
        <v>0.10835330998542006</v>
      </c>
      <c r="K6" s="81">
        <f t="shared" si="3"/>
        <v>0.10835330998542006</v>
      </c>
      <c r="L6" s="81">
        <f t="shared" si="3"/>
        <v>0.10835330998542006</v>
      </c>
      <c r="M6" s="81">
        <f t="shared" si="3"/>
        <v>0.10835330998542006</v>
      </c>
      <c r="N6" s="81">
        <f t="shared" si="3"/>
        <v>0.10835330998542006</v>
      </c>
    </row>
    <row r="8" spans="1:14">
      <c r="A8" s="6" t="s">
        <v>3</v>
      </c>
      <c r="C8">
        <v>6319.3</v>
      </c>
      <c r="D8">
        <v>5230.6000000000004</v>
      </c>
      <c r="E8">
        <v>6921.6</v>
      </c>
      <c r="F8">
        <v>6940.1</v>
      </c>
      <c r="G8">
        <v>7487.6</v>
      </c>
      <c r="H8" s="11">
        <v>7338.9</v>
      </c>
      <c r="I8" s="80">
        <f t="shared" ref="I8:M8" si="4">H8*($H$9+1)</f>
        <v>7193.1531078049029</v>
      </c>
      <c r="J8" s="80">
        <f t="shared" si="4"/>
        <v>7050.3006761671822</v>
      </c>
      <c r="K8" s="80">
        <f t="shared" si="4"/>
        <v>6910.2852225443839</v>
      </c>
      <c r="L8" s="80">
        <f t="shared" si="4"/>
        <v>6773.0504059686646</v>
      </c>
      <c r="M8" s="80">
        <f t="shared" si="4"/>
        <v>6638.541004375692</v>
      </c>
      <c r="N8" s="80">
        <f t="shared" ref="N8" si="5">M8*($H$9+1)</f>
        <v>6506.7028923837761</v>
      </c>
    </row>
    <row r="9" spans="1:14" ht="13" customHeight="1">
      <c r="A9" s="7" t="s">
        <v>2</v>
      </c>
      <c r="C9" s="8" t="s">
        <v>20</v>
      </c>
      <c r="D9" s="9">
        <f>D8/C8-1</f>
        <v>-0.17228174006614649</v>
      </c>
      <c r="E9" s="9">
        <f>E8/D8-1</f>
        <v>0.32328987114288998</v>
      </c>
      <c r="F9" s="9">
        <f>F8/E8-1</f>
        <v>2.6727924179379414E-3</v>
      </c>
      <c r="G9" s="9">
        <f>G8/F8-1</f>
        <v>7.8889353179349087E-2</v>
      </c>
      <c r="H9" s="9">
        <f t="shared" ref="H9" si="6">H8/G8-1</f>
        <v>-1.9859501041722405E-2</v>
      </c>
      <c r="I9" s="81">
        <f t="shared" ref="I9:N9" si="7">AVERAGE($C$9:$G$9)</f>
        <v>5.814256916850763E-2</v>
      </c>
      <c r="J9" s="81">
        <f t="shared" si="7"/>
        <v>5.814256916850763E-2</v>
      </c>
      <c r="K9" s="81">
        <f t="shared" si="7"/>
        <v>5.814256916850763E-2</v>
      </c>
      <c r="L9" s="81">
        <f t="shared" si="7"/>
        <v>5.814256916850763E-2</v>
      </c>
      <c r="M9" s="81">
        <f t="shared" si="7"/>
        <v>5.814256916850763E-2</v>
      </c>
      <c r="N9" s="81">
        <f t="shared" si="7"/>
        <v>5.814256916850763E-2</v>
      </c>
    </row>
    <row r="11" spans="1:14">
      <c r="A11" s="6" t="s">
        <v>4</v>
      </c>
      <c r="C11">
        <v>1992.6</v>
      </c>
      <c r="D11">
        <v>1925</v>
      </c>
      <c r="E11">
        <v>1593.6</v>
      </c>
      <c r="F11">
        <v>1843.6</v>
      </c>
      <c r="G11">
        <v>1893.8</v>
      </c>
      <c r="H11" s="11">
        <v>1769.8</v>
      </c>
      <c r="I11" s="80">
        <f t="shared" ref="I11:M11" si="8">H11*($H$12+1)</f>
        <v>1653.9191255676417</v>
      </c>
      <c r="J11" s="80">
        <f t="shared" si="8"/>
        <v>1545.6257621869322</v>
      </c>
      <c r="K11" s="80">
        <f t="shared" si="8"/>
        <v>1444.4231037693698</v>
      </c>
      <c r="L11" s="80">
        <f t="shared" si="8"/>
        <v>1349.8468735088345</v>
      </c>
      <c r="M11" s="80">
        <f t="shared" si="8"/>
        <v>1261.4631939676499</v>
      </c>
      <c r="N11" s="80">
        <f t="shared" ref="N11" si="9">M11*($H$12+1)</f>
        <v>1178.8665966226351</v>
      </c>
    </row>
    <row r="12" spans="1:14" ht="13" customHeight="1">
      <c r="A12" s="7" t="s">
        <v>2</v>
      </c>
      <c r="C12" s="8" t="s">
        <v>20</v>
      </c>
      <c r="D12" s="9">
        <f>D11/C11-1</f>
        <v>-3.3925524440429511E-2</v>
      </c>
      <c r="E12" s="9">
        <f>E11/D11-1</f>
        <v>-0.17215584415584417</v>
      </c>
      <c r="F12" s="9">
        <f>F11/E11-1</f>
        <v>0.15687751004016071</v>
      </c>
      <c r="G12" s="9">
        <f>G11/F11-1</f>
        <v>2.7229333911911402E-2</v>
      </c>
      <c r="H12" s="9">
        <f t="shared" ref="H12" si="10">H11/G11-1</f>
        <v>-6.5476819093885363E-2</v>
      </c>
      <c r="I12" s="81">
        <f t="shared" ref="I12:N12" si="11">AVERAGE($C$12:$G$12)</f>
        <v>-5.4936311610503941E-3</v>
      </c>
      <c r="J12" s="81">
        <f t="shared" si="11"/>
        <v>-5.4936311610503941E-3</v>
      </c>
      <c r="K12" s="81">
        <f t="shared" si="11"/>
        <v>-5.4936311610503941E-3</v>
      </c>
      <c r="L12" s="81">
        <f t="shared" si="11"/>
        <v>-5.4936311610503941E-3</v>
      </c>
      <c r="M12" s="81">
        <f t="shared" si="11"/>
        <v>-5.4936311610503941E-3</v>
      </c>
      <c r="N12" s="81">
        <f t="shared" si="11"/>
        <v>-5.4936311610503941E-3</v>
      </c>
    </row>
    <row r="14" spans="1:14">
      <c r="A14" s="6" t="s">
        <v>5</v>
      </c>
      <c r="C14">
        <v>66.3</v>
      </c>
      <c r="D14">
        <v>66.2</v>
      </c>
      <c r="E14">
        <v>97.5</v>
      </c>
      <c r="F14">
        <v>95.8</v>
      </c>
      <c r="G14">
        <v>24.6</v>
      </c>
      <c r="H14" s="11">
        <v>58</v>
      </c>
      <c r="I14" s="83">
        <f t="shared" ref="I14:M14" si="12">H14*($H$15+1)</f>
        <v>136.74796747967477</v>
      </c>
      <c r="J14" s="83">
        <f t="shared" si="12"/>
        <v>322.41390706589982</v>
      </c>
      <c r="K14" s="83">
        <f t="shared" si="12"/>
        <v>760.16287031797515</v>
      </c>
      <c r="L14" s="83">
        <f t="shared" si="12"/>
        <v>1792.2539218879087</v>
      </c>
      <c r="M14" s="83">
        <f t="shared" si="12"/>
        <v>4225.6393280284019</v>
      </c>
      <c r="N14" s="83">
        <f t="shared" ref="N14" si="13">M14*($H$15+1)</f>
        <v>9962.8894725872888</v>
      </c>
    </row>
    <row r="15" spans="1:14" ht="13.5" customHeight="1">
      <c r="A15" s="7" t="s">
        <v>2</v>
      </c>
      <c r="C15" s="8" t="s">
        <v>20</v>
      </c>
      <c r="D15" s="9">
        <f>D14/C14-1</f>
        <v>-1.5082956259425684E-3</v>
      </c>
      <c r="E15" s="9">
        <f>E14/D14-1</f>
        <v>0.47280966767371591</v>
      </c>
      <c r="F15" s="9">
        <f>F14/E14-1</f>
        <v>-1.7435897435897463E-2</v>
      </c>
      <c r="G15" s="9">
        <f>G14/F14-1</f>
        <v>-0.74321503131524014</v>
      </c>
      <c r="H15" s="9">
        <f t="shared" ref="H15" si="14">H14/G14-1</f>
        <v>1.3577235772357721</v>
      </c>
      <c r="I15" s="81">
        <f t="shared" ref="I15:N15" si="15">AVERAGE($C$15:$G$15)</f>
        <v>-7.2337389175841066E-2</v>
      </c>
      <c r="J15" s="81">
        <f t="shared" si="15"/>
        <v>-7.2337389175841066E-2</v>
      </c>
      <c r="K15" s="81">
        <f t="shared" si="15"/>
        <v>-7.2337389175841066E-2</v>
      </c>
      <c r="L15" s="81">
        <f t="shared" si="15"/>
        <v>-7.2337389175841066E-2</v>
      </c>
      <c r="M15" s="81">
        <f t="shared" si="15"/>
        <v>-7.2337389175841066E-2</v>
      </c>
      <c r="N15" s="81">
        <f t="shared" si="15"/>
        <v>-7.2337389175841066E-2</v>
      </c>
    </row>
    <row r="17" spans="1:14" s="14" customFormat="1" ht="15" thickBot="1">
      <c r="A17" s="13" t="s">
        <v>6</v>
      </c>
      <c r="C17" s="15">
        <f t="shared" ref="C17:N17" si="16">C5+C8+C11+C14</f>
        <v>26508.6</v>
      </c>
      <c r="D17" s="15">
        <f t="shared" si="16"/>
        <v>23518.000000000004</v>
      </c>
      <c r="E17" s="15">
        <f t="shared" si="16"/>
        <v>29060.6</v>
      </c>
      <c r="F17" s="15">
        <f t="shared" si="16"/>
        <v>32250.3</v>
      </c>
      <c r="G17" s="15">
        <f t="shared" si="16"/>
        <v>35975.599999999999</v>
      </c>
      <c r="H17" s="113">
        <f t="shared" si="16"/>
        <v>36176.200000000004</v>
      </c>
      <c r="I17" s="84">
        <f t="shared" si="16"/>
        <v>36440.503412116224</v>
      </c>
      <c r="J17" s="84">
        <f t="shared" si="16"/>
        <v>36829.610563813781</v>
      </c>
      <c r="K17" s="84">
        <f t="shared" si="16"/>
        <v>37488.254799083654</v>
      </c>
      <c r="L17" s="84">
        <f t="shared" si="16"/>
        <v>38758.299175381777</v>
      </c>
      <c r="M17" s="84">
        <f t="shared" si="16"/>
        <v>41446.333533153746</v>
      </c>
      <c r="N17" s="84">
        <f t="shared" si="16"/>
        <v>47454.597433312454</v>
      </c>
    </row>
    <row r="21" spans="1:14">
      <c r="H2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155A-C04D-4783-9003-E084AADCCFA9}">
  <dimension ref="A1:N60"/>
  <sheetViews>
    <sheetView showGridLines="0" zoomScale="72" zoomScaleNormal="72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J55" sqref="J55"/>
    </sheetView>
  </sheetViews>
  <sheetFormatPr defaultRowHeight="14.5"/>
  <cols>
    <col min="1" max="1" width="46.90625" customWidth="1"/>
    <col min="2" max="2" width="10.26953125" customWidth="1"/>
    <col min="3" max="7" width="12.36328125" customWidth="1"/>
    <col min="8" max="13" width="12.81640625" customWidth="1"/>
    <col min="14" max="14" width="13.54296875" customWidth="1"/>
  </cols>
  <sheetData>
    <row r="1" spans="1:14">
      <c r="A1" s="71" t="s">
        <v>19</v>
      </c>
    </row>
    <row r="2" spans="1:14">
      <c r="A2" s="75" t="s">
        <v>196</v>
      </c>
    </row>
    <row r="3" spans="1:14">
      <c r="A3" s="1" t="s">
        <v>0</v>
      </c>
      <c r="B3" s="5"/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72" t="s">
        <v>7</v>
      </c>
      <c r="J3" s="72" t="s">
        <v>7</v>
      </c>
      <c r="K3" s="72" t="s">
        <v>7</v>
      </c>
      <c r="L3" s="72" t="s">
        <v>7</v>
      </c>
      <c r="M3" s="73">
        <v>12</v>
      </c>
      <c r="N3" s="73">
        <v>12</v>
      </c>
    </row>
    <row r="4" spans="1:14">
      <c r="A4" s="2"/>
      <c r="B4" s="5"/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112" t="s">
        <v>13</v>
      </c>
      <c r="I4" s="74" t="s">
        <v>14</v>
      </c>
      <c r="J4" s="74" t="s">
        <v>15</v>
      </c>
      <c r="K4" s="74" t="s">
        <v>16</v>
      </c>
      <c r="L4" s="74" t="s">
        <v>17</v>
      </c>
      <c r="M4" s="74" t="s">
        <v>18</v>
      </c>
      <c r="N4" s="74" t="s">
        <v>246</v>
      </c>
    </row>
    <row r="5" spans="1:14">
      <c r="A5" s="6" t="s">
        <v>43</v>
      </c>
    </row>
    <row r="6" spans="1:14">
      <c r="A6" t="s">
        <v>21</v>
      </c>
      <c r="C6" s="16">
        <v>21544.400000000001</v>
      </c>
      <c r="D6" s="16">
        <v>19164.599999999999</v>
      </c>
      <c r="E6" s="16">
        <v>24607</v>
      </c>
      <c r="F6" s="16">
        <v>26576.1</v>
      </c>
      <c r="G6" s="16">
        <v>29462.3</v>
      </c>
      <c r="H6" s="16">
        <v>29765.9</v>
      </c>
    </row>
    <row r="7" spans="1:14">
      <c r="A7" t="s">
        <v>22</v>
      </c>
      <c r="C7" s="16">
        <v>2875</v>
      </c>
      <c r="D7" s="16">
        <v>2327.1</v>
      </c>
      <c r="E7" s="16">
        <v>2683.6</v>
      </c>
      <c r="F7" s="16">
        <v>3655.5</v>
      </c>
      <c r="G7" s="16">
        <v>4512.7</v>
      </c>
      <c r="H7" s="16">
        <v>4505.1000000000004</v>
      </c>
    </row>
    <row r="8" spans="1:14">
      <c r="A8" t="s">
        <v>23</v>
      </c>
      <c r="C8" s="16">
        <v>2089.1999999999998</v>
      </c>
      <c r="D8" s="16">
        <v>2026.3</v>
      </c>
      <c r="E8" s="16">
        <v>1770</v>
      </c>
      <c r="F8" s="16">
        <v>2018.7</v>
      </c>
      <c r="G8" s="16">
        <v>2000.6</v>
      </c>
      <c r="H8" s="16">
        <v>1905.2</v>
      </c>
    </row>
    <row r="9" spans="1:14" ht="15" thickBot="1">
      <c r="A9" s="15" t="s">
        <v>218</v>
      </c>
      <c r="B9" s="14"/>
      <c r="C9" s="18">
        <f>SUM(C6:C8)</f>
        <v>26508.600000000002</v>
      </c>
      <c r="D9" s="18">
        <f t="shared" ref="D9:H9" si="0">SUM(D6:D8)</f>
        <v>23517.999999999996</v>
      </c>
      <c r="E9" s="18">
        <f t="shared" si="0"/>
        <v>29060.6</v>
      </c>
      <c r="F9" s="18">
        <f t="shared" si="0"/>
        <v>32250.3</v>
      </c>
      <c r="G9" s="18">
        <f t="shared" si="0"/>
        <v>35975.599999999999</v>
      </c>
      <c r="H9" s="18">
        <f t="shared" si="0"/>
        <v>36176.199999999997</v>
      </c>
      <c r="I9" s="88">
        <f>'Revenue Segment'!I17</f>
        <v>36440.503412116224</v>
      </c>
      <c r="J9" s="88">
        <f>'Revenue Segment'!J17</f>
        <v>36829.610563813781</v>
      </c>
      <c r="K9" s="88">
        <f>'Revenue Segment'!K17</f>
        <v>37488.254799083654</v>
      </c>
      <c r="L9" s="88">
        <f>'Revenue Segment'!L17</f>
        <v>38758.299175381777</v>
      </c>
      <c r="M9" s="88">
        <f>'Revenue Segment'!M17</f>
        <v>41446.333533153746</v>
      </c>
      <c r="N9" s="88">
        <f>'Revenue Segment'!N17</f>
        <v>47454.597433312454</v>
      </c>
    </row>
    <row r="10" spans="1:14">
      <c r="A10" t="s">
        <v>219</v>
      </c>
      <c r="C10" s="16">
        <v>8526.9</v>
      </c>
      <c r="D10" s="16">
        <v>7694.9</v>
      </c>
      <c r="E10" s="16">
        <v>8738.7000000000007</v>
      </c>
      <c r="F10" s="16">
        <v>10317.4</v>
      </c>
      <c r="G10" s="16">
        <v>11409.1</v>
      </c>
      <c r="H10" s="16">
        <v>11180.6</v>
      </c>
      <c r="I10" s="83">
        <f>$I$9*I50</f>
        <v>11471.531629840632</v>
      </c>
      <c r="J10" s="83">
        <f>$J$9*J50</f>
        <v>11502.757525154999</v>
      </c>
      <c r="K10" s="83">
        <f>$K$9*K50</f>
        <v>11795.571758002636</v>
      </c>
      <c r="L10" s="83">
        <f>$L$9*L50</f>
        <v>12154.341951701899</v>
      </c>
      <c r="M10" s="83">
        <f t="shared" ref="M10:N12" si="1">$M$9*M50</f>
        <v>12967.938187878452</v>
      </c>
      <c r="N10" s="83">
        <f t="shared" si="1"/>
        <v>12999.648808516049</v>
      </c>
    </row>
    <row r="11" spans="1:14">
      <c r="A11" t="s">
        <v>220</v>
      </c>
      <c r="C11" s="16">
        <v>10493.6</v>
      </c>
      <c r="D11" s="16">
        <v>10764</v>
      </c>
      <c r="E11" s="16">
        <v>11930.9</v>
      </c>
      <c r="F11" s="16">
        <v>13561.8</v>
      </c>
      <c r="G11" s="16">
        <v>14720.3</v>
      </c>
      <c r="H11" s="16">
        <v>15286.5</v>
      </c>
      <c r="I11" s="83">
        <f>$I$9*I51</f>
        <v>15454.365034681032</v>
      </c>
      <c r="J11" s="83">
        <f>$J$9*J51</f>
        <v>15371.938300221056</v>
      </c>
      <c r="K11" s="83">
        <f>$K$9*K51</f>
        <v>15698.0329451212</v>
      </c>
      <c r="L11" s="83">
        <f>$L$9*L51</f>
        <v>16216.124887638469</v>
      </c>
      <c r="M11" s="83">
        <f t="shared" si="1"/>
        <v>17417.172247931056</v>
      </c>
      <c r="N11" s="83">
        <f t="shared" si="1"/>
        <v>17397.920525091449</v>
      </c>
    </row>
    <row r="12" spans="1:14">
      <c r="A12" t="s">
        <v>221</v>
      </c>
      <c r="C12">
        <v>371</v>
      </c>
      <c r="D12">
        <v>430.3</v>
      </c>
      <c r="E12">
        <v>359.5</v>
      </c>
      <c r="F12">
        <v>461.5</v>
      </c>
      <c r="G12">
        <v>539.4</v>
      </c>
      <c r="H12" s="16">
        <v>565.6</v>
      </c>
      <c r="I12" s="83">
        <f>$I$9*I52</f>
        <v>551.0194289362604</v>
      </c>
      <c r="J12" s="83">
        <f>$J$9*J52</f>
        <v>533.5122685324958</v>
      </c>
      <c r="K12" s="83">
        <f>$K$9*K52</f>
        <v>558.91283525265192</v>
      </c>
      <c r="L12" s="83">
        <f>$L$9*L52</f>
        <v>582.49170902382093</v>
      </c>
      <c r="M12" s="83">
        <f t="shared" si="1"/>
        <v>623.18256567146136</v>
      </c>
      <c r="N12" s="83">
        <f t="shared" si="1"/>
        <v>618.21980499395602</v>
      </c>
    </row>
    <row r="13" spans="1:14">
      <c r="A13" t="s">
        <v>222</v>
      </c>
      <c r="C13" s="16">
        <v>1377.3</v>
      </c>
      <c r="D13" s="16">
        <v>1431.3</v>
      </c>
      <c r="E13" s="16">
        <v>1441.7</v>
      </c>
      <c r="F13" s="16">
        <v>1447.9</v>
      </c>
      <c r="G13" s="16">
        <v>1362.6</v>
      </c>
      <c r="H13" s="16">
        <v>1512.6</v>
      </c>
      <c r="I13" s="83">
        <f>FAS!I9+FAS!I22</f>
        <v>1428.6516828776491</v>
      </c>
      <c r="J13" s="83">
        <f>FAS!J9+FAS!J22</f>
        <v>1431.8571571556374</v>
      </c>
      <c r="K13" s="83">
        <f>FAS!K9+FAS!K22</f>
        <v>1457.1262928315293</v>
      </c>
      <c r="L13" s="83">
        <f>FAS!L9+FAS!L22</f>
        <v>1505.8305078128747</v>
      </c>
      <c r="M13" s="83">
        <f>FAS!M9+FAS!M22</f>
        <v>1611.1823134081485</v>
      </c>
      <c r="N13" s="83">
        <f>FAS!N9+FAS!N22</f>
        <v>1844.4282853808211</v>
      </c>
    </row>
    <row r="14" spans="1:14">
      <c r="A14" t="s">
        <v>223</v>
      </c>
      <c r="C14" s="16">
        <v>1824.1</v>
      </c>
      <c r="D14" s="16">
        <v>1679.6</v>
      </c>
      <c r="E14" s="16">
        <v>1932.6</v>
      </c>
      <c r="F14" s="16">
        <v>2032</v>
      </c>
      <c r="G14" s="16">
        <v>2441.3000000000002</v>
      </c>
      <c r="H14" s="16">
        <v>2523.3000000000002</v>
      </c>
      <c r="I14" s="83">
        <f>$I$9*I54</f>
        <v>2467.2944824809733</v>
      </c>
      <c r="J14" s="83">
        <f>$J$9*J54</f>
        <v>2466.3111786820728</v>
      </c>
      <c r="K14" s="83">
        <f>$K$9*K54</f>
        <v>2513.8892231679279</v>
      </c>
      <c r="L14" s="83">
        <f>$L$9*L54</f>
        <v>2630.4569886112704</v>
      </c>
      <c r="M14" s="83">
        <f>$M$9*M54</f>
        <v>2812.9582653942043</v>
      </c>
      <c r="N14" s="83">
        <f>$M$9*N54</f>
        <v>2797.3712628695994</v>
      </c>
    </row>
    <row r="15" spans="1:14">
      <c r="A15" t="s">
        <v>224</v>
      </c>
      <c r="C15">
        <v>135.80000000000001</v>
      </c>
      <c r="D15">
        <v>278.7</v>
      </c>
      <c r="E15">
        <v>170.4</v>
      </c>
      <c r="F15">
        <v>46</v>
      </c>
      <c r="G15">
        <v>21.8</v>
      </c>
      <c r="H15" s="8">
        <v>0</v>
      </c>
      <c r="I15" s="83">
        <f>$I$9*I55</f>
        <v>143.91386957158613</v>
      </c>
      <c r="J15" s="83">
        <f>$J$9*J55</f>
        <v>87.250835193357432</v>
      </c>
      <c r="K15" s="83">
        <f>$K$9*K55</f>
        <v>62.610133237088753</v>
      </c>
      <c r="L15" s="83">
        <f>$L$9*L55</f>
        <v>66.620993598086244</v>
      </c>
      <c r="M15" s="83">
        <f>$M$9*M55</f>
        <v>80.466677198332448</v>
      </c>
      <c r="N15" s="83">
        <f>$M$9*N55</f>
        <v>96.560012637998952</v>
      </c>
    </row>
    <row r="16" spans="1:14" ht="15" thickBot="1">
      <c r="A16" s="15" t="s">
        <v>225</v>
      </c>
      <c r="B16" s="14"/>
      <c r="C16" s="18">
        <f>SUM(C10:C15)</f>
        <v>22728.699999999997</v>
      </c>
      <c r="D16" s="18">
        <f t="shared" ref="D16:G16" si="2">SUM(D10:D15)</f>
        <v>22278.799999999999</v>
      </c>
      <c r="E16" s="18">
        <f t="shared" si="2"/>
        <v>24573.8</v>
      </c>
      <c r="F16" s="18">
        <f t="shared" si="2"/>
        <v>27866.6</v>
      </c>
      <c r="G16" s="18">
        <f t="shared" si="2"/>
        <v>30494.5</v>
      </c>
      <c r="H16" s="15">
        <f>SUM(H10:H15)</f>
        <v>31068.599999999995</v>
      </c>
      <c r="I16" s="85">
        <f t="shared" ref="I16:M16" si="3">SUM(I10:I15)</f>
        <v>31516.77612838813</v>
      </c>
      <c r="J16" s="85">
        <f t="shared" si="3"/>
        <v>31393.62726493962</v>
      </c>
      <c r="K16" s="85">
        <f t="shared" si="3"/>
        <v>32086.143187613034</v>
      </c>
      <c r="L16" s="85">
        <f t="shared" si="3"/>
        <v>33155.867038386423</v>
      </c>
      <c r="M16" s="85">
        <f t="shared" si="3"/>
        <v>35512.900257481655</v>
      </c>
      <c r="N16" s="85">
        <f t="shared" ref="N16" si="4">SUM(N10:N15)</f>
        <v>35754.148699489873</v>
      </c>
    </row>
    <row r="17" spans="1:14">
      <c r="A17" t="s">
        <v>226</v>
      </c>
      <c r="C17">
        <v>298</v>
      </c>
      <c r="D17">
        <v>322.5</v>
      </c>
      <c r="E17">
        <v>385.3</v>
      </c>
      <c r="F17">
        <v>234.1</v>
      </c>
      <c r="G17">
        <v>298.39999999999998</v>
      </c>
      <c r="H17" s="16">
        <v>301.2</v>
      </c>
    </row>
    <row r="18" spans="1:14">
      <c r="A18" t="s">
        <v>30</v>
      </c>
      <c r="C18">
        <v>0</v>
      </c>
      <c r="D18">
        <v>0</v>
      </c>
      <c r="E18">
        <v>0</v>
      </c>
      <c r="F18">
        <v>0</v>
      </c>
      <c r="G18">
        <v>91.3</v>
      </c>
      <c r="H18" s="8">
        <v>0</v>
      </c>
    </row>
    <row r="19" spans="1:14">
      <c r="A19" t="s">
        <v>31</v>
      </c>
      <c r="C19" s="16">
        <f>C9-C16+C17+C18</f>
        <v>4077.9000000000051</v>
      </c>
      <c r="D19" s="16">
        <f t="shared" ref="D19:F19" si="5">D9-D16+D17+D18</f>
        <v>1561.6999999999971</v>
      </c>
      <c r="E19" s="16">
        <f t="shared" si="5"/>
        <v>4872.0999999999995</v>
      </c>
      <c r="F19" s="16">
        <f t="shared" si="5"/>
        <v>4617.8000000000011</v>
      </c>
      <c r="G19" s="16">
        <f>G9-G16+G17+G18</f>
        <v>5870.7999999999984</v>
      </c>
      <c r="H19" s="16">
        <f t="shared" ref="H19" si="6">H9-H16+H17+H18</f>
        <v>5408.800000000002</v>
      </c>
      <c r="I19" s="86">
        <f t="shared" ref="I19:M19" si="7">I9-I16</f>
        <v>4923.7272837280943</v>
      </c>
      <c r="J19" s="86">
        <f t="shared" si="7"/>
        <v>5435.9832988741618</v>
      </c>
      <c r="K19" s="86">
        <f t="shared" si="7"/>
        <v>5402.1116114706201</v>
      </c>
      <c r="L19" s="86">
        <f t="shared" si="7"/>
        <v>5602.4321369953541</v>
      </c>
      <c r="M19" s="86">
        <f t="shared" si="7"/>
        <v>5933.4332756720905</v>
      </c>
      <c r="N19" s="86">
        <f t="shared" ref="N19" si="8">N9-N16</f>
        <v>11700.448733822581</v>
      </c>
    </row>
    <row r="20" spans="1:14">
      <c r="A20" t="s">
        <v>32</v>
      </c>
      <c r="C20" s="29">
        <v>0</v>
      </c>
      <c r="D20" s="29">
        <v>0</v>
      </c>
      <c r="E20">
        <v>0</v>
      </c>
      <c r="F20" s="29">
        <v>0</v>
      </c>
      <c r="G20" s="29">
        <v>0</v>
      </c>
      <c r="H20" s="29">
        <v>0</v>
      </c>
    </row>
    <row r="21" spans="1:14">
      <c r="A21" t="s">
        <v>33</v>
      </c>
      <c r="C21">
        <v>622.79999999999995</v>
      </c>
      <c r="D21" s="29">
        <v>0</v>
      </c>
      <c r="E21">
        <v>864.5</v>
      </c>
      <c r="F21" s="29">
        <v>0</v>
      </c>
      <c r="G21" s="29">
        <v>0</v>
      </c>
      <c r="H21" s="29">
        <v>0</v>
      </c>
    </row>
    <row r="22" spans="1:14">
      <c r="A22" t="s">
        <v>34</v>
      </c>
      <c r="C22">
        <v>96.5</v>
      </c>
      <c r="D22">
        <v>39.700000000000003</v>
      </c>
      <c r="E22">
        <v>90.1</v>
      </c>
      <c r="F22">
        <v>97</v>
      </c>
      <c r="G22">
        <v>81.2</v>
      </c>
      <c r="H22">
        <v>122.8</v>
      </c>
    </row>
    <row r="23" spans="1:14">
      <c r="A23" t="s">
        <v>35</v>
      </c>
      <c r="C23">
        <v>-331</v>
      </c>
      <c r="D23">
        <v>-437</v>
      </c>
      <c r="E23">
        <v>-469.8</v>
      </c>
      <c r="F23">
        <v>-482.9</v>
      </c>
      <c r="G23">
        <v>-550.1</v>
      </c>
      <c r="H23">
        <v>-562</v>
      </c>
      <c r="I23" s="83">
        <f>-DS!C14</f>
        <v>-450.39200000000011</v>
      </c>
      <c r="J23" s="83">
        <f>-DS!D14</f>
        <v>-389.95700000000011</v>
      </c>
      <c r="K23" s="83">
        <f>-DS!E14</f>
        <v>-379.66700000000009</v>
      </c>
      <c r="L23" s="83">
        <f>-DS!F14</f>
        <v>-358.49299999999999</v>
      </c>
      <c r="M23" s="83">
        <f>-DS!G14</f>
        <v>-290.40800000000002</v>
      </c>
      <c r="N23" s="83">
        <f>-DS!H14</f>
        <v>-289.55116666666669</v>
      </c>
    </row>
    <row r="24" spans="1:14" ht="15" thickBot="1">
      <c r="A24" s="15" t="s">
        <v>36</v>
      </c>
      <c r="B24" s="14"/>
      <c r="C24" s="18">
        <f t="shared" ref="C24:M24" si="9">SUM(C19:C23)</f>
        <v>4466.2000000000053</v>
      </c>
      <c r="D24" s="18">
        <f t="shared" si="9"/>
        <v>1164.3999999999971</v>
      </c>
      <c r="E24" s="18">
        <f t="shared" si="9"/>
        <v>5356.9</v>
      </c>
      <c r="F24" s="18">
        <f t="shared" si="9"/>
        <v>4231.9000000000015</v>
      </c>
      <c r="G24" s="18">
        <f t="shared" si="9"/>
        <v>5401.8999999999978</v>
      </c>
      <c r="H24" s="15">
        <f t="shared" si="9"/>
        <v>4969.6000000000022</v>
      </c>
      <c r="I24" s="88">
        <f t="shared" si="9"/>
        <v>4473.3352837280945</v>
      </c>
      <c r="J24" s="88">
        <f t="shared" si="9"/>
        <v>5046.0262988741615</v>
      </c>
      <c r="K24" s="88">
        <f t="shared" si="9"/>
        <v>5022.4446114706197</v>
      </c>
      <c r="L24" s="88">
        <f t="shared" si="9"/>
        <v>5243.9391369953537</v>
      </c>
      <c r="M24" s="88">
        <f t="shared" si="9"/>
        <v>5643.0252756720902</v>
      </c>
      <c r="N24" s="88">
        <f t="shared" ref="N24" si="10">SUM(N19:N23)</f>
        <v>11410.897567155915</v>
      </c>
    </row>
    <row r="25" spans="1:14">
      <c r="A25" t="s">
        <v>120</v>
      </c>
      <c r="C25" s="89">
        <f>C26/C24</f>
        <v>0.19515471765706843</v>
      </c>
      <c r="D25" s="89">
        <f t="shared" ref="D25:H25" si="11">D26/D24</f>
        <v>0.20585709378220593</v>
      </c>
      <c r="E25" s="89">
        <f t="shared" si="11"/>
        <v>0.21590845451660476</v>
      </c>
      <c r="F25" s="89">
        <f t="shared" si="11"/>
        <v>0.22413100498594005</v>
      </c>
      <c r="G25" s="89">
        <f t="shared" si="11"/>
        <v>0.23643532831040939</v>
      </c>
      <c r="H25" s="89">
        <f t="shared" si="11"/>
        <v>0.24293705730843518</v>
      </c>
      <c r="I25" s="9">
        <f t="shared" ref="I25:M25" si="12">AVERAGE(D25:H25)</f>
        <v>0.22505378778071905</v>
      </c>
      <c r="J25" s="9">
        <f t="shared" si="12"/>
        <v>0.22889312658042166</v>
      </c>
      <c r="K25" s="9">
        <f t="shared" si="12"/>
        <v>0.23149006099318506</v>
      </c>
      <c r="L25" s="9">
        <f t="shared" si="12"/>
        <v>0.2329618721946341</v>
      </c>
      <c r="M25" s="9">
        <f t="shared" si="12"/>
        <v>0.232267180971479</v>
      </c>
      <c r="N25" s="9">
        <f t="shared" ref="N25" si="13">AVERAGE(I25:M25)</f>
        <v>0.23013320570408777</v>
      </c>
    </row>
    <row r="26" spans="1:14">
      <c r="A26" t="s">
        <v>37</v>
      </c>
      <c r="C26">
        <v>871.6</v>
      </c>
      <c r="D26">
        <v>239.7</v>
      </c>
      <c r="E26" s="16">
        <v>1156.5999999999999</v>
      </c>
      <c r="F26">
        <v>948.5</v>
      </c>
      <c r="G26" s="16">
        <v>1277.2</v>
      </c>
      <c r="H26">
        <v>1207.3</v>
      </c>
      <c r="I26" s="83">
        <f t="shared" ref="I26:M26" si="14">I24*I25</f>
        <v>1006.7410496161452</v>
      </c>
      <c r="J26" s="83">
        <f t="shared" si="14"/>
        <v>1155.00073635634</v>
      </c>
      <c r="K26" s="83">
        <f t="shared" si="14"/>
        <v>1162.6460094442275</v>
      </c>
      <c r="L26" s="83">
        <f t="shared" si="14"/>
        <v>1221.6378790291515</v>
      </c>
      <c r="M26" s="83">
        <f t="shared" si="14"/>
        <v>1310.6895729311595</v>
      </c>
      <c r="N26" s="83">
        <f t="shared" ref="N26" si="15">N24*N25</f>
        <v>2626.0264370905666</v>
      </c>
    </row>
    <row r="27" spans="1:14" ht="15" thickBot="1">
      <c r="A27" s="15" t="s">
        <v>227</v>
      </c>
      <c r="B27" s="14"/>
      <c r="C27" s="18">
        <f>C24-C26</f>
        <v>3594.6000000000054</v>
      </c>
      <c r="D27" s="18">
        <f t="shared" ref="D27:G27" si="16">D24-D26</f>
        <v>924.69999999999709</v>
      </c>
      <c r="E27" s="18">
        <f t="shared" si="16"/>
        <v>4200.2999999999993</v>
      </c>
      <c r="F27" s="18">
        <f t="shared" si="16"/>
        <v>3283.4000000000015</v>
      </c>
      <c r="G27" s="18">
        <f t="shared" si="16"/>
        <v>4124.699999999998</v>
      </c>
      <c r="H27" s="15">
        <f>H24-H26</f>
        <v>3762.300000000002</v>
      </c>
      <c r="I27" s="88">
        <f t="shared" ref="I27:M27" si="17">I24-I26</f>
        <v>3466.5942341119494</v>
      </c>
      <c r="J27" s="88">
        <f t="shared" si="17"/>
        <v>3891.0255625178215</v>
      </c>
      <c r="K27" s="88">
        <f t="shared" si="17"/>
        <v>3859.7986020263925</v>
      </c>
      <c r="L27" s="88">
        <f t="shared" si="17"/>
        <v>4022.3012579662022</v>
      </c>
      <c r="M27" s="88">
        <f t="shared" si="17"/>
        <v>4332.3357027409311</v>
      </c>
      <c r="N27" s="88">
        <f t="shared" ref="N27" si="18">N24-N26</f>
        <v>8784.8711300653486</v>
      </c>
    </row>
    <row r="28" spans="1:14">
      <c r="A28" t="s">
        <v>228</v>
      </c>
      <c r="C28">
        <v>-4.5999999999999996</v>
      </c>
      <c r="D28">
        <v>-3.6</v>
      </c>
      <c r="E28" s="16">
        <v>1</v>
      </c>
      <c r="F28">
        <v>1.8</v>
      </c>
      <c r="G28">
        <v>0.2</v>
      </c>
      <c r="H28">
        <v>1.4</v>
      </c>
      <c r="I28" s="11">
        <f t="shared" ref="I28:M28" si="19">I27*$H$38</f>
        <v>1.2899640984920728</v>
      </c>
      <c r="J28" s="11">
        <f t="shared" si="19"/>
        <v>1.4479004299298159</v>
      </c>
      <c r="K28" s="11">
        <f t="shared" si="19"/>
        <v>1.4362804781216134</v>
      </c>
      <c r="L28" s="11">
        <f t="shared" si="19"/>
        <v>1.4967497969733088</v>
      </c>
      <c r="M28" s="11">
        <f t="shared" si="19"/>
        <v>1.6121175833498922</v>
      </c>
      <c r="N28" s="11">
        <f t="shared" ref="N28" si="20">N27*$H$38</f>
        <v>3.2689630231750471</v>
      </c>
    </row>
    <row r="29" spans="1:14" ht="15" thickBot="1">
      <c r="A29" s="15" t="s">
        <v>38</v>
      </c>
      <c r="B29" s="14"/>
      <c r="C29" s="18">
        <f>C27-C28</f>
        <v>3599.2000000000053</v>
      </c>
      <c r="D29" s="18">
        <f>D27-D28</f>
        <v>928.29999999999711</v>
      </c>
      <c r="E29" s="18">
        <f t="shared" ref="E29:F29" si="21">E27-E28</f>
        <v>4199.2999999999993</v>
      </c>
      <c r="F29" s="18">
        <f t="shared" si="21"/>
        <v>3281.6000000000013</v>
      </c>
      <c r="G29" s="18">
        <f>G27-G28</f>
        <v>4124.4999999999982</v>
      </c>
      <c r="H29" s="15">
        <f>H27-H28</f>
        <v>3760.9000000000019</v>
      </c>
      <c r="I29" s="88">
        <f t="shared" ref="I29:M29" si="22">I27-I28</f>
        <v>3465.3042700134574</v>
      </c>
      <c r="J29" s="88">
        <f t="shared" si="22"/>
        <v>3889.5776620878919</v>
      </c>
      <c r="K29" s="88">
        <f t="shared" si="22"/>
        <v>3858.3623215482708</v>
      </c>
      <c r="L29" s="88">
        <f t="shared" si="22"/>
        <v>4020.8045081692289</v>
      </c>
      <c r="M29" s="88">
        <f t="shared" si="22"/>
        <v>4330.7235851575815</v>
      </c>
      <c r="N29" s="88">
        <f t="shared" ref="N29" si="23">N27-N28</f>
        <v>8781.6021670421742</v>
      </c>
    </row>
    <row r="30" spans="1:14">
      <c r="A30" s="6"/>
      <c r="C30" s="17"/>
      <c r="D30" s="17"/>
      <c r="E30" s="17"/>
      <c r="F30" s="17"/>
      <c r="G30" s="17"/>
      <c r="I30" s="17"/>
      <c r="J30" s="17"/>
      <c r="K30" s="17"/>
      <c r="L30" s="17"/>
      <c r="M30" s="17"/>
      <c r="N30" s="17"/>
    </row>
    <row r="32" spans="1:14">
      <c r="A32" t="s">
        <v>39</v>
      </c>
      <c r="C32" s="16">
        <v>1761.3</v>
      </c>
      <c r="D32" s="16">
        <v>1923.5</v>
      </c>
      <c r="E32" s="16">
        <v>2119</v>
      </c>
      <c r="F32" s="16">
        <v>2263.3000000000002</v>
      </c>
      <c r="G32" s="16">
        <v>2431.8000000000002</v>
      </c>
      <c r="H32" s="16">
        <v>2585</v>
      </c>
      <c r="I32" s="83">
        <f t="shared" ref="I32:M32" si="24">I29*I33</f>
        <v>3011.5758113078164</v>
      </c>
      <c r="J32" s="83">
        <f t="shared" si="24"/>
        <v>3380.2971083118232</v>
      </c>
      <c r="K32" s="83">
        <f t="shared" si="24"/>
        <v>3353.1689379735531</v>
      </c>
      <c r="L32" s="83">
        <f t="shared" si="24"/>
        <v>3494.3418110735906</v>
      </c>
      <c r="M32" s="83">
        <f t="shared" si="24"/>
        <v>3763.6817370932304</v>
      </c>
      <c r="N32" s="83">
        <f t="shared" ref="N32" si="25">N29*N33</f>
        <v>7631.7860164959802</v>
      </c>
    </row>
    <row r="33" spans="1:14">
      <c r="A33" t="s">
        <v>89</v>
      </c>
      <c r="C33" s="9">
        <f>C32/C29</f>
        <v>0.48935874638808552</v>
      </c>
      <c r="D33" s="9">
        <f>D32/D29</f>
        <v>2.0720672196488268</v>
      </c>
      <c r="E33" s="9">
        <f>E32/E29</f>
        <v>0.50460791084228329</v>
      </c>
      <c r="F33" s="9">
        <f>F32/F29</f>
        <v>0.68969405168210607</v>
      </c>
      <c r="G33" s="9">
        <f>G32/G29</f>
        <v>0.5895987392411205</v>
      </c>
      <c r="H33" s="9">
        <f t="shared" ref="H33" si="26">H32/H29</f>
        <v>0.68733547821000263</v>
      </c>
      <c r="I33" s="9">
        <f>AVERAGE($C$33:$G$33)</f>
        <v>0.86906533356048443</v>
      </c>
      <c r="J33" s="9">
        <f t="shared" ref="J33:N33" si="27">AVERAGE($C$33:$G$33)</f>
        <v>0.86906533356048443</v>
      </c>
      <c r="K33" s="9">
        <f t="shared" si="27"/>
        <v>0.86906533356048443</v>
      </c>
      <c r="L33" s="9">
        <f t="shared" si="27"/>
        <v>0.86906533356048443</v>
      </c>
      <c r="M33" s="9">
        <f t="shared" si="27"/>
        <v>0.86906533356048443</v>
      </c>
      <c r="N33" s="9">
        <f t="shared" si="27"/>
        <v>0.86906533356048443</v>
      </c>
    </row>
    <row r="34" spans="1:14">
      <c r="A34" t="s">
        <v>212</v>
      </c>
      <c r="C34" s="11">
        <f t="shared" ref="C34:M34" si="28">C32/C35</f>
        <v>1.4422698984605304</v>
      </c>
      <c r="D34" s="11">
        <f t="shared" si="28"/>
        <v>1.6400920873124147</v>
      </c>
      <c r="E34" s="11">
        <f t="shared" si="28"/>
        <v>1.7994225543478262</v>
      </c>
      <c r="F34" s="11">
        <f t="shared" si="28"/>
        <v>1.9624555622994886</v>
      </c>
      <c r="G34" s="11">
        <f t="shared" si="28"/>
        <v>2.1205092431112664</v>
      </c>
      <c r="H34" s="11">
        <f t="shared" si="28"/>
        <v>2.2799435526547893</v>
      </c>
      <c r="I34" s="80">
        <f t="shared" si="28"/>
        <v>2.5644837196278902</v>
      </c>
      <c r="J34" s="80">
        <f t="shared" si="28"/>
        <v>2.8784654429822907</v>
      </c>
      <c r="K34" s="80">
        <f t="shared" si="28"/>
        <v>2.8553646626816369</v>
      </c>
      <c r="L34" s="80">
        <f t="shared" si="28"/>
        <v>2.9755793135493902</v>
      </c>
      <c r="M34" s="80">
        <f t="shared" si="28"/>
        <v>3.204933611299309</v>
      </c>
      <c r="N34" s="80">
        <f t="shared" ref="N34" si="29">N32/N35</f>
        <v>6.4987874180356462</v>
      </c>
    </row>
    <row r="35" spans="1:14">
      <c r="A35" t="s">
        <v>482</v>
      </c>
      <c r="C35" s="16">
        <v>1221.2</v>
      </c>
      <c r="D35" s="16">
        <v>1172.8</v>
      </c>
      <c r="E35" s="16">
        <v>1177.5999999999999</v>
      </c>
      <c r="F35" s="16">
        <v>1153.3</v>
      </c>
      <c r="G35" s="16">
        <v>1146.8</v>
      </c>
      <c r="H35" s="16">
        <v>1133.8</v>
      </c>
      <c r="I35" s="86">
        <f t="shared" ref="I35:N35" si="30">AVERAGE($C$35:$G$35)</f>
        <v>1174.3399999999999</v>
      </c>
      <c r="J35" s="86">
        <f t="shared" si="30"/>
        <v>1174.3399999999999</v>
      </c>
      <c r="K35" s="86">
        <f t="shared" si="30"/>
        <v>1174.3399999999999</v>
      </c>
      <c r="L35" s="86">
        <f t="shared" si="30"/>
        <v>1174.3399999999999</v>
      </c>
      <c r="M35" s="86">
        <f t="shared" si="30"/>
        <v>1174.3399999999999</v>
      </c>
      <c r="N35" s="86">
        <f t="shared" si="30"/>
        <v>1174.3399999999999</v>
      </c>
    </row>
    <row r="36" spans="1:14">
      <c r="A36" t="s">
        <v>483</v>
      </c>
      <c r="C36" s="16">
        <v>1233.2</v>
      </c>
      <c r="D36" s="16">
        <v>1181.8</v>
      </c>
      <c r="E36" s="16">
        <v>1185.5</v>
      </c>
      <c r="F36" s="16">
        <v>1158.5</v>
      </c>
      <c r="G36" s="16">
        <v>1151.3</v>
      </c>
      <c r="H36" s="16">
        <v>1137.3</v>
      </c>
      <c r="I36" s="86"/>
      <c r="J36" s="86"/>
      <c r="K36" s="86"/>
      <c r="L36" s="86"/>
      <c r="M36" s="86"/>
      <c r="N36" s="86"/>
    </row>
    <row r="37" spans="1:14">
      <c r="A37" t="s">
        <v>213</v>
      </c>
      <c r="C37" s="11">
        <f>C29/C35</f>
        <v>2.947264985260404</v>
      </c>
      <c r="D37" s="11">
        <f t="shared" ref="D37:H37" si="31">D29/D35</f>
        <v>0.79152455661664145</v>
      </c>
      <c r="E37" s="11">
        <f t="shared" si="31"/>
        <v>3.5659816576086953</v>
      </c>
      <c r="F37" s="11">
        <f t="shared" si="31"/>
        <v>2.8454001560738762</v>
      </c>
      <c r="G37" s="11">
        <f t="shared" si="31"/>
        <v>3.5965294733170547</v>
      </c>
      <c r="H37" s="11">
        <f t="shared" si="31"/>
        <v>3.3170753219262674</v>
      </c>
      <c r="I37" s="80">
        <f t="shared" ref="I37:M37" si="32">I29/I35</f>
        <v>2.9508526236128017</v>
      </c>
      <c r="J37" s="80">
        <f t="shared" si="32"/>
        <v>3.3121392970416506</v>
      </c>
      <c r="K37" s="80">
        <f t="shared" si="32"/>
        <v>3.2855581190696657</v>
      </c>
      <c r="L37" s="80">
        <f t="shared" si="32"/>
        <v>3.4238844867493481</v>
      </c>
      <c r="M37" s="80">
        <f t="shared" si="32"/>
        <v>3.6877936416690069</v>
      </c>
      <c r="N37" s="80">
        <f t="shared" ref="N37" si="33">N29/N35</f>
        <v>7.477904326721541</v>
      </c>
    </row>
    <row r="38" spans="1:14">
      <c r="A38" t="s">
        <v>229</v>
      </c>
      <c r="C38" s="43">
        <f>C28/C27</f>
        <v>-1.2796973237634208E-3</v>
      </c>
      <c r="D38" s="43">
        <f t="shared" ref="D38:H38" si="34">D28/D27</f>
        <v>-3.8931545366064791E-3</v>
      </c>
      <c r="E38" s="43">
        <f t="shared" si="34"/>
        <v>2.3807823250720191E-4</v>
      </c>
      <c r="F38" s="43">
        <f t="shared" si="34"/>
        <v>5.4821221904123747E-4</v>
      </c>
      <c r="G38" s="43">
        <f t="shared" si="34"/>
        <v>4.8488374912114849E-5</v>
      </c>
      <c r="H38" s="43">
        <f t="shared" si="34"/>
        <v>3.7211280333838319E-4</v>
      </c>
      <c r="I38" s="79">
        <f t="shared" ref="I38:N38" si="35">AVERAGE($E$38:$G$38)</f>
        <v>2.7825960882018474E-4</v>
      </c>
      <c r="J38" s="79">
        <f t="shared" si="35"/>
        <v>2.7825960882018474E-4</v>
      </c>
      <c r="K38" s="79">
        <f t="shared" si="35"/>
        <v>2.7825960882018474E-4</v>
      </c>
      <c r="L38" s="79">
        <f t="shared" si="35"/>
        <v>2.7825960882018474E-4</v>
      </c>
      <c r="M38" s="79">
        <f t="shared" si="35"/>
        <v>2.7825960882018474E-4</v>
      </c>
      <c r="N38" s="79">
        <f t="shared" si="35"/>
        <v>2.7825960882018474E-4</v>
      </c>
    </row>
    <row r="40" spans="1:14">
      <c r="A40" s="6" t="s">
        <v>104</v>
      </c>
      <c r="C40" s="42">
        <f>C34/C37</f>
        <v>0.48935874638808546</v>
      </c>
      <c r="D40" s="42">
        <f t="shared" ref="D40:M40" si="36">D34/D37</f>
        <v>2.0720672196488268</v>
      </c>
      <c r="E40" s="42">
        <f t="shared" si="36"/>
        <v>0.50460791084228329</v>
      </c>
      <c r="F40" s="42">
        <f t="shared" si="36"/>
        <v>0.68969405168210607</v>
      </c>
      <c r="G40" s="42">
        <f t="shared" si="36"/>
        <v>0.5895987392411205</v>
      </c>
      <c r="H40" s="42">
        <f t="shared" si="36"/>
        <v>0.68733547821000263</v>
      </c>
      <c r="I40" s="100">
        <f t="shared" si="36"/>
        <v>0.86906533356048443</v>
      </c>
      <c r="J40" s="100">
        <f t="shared" si="36"/>
        <v>0.86906533356048454</v>
      </c>
      <c r="K40" s="100">
        <f t="shared" si="36"/>
        <v>0.86906533356048443</v>
      </c>
      <c r="L40" s="100">
        <f t="shared" si="36"/>
        <v>0.86906533356048443</v>
      </c>
      <c r="M40" s="100">
        <f t="shared" si="36"/>
        <v>0.86906533356048443</v>
      </c>
      <c r="N40" s="100">
        <f t="shared" ref="N40" si="37">N34/N37</f>
        <v>0.86906533356048443</v>
      </c>
    </row>
    <row r="45" spans="1:14">
      <c r="C45" s="16"/>
      <c r="D45" s="16"/>
      <c r="E45" s="16"/>
      <c r="F45" s="16"/>
      <c r="G45" s="16"/>
    </row>
    <row r="49" spans="1:14">
      <c r="C49" s="9"/>
    </row>
    <row r="50" spans="1:14">
      <c r="A50" t="s">
        <v>24</v>
      </c>
      <c r="C50" s="9">
        <f>C10/C9</f>
        <v>0.32166542178764623</v>
      </c>
      <c r="D50" s="9">
        <f>D10/D9</f>
        <v>0.32719193808997366</v>
      </c>
      <c r="E50" s="9">
        <f>E10/E9</f>
        <v>0.30070611067906378</v>
      </c>
      <c r="F50" s="9">
        <f>F10/F9</f>
        <v>0.31991640387841352</v>
      </c>
      <c r="G50" s="9">
        <f>G10/G9</f>
        <v>0.31713439108729252</v>
      </c>
      <c r="H50" s="9">
        <f t="shared" ref="H50" si="38">H10/H9</f>
        <v>0.30905954743726544</v>
      </c>
      <c r="I50" s="26">
        <f t="shared" ref="I50:M50" si="39">AVERAGE(D50:H50)</f>
        <v>0.3148016782344018</v>
      </c>
      <c r="J50" s="26">
        <f t="shared" si="39"/>
        <v>0.31232362626328747</v>
      </c>
      <c r="K50" s="26">
        <f t="shared" si="39"/>
        <v>0.31464712938013217</v>
      </c>
      <c r="L50" s="26">
        <f t="shared" si="39"/>
        <v>0.31359327448047586</v>
      </c>
      <c r="M50" s="26">
        <f t="shared" si="39"/>
        <v>0.31288505115911253</v>
      </c>
      <c r="N50" s="26">
        <f t="shared" ref="N50:N55" si="40">AVERAGE(I50:M50)</f>
        <v>0.31365015190348194</v>
      </c>
    </row>
    <row r="51" spans="1:14">
      <c r="A51" t="s">
        <v>25</v>
      </c>
      <c r="C51" s="9">
        <f>C11/C9</f>
        <v>0.39585643904242396</v>
      </c>
      <c r="D51" s="9">
        <f>D11/D9</f>
        <v>0.45769198061059618</v>
      </c>
      <c r="E51" s="9">
        <f>E11/E9</f>
        <v>0.41055243181489715</v>
      </c>
      <c r="F51" s="9">
        <f>F11/F9</f>
        <v>0.42051701844634004</v>
      </c>
      <c r="G51" s="9">
        <f>G11/G9</f>
        <v>0.40917455164055638</v>
      </c>
      <c r="H51" s="9">
        <f t="shared" ref="H51" si="41">H11/H9</f>
        <v>0.42255681912417559</v>
      </c>
      <c r="I51" s="26">
        <f t="shared" ref="I51:M51" si="42">AVERAGE(D51:H51)</f>
        <v>0.42409856032731313</v>
      </c>
      <c r="J51" s="26">
        <f t="shared" si="42"/>
        <v>0.41737987627065642</v>
      </c>
      <c r="K51" s="26">
        <f t="shared" si="42"/>
        <v>0.41874536516180838</v>
      </c>
      <c r="L51" s="26">
        <f t="shared" si="42"/>
        <v>0.41839103450490195</v>
      </c>
      <c r="M51" s="26">
        <f t="shared" si="42"/>
        <v>0.42023433107777103</v>
      </c>
      <c r="N51" s="26">
        <f t="shared" si="40"/>
        <v>0.41976983346849017</v>
      </c>
    </row>
    <row r="52" spans="1:14">
      <c r="A52" t="s">
        <v>26</v>
      </c>
      <c r="C52" s="9">
        <f>C12/C9</f>
        <v>1.3995458077755898E-2</v>
      </c>
      <c r="D52" s="9">
        <f>D12/D9</f>
        <v>1.8296623862573351E-2</v>
      </c>
      <c r="E52" s="9">
        <f>E12/E9</f>
        <v>1.2370701224338108E-2</v>
      </c>
      <c r="F52" s="9">
        <f>F12/F9</f>
        <v>1.4309944403617951E-2</v>
      </c>
      <c r="G52" s="9">
        <f>G12/G9</f>
        <v>1.4993495591456431E-2</v>
      </c>
      <c r="H52" s="9">
        <f t="shared" ref="H52" si="43">H12/H9</f>
        <v>1.5634588486352907E-2</v>
      </c>
      <c r="I52" s="26">
        <f t="shared" ref="I52:M52" si="44">AVERAGE(D52:H52)</f>
        <v>1.512107071366775E-2</v>
      </c>
      <c r="J52" s="26">
        <f t="shared" si="44"/>
        <v>1.4485960083886629E-2</v>
      </c>
      <c r="K52" s="26">
        <f t="shared" si="44"/>
        <v>1.4909011855796333E-2</v>
      </c>
      <c r="L52" s="26">
        <f t="shared" si="44"/>
        <v>1.5028825346232011E-2</v>
      </c>
      <c r="M52" s="26">
        <f t="shared" si="44"/>
        <v>1.5035891297187126E-2</v>
      </c>
      <c r="N52" s="26">
        <f t="shared" si="40"/>
        <v>1.4916151859353971E-2</v>
      </c>
    </row>
    <row r="53" spans="1:14">
      <c r="A53" t="s">
        <v>27</v>
      </c>
      <c r="C53" s="9">
        <f>C13/C9</f>
        <v>5.1956723478418315E-2</v>
      </c>
      <c r="D53" s="9">
        <f>D13/D9</f>
        <v>6.0859766986988695E-2</v>
      </c>
      <c r="E53" s="9">
        <f>E13/E9</f>
        <v>4.9610125049035468E-2</v>
      </c>
      <c r="F53" s="9">
        <f>F13/F9</f>
        <v>4.489570639652965E-2</v>
      </c>
      <c r="G53" s="9">
        <f>G13/G9</f>
        <v>3.7875671288317633E-2</v>
      </c>
      <c r="H53" s="9">
        <f t="shared" ref="H53" si="45">H13/H9</f>
        <v>4.1812020057385796E-2</v>
      </c>
      <c r="I53" s="26">
        <f t="shared" ref="I53:M55" si="46">AVERAGE(D53:H53)</f>
        <v>4.7010657955651451E-2</v>
      </c>
      <c r="J53" s="26">
        <f t="shared" si="46"/>
        <v>4.4240836149384004E-2</v>
      </c>
      <c r="K53" s="26">
        <f t="shared" si="46"/>
        <v>4.3166978369453705E-2</v>
      </c>
      <c r="L53" s="26">
        <f t="shared" si="46"/>
        <v>4.2821232764038521E-2</v>
      </c>
      <c r="M53" s="26">
        <f t="shared" si="46"/>
        <v>4.3810345059182701E-2</v>
      </c>
      <c r="N53" s="26">
        <f t="shared" si="40"/>
        <v>4.4210010059542074E-2</v>
      </c>
    </row>
    <row r="54" spans="1:14">
      <c r="A54" t="s">
        <v>28</v>
      </c>
      <c r="C54" s="9">
        <f>C14/C9</f>
        <v>6.8811630942411134E-2</v>
      </c>
      <c r="D54" s="9">
        <f>D14/D9</f>
        <v>7.1417637554213806E-2</v>
      </c>
      <c r="E54" s="9">
        <f>E14/E9</f>
        <v>6.6502412200711611E-2</v>
      </c>
      <c r="F54" s="9">
        <f>F14/F9</f>
        <v>6.300716582481404E-2</v>
      </c>
      <c r="G54" s="9">
        <f>G14/G9</f>
        <v>6.7859882809459759E-2</v>
      </c>
      <c r="H54" s="9">
        <f t="shared" ref="H54" si="47">H14/H9</f>
        <v>6.975027780695596E-2</v>
      </c>
      <c r="I54" s="26">
        <f t="shared" si="46"/>
        <v>6.7707475239231041E-2</v>
      </c>
      <c r="J54" s="26">
        <f t="shared" si="46"/>
        <v>6.6965442776234479E-2</v>
      </c>
      <c r="K54" s="26">
        <f t="shared" si="46"/>
        <v>6.7058048891339067E-2</v>
      </c>
      <c r="L54" s="26">
        <f t="shared" si="46"/>
        <v>6.7868225504644067E-2</v>
      </c>
      <c r="M54" s="26">
        <f t="shared" si="46"/>
        <v>6.786989404368092E-2</v>
      </c>
      <c r="N54" s="26">
        <f t="shared" si="40"/>
        <v>6.7493817291025909E-2</v>
      </c>
    </row>
    <row r="55" spans="1:14">
      <c r="A55" t="s">
        <v>29</v>
      </c>
      <c r="C55" s="9">
        <f>C15/C9</f>
        <v>5.1228657869521587E-3</v>
      </c>
      <c r="D55" s="9">
        <f>D15/D9</f>
        <v>1.1850497491283274E-2</v>
      </c>
      <c r="E55" s="9">
        <f>E15/E9</f>
        <v>5.8636091477808445E-3</v>
      </c>
      <c r="F55" s="9">
        <f>F15/F9</f>
        <v>1.4263433208373255E-3</v>
      </c>
      <c r="G55" s="9">
        <f>G15/G9</f>
        <v>6.0596626602475018E-4</v>
      </c>
      <c r="H55" s="9">
        <f t="shared" ref="H55" si="48">H15/H9</f>
        <v>0</v>
      </c>
      <c r="I55" s="26">
        <f t="shared" si="46"/>
        <v>3.9492832451852389E-3</v>
      </c>
      <c r="J55" s="26">
        <f t="shared" si="46"/>
        <v>2.369040395965632E-3</v>
      </c>
      <c r="K55" s="26">
        <f t="shared" si="46"/>
        <v>1.6701266456025893E-3</v>
      </c>
      <c r="L55" s="26">
        <f t="shared" si="46"/>
        <v>1.7188833105556422E-3</v>
      </c>
      <c r="M55" s="26">
        <f t="shared" si="46"/>
        <v>1.9414667194618206E-3</v>
      </c>
      <c r="N55" s="26">
        <f t="shared" si="40"/>
        <v>2.3297600633541849E-3</v>
      </c>
    </row>
    <row r="58" spans="1:14">
      <c r="A58" t="s">
        <v>40</v>
      </c>
      <c r="C58" s="16">
        <v>1377.3</v>
      </c>
      <c r="D58" s="16">
        <v>1431.3</v>
      </c>
      <c r="E58" s="16">
        <v>1441.7</v>
      </c>
      <c r="F58" s="16">
        <v>1447.9</v>
      </c>
      <c r="G58" s="16">
        <v>1362.6</v>
      </c>
      <c r="H58" s="16">
        <v>1512.6</v>
      </c>
    </row>
    <row r="59" spans="1:14">
      <c r="A59" t="s">
        <v>41</v>
      </c>
      <c r="C59" s="16">
        <f>C58-C60</f>
        <v>798.9</v>
      </c>
      <c r="D59" s="16">
        <f t="shared" ref="D59:G59" si="49">D58-D60</f>
        <v>974.19999999999993</v>
      </c>
      <c r="E59" s="16">
        <f t="shared" si="49"/>
        <v>1188.2</v>
      </c>
      <c r="F59" s="16">
        <f t="shared" si="49"/>
        <v>1389.5</v>
      </c>
      <c r="G59" s="16">
        <f t="shared" si="49"/>
        <v>1321.5</v>
      </c>
      <c r="H59" s="16">
        <f t="shared" ref="H59" si="50">H58-H60</f>
        <v>1491.1999999999998</v>
      </c>
    </row>
    <row r="60" spans="1:14">
      <c r="A60" t="s">
        <v>42</v>
      </c>
      <c r="C60">
        <v>578.4</v>
      </c>
      <c r="D60">
        <v>457.1</v>
      </c>
      <c r="E60">
        <v>253.5</v>
      </c>
      <c r="F60">
        <v>58.4</v>
      </c>
      <c r="G60">
        <v>41.1</v>
      </c>
      <c r="H60">
        <v>21.4</v>
      </c>
    </row>
  </sheetData>
  <pageMargins left="0.7" right="0.7" top="0.75" bottom="0.75" header="0.3" footer="0.3"/>
  <ignoredErrors>
    <ignoredError sqref="I13:L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DCB-CFF9-48A7-A2D4-D6636281B63D}">
  <dimension ref="A1:N56"/>
  <sheetViews>
    <sheetView showGridLines="0" workbookViewId="0">
      <pane xSplit="8" topLeftCell="I1" activePane="topRight" state="frozen"/>
      <selection activeCell="A3" sqref="A3"/>
      <selection pane="topRight" activeCell="E18" sqref="E18"/>
    </sheetView>
  </sheetViews>
  <sheetFormatPr defaultRowHeight="14.5"/>
  <cols>
    <col min="1" max="1" width="34" customWidth="1"/>
    <col min="2" max="2" width="11.6328125" customWidth="1"/>
    <col min="3" max="7" width="13.26953125" customWidth="1"/>
    <col min="8" max="13" width="12.81640625" customWidth="1"/>
    <col min="14" max="14" width="13.26953125" customWidth="1"/>
  </cols>
  <sheetData>
    <row r="1" spans="1:14">
      <c r="A1" s="71" t="s">
        <v>19</v>
      </c>
    </row>
    <row r="2" spans="1:14">
      <c r="A2" s="75" t="s">
        <v>196</v>
      </c>
    </row>
    <row r="3" spans="1:14">
      <c r="A3" s="1" t="s">
        <v>0</v>
      </c>
      <c r="B3" s="5"/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72" t="s">
        <v>7</v>
      </c>
      <c r="J3" s="72" t="s">
        <v>7</v>
      </c>
      <c r="K3" s="72" t="s">
        <v>7</v>
      </c>
      <c r="L3" s="72" t="s">
        <v>7</v>
      </c>
      <c r="M3" s="73">
        <v>12</v>
      </c>
      <c r="N3" s="73">
        <v>12</v>
      </c>
    </row>
    <row r="4" spans="1:14">
      <c r="A4" s="2"/>
      <c r="B4" s="5"/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112" t="s">
        <v>13</v>
      </c>
      <c r="I4" s="74" t="s">
        <v>14</v>
      </c>
      <c r="J4" s="74" t="s">
        <v>15</v>
      </c>
      <c r="K4" s="74" t="s">
        <v>16</v>
      </c>
      <c r="L4" s="74" t="s">
        <v>17</v>
      </c>
      <c r="M4" s="74" t="s">
        <v>18</v>
      </c>
      <c r="N4" s="74" t="s">
        <v>246</v>
      </c>
    </row>
    <row r="5" spans="1:14">
      <c r="A5" s="23" t="s">
        <v>80</v>
      </c>
    </row>
    <row r="6" spans="1:14">
      <c r="A6" s="24" t="s">
        <v>81</v>
      </c>
      <c r="C6" s="38">
        <f>B10</f>
        <v>5929.1</v>
      </c>
      <c r="D6" s="29">
        <f>C10</f>
        <v>5853.3</v>
      </c>
      <c r="E6" s="29">
        <f t="shared" ref="E6:G6" si="0">D10</f>
        <v>5784.2999999999993</v>
      </c>
      <c r="F6" s="29">
        <f t="shared" si="0"/>
        <v>6116</v>
      </c>
      <c r="G6" s="29">
        <f t="shared" si="0"/>
        <v>6502.1</v>
      </c>
      <c r="H6" s="29">
        <f>G10</f>
        <v>7346</v>
      </c>
      <c r="I6" s="29">
        <f>H10</f>
        <v>8643.7000000000007</v>
      </c>
      <c r="J6" s="29">
        <f t="shared" ref="J6:M6" si="1">I10</f>
        <v>7989.3168832131723</v>
      </c>
      <c r="K6" s="29">
        <f t="shared" si="1"/>
        <v>8074.6258127106348</v>
      </c>
      <c r="L6" s="29">
        <f t="shared" si="1"/>
        <v>8219.0287988429027</v>
      </c>
      <c r="M6" s="29">
        <f t="shared" si="1"/>
        <v>8497.4768450522406</v>
      </c>
      <c r="N6" s="29">
        <f t="shared" ref="N6" si="2">M10</f>
        <v>9086.8089416572566</v>
      </c>
    </row>
    <row r="7" spans="1:14">
      <c r="A7" s="24" t="s">
        <v>82</v>
      </c>
      <c r="C7" s="29">
        <f>C8-C6</f>
        <v>723.09999999999945</v>
      </c>
      <c r="D7" s="29">
        <f t="shared" ref="D7:G7" si="3">D8-D6</f>
        <v>905.19999999999891</v>
      </c>
      <c r="E7" s="29">
        <f t="shared" si="3"/>
        <v>1519.9000000000005</v>
      </c>
      <c r="F7" s="29">
        <f t="shared" si="3"/>
        <v>1775.6000000000004</v>
      </c>
      <c r="G7" s="29">
        <f t="shared" si="3"/>
        <v>2165.3999999999996</v>
      </c>
      <c r="H7" s="29">
        <f>H8-H6</f>
        <v>2788.9000000000015</v>
      </c>
      <c r="I7" s="29">
        <f t="shared" ref="I7:M7" si="4">I8-I6</f>
        <v>760.26856609082097</v>
      </c>
      <c r="J7" s="29">
        <f t="shared" si="4"/>
        <v>1515.0660866530998</v>
      </c>
      <c r="K7" s="29">
        <f t="shared" si="4"/>
        <v>1599.7292789637968</v>
      </c>
      <c r="L7" s="29">
        <f t="shared" si="4"/>
        <v>1783.0785540222132</v>
      </c>
      <c r="M7" s="29">
        <f t="shared" si="4"/>
        <v>2198.3144100131649</v>
      </c>
      <c r="N7" s="29">
        <f t="shared" ref="N7" si="5">N8-N6</f>
        <v>3159.496701611808</v>
      </c>
    </row>
    <row r="8" spans="1:14">
      <c r="A8" s="24" t="s">
        <v>83</v>
      </c>
      <c r="C8" s="29">
        <f>C10+C9</f>
        <v>6652.2</v>
      </c>
      <c r="D8" s="29">
        <f t="shared" ref="D8:G8" si="6">D10+D9</f>
        <v>6758.4999999999991</v>
      </c>
      <c r="E8" s="29">
        <f t="shared" si="6"/>
        <v>7304.2</v>
      </c>
      <c r="F8" s="29">
        <f t="shared" si="6"/>
        <v>7891.6</v>
      </c>
      <c r="G8" s="29">
        <f t="shared" si="6"/>
        <v>8667.5</v>
      </c>
      <c r="H8" s="29">
        <f>H10+H9</f>
        <v>10134.900000000001</v>
      </c>
      <c r="I8" s="29">
        <f>'Revenue Segment'!I17/FAS!I15</f>
        <v>9403.9685660908217</v>
      </c>
      <c r="J8" s="29">
        <f>'Revenue Segment'!J17/FAS!J15</f>
        <v>9504.3829698662721</v>
      </c>
      <c r="K8" s="29">
        <f>'Revenue Segment'!K17/FAS!K15</f>
        <v>9674.3550916744316</v>
      </c>
      <c r="L8" s="29">
        <f>'Revenue Segment'!L17/FAS!L15</f>
        <v>10002.107352865116</v>
      </c>
      <c r="M8" s="29">
        <f>'Revenue Segment'!M17/FAS!M15</f>
        <v>10695.791255065405</v>
      </c>
      <c r="N8" s="29">
        <f>'Revenue Segment'!N17/FAS!N15</f>
        <v>12246.305643269065</v>
      </c>
    </row>
    <row r="9" spans="1:14">
      <c r="A9" s="24" t="s">
        <v>84</v>
      </c>
      <c r="C9" s="29">
        <f>IS!C59</f>
        <v>798.9</v>
      </c>
      <c r="D9" s="29">
        <f>IS!D59</f>
        <v>974.19999999999993</v>
      </c>
      <c r="E9" s="29">
        <f>IS!E59</f>
        <v>1188.2</v>
      </c>
      <c r="F9" s="29">
        <f>IS!F59</f>
        <v>1389.5</v>
      </c>
      <c r="G9" s="29">
        <f>IS!G59</f>
        <v>1321.5</v>
      </c>
      <c r="H9" s="29">
        <f>IS!H59</f>
        <v>1491.1999999999998</v>
      </c>
      <c r="I9" s="38">
        <f t="shared" ref="I9:M9" si="7">I8*I12</f>
        <v>1414.6516828776491</v>
      </c>
      <c r="J9" s="38">
        <f t="shared" si="7"/>
        <v>1429.7571571556375</v>
      </c>
      <c r="K9" s="38">
        <f t="shared" si="7"/>
        <v>1455.3262928315294</v>
      </c>
      <c r="L9" s="38">
        <f t="shared" si="7"/>
        <v>1504.6305078128746</v>
      </c>
      <c r="M9" s="38">
        <f t="shared" si="7"/>
        <v>1608.9823134081485</v>
      </c>
      <c r="N9" s="38">
        <f t="shared" ref="N9" si="8">N8*N12</f>
        <v>1842.228285380821</v>
      </c>
    </row>
    <row r="10" spans="1:14" s="14" customFormat="1" ht="15" thickBot="1">
      <c r="A10" s="25" t="s">
        <v>85</v>
      </c>
      <c r="B10" s="21">
        <v>5929.1</v>
      </c>
      <c r="C10" s="32">
        <f>BS!C16</f>
        <v>5853.3</v>
      </c>
      <c r="D10" s="32">
        <f>BS!D16</f>
        <v>5784.2999999999993</v>
      </c>
      <c r="E10" s="32">
        <f>BS!E16</f>
        <v>6116</v>
      </c>
      <c r="F10" s="32">
        <f>BS!F16</f>
        <v>6502.1</v>
      </c>
      <c r="G10" s="32">
        <f>BS!G16</f>
        <v>7346</v>
      </c>
      <c r="H10" s="32">
        <f>BS!H16</f>
        <v>8643.7000000000007</v>
      </c>
      <c r="I10" s="32">
        <f t="shared" ref="I10:M10" si="9">I8-I9</f>
        <v>7989.3168832131723</v>
      </c>
      <c r="J10" s="32">
        <f t="shared" si="9"/>
        <v>8074.6258127106348</v>
      </c>
      <c r="K10" s="32">
        <f t="shared" si="9"/>
        <v>8219.0287988429027</v>
      </c>
      <c r="L10" s="32">
        <f t="shared" si="9"/>
        <v>8497.4768450522406</v>
      </c>
      <c r="M10" s="32">
        <f t="shared" si="9"/>
        <v>9086.8089416572566</v>
      </c>
      <c r="N10" s="32">
        <f t="shared" ref="N10" si="10">N8-N9</f>
        <v>10404.077357888244</v>
      </c>
    </row>
    <row r="12" spans="1:14">
      <c r="A12" s="24" t="s">
        <v>96</v>
      </c>
      <c r="C12" s="9">
        <f>C9/C8</f>
        <v>0.12009560746820601</v>
      </c>
      <c r="D12" s="9">
        <f t="shared" ref="D12:H12" si="11">D9/D8</f>
        <v>0.14414441074202858</v>
      </c>
      <c r="E12" s="9">
        <f t="shared" si="11"/>
        <v>0.16267353029763698</v>
      </c>
      <c r="F12" s="9">
        <f t="shared" si="11"/>
        <v>0.17607329312180039</v>
      </c>
      <c r="G12" s="9">
        <f t="shared" si="11"/>
        <v>0.15246610902797808</v>
      </c>
      <c r="H12" s="9">
        <f t="shared" si="11"/>
        <v>0.14713514686874066</v>
      </c>
      <c r="I12" s="26">
        <f t="shared" ref="I12:N12" si="12">AVERAGE($C$12:$H$12)</f>
        <v>0.15043134958773177</v>
      </c>
      <c r="J12" s="26">
        <f t="shared" si="12"/>
        <v>0.15043134958773177</v>
      </c>
      <c r="K12" s="26">
        <f t="shared" si="12"/>
        <v>0.15043134958773177</v>
      </c>
      <c r="L12" s="26">
        <f t="shared" si="12"/>
        <v>0.15043134958773177</v>
      </c>
      <c r="M12" s="26">
        <f t="shared" si="12"/>
        <v>0.15043134958773177</v>
      </c>
      <c r="N12" s="26">
        <f t="shared" si="12"/>
        <v>0.15043134958773177</v>
      </c>
    </row>
    <row r="15" spans="1:14">
      <c r="A15" s="24" t="s">
        <v>86</v>
      </c>
      <c r="C15" s="10">
        <f>'Revenue Segment'!C17/FAS!C8</f>
        <v>3.9849373139713178</v>
      </c>
      <c r="D15" s="10">
        <f>'Revenue Segment'!D17/FAS!D8</f>
        <v>3.4797662203151596</v>
      </c>
      <c r="E15" s="10">
        <f>'Revenue Segment'!E17/FAS!E8</f>
        <v>3.9786150433996879</v>
      </c>
      <c r="F15" s="10">
        <f>'Revenue Segment'!F17/FAS!F8</f>
        <v>4.0866617669420648</v>
      </c>
      <c r="G15" s="10">
        <f>'Revenue Segment'!G17/FAS!G8</f>
        <v>4.1506316700317276</v>
      </c>
      <c r="H15" s="10">
        <f>'Revenue Segment'!H17/FAS!H8</f>
        <v>3.5694678783214435</v>
      </c>
      <c r="I15" s="10">
        <f>AVERAGE($C$15:$H$15)</f>
        <v>3.8750133154969002</v>
      </c>
      <c r="J15" s="10">
        <f t="shared" ref="J15:N15" si="13">AVERAGE($C$15:$H$15)</f>
        <v>3.8750133154969002</v>
      </c>
      <c r="K15" s="10">
        <f t="shared" si="13"/>
        <v>3.8750133154969002</v>
      </c>
      <c r="L15" s="10">
        <f t="shared" si="13"/>
        <v>3.8750133154969002</v>
      </c>
      <c r="M15" s="10">
        <f t="shared" si="13"/>
        <v>3.8750133154969002</v>
      </c>
      <c r="N15" s="10">
        <f t="shared" si="13"/>
        <v>3.8750133154969002</v>
      </c>
    </row>
    <row r="18" spans="1:14">
      <c r="A18" s="23" t="s">
        <v>234</v>
      </c>
    </row>
    <row r="19" spans="1:14">
      <c r="A19" s="24" t="s">
        <v>81</v>
      </c>
      <c r="C19" s="29">
        <f>B23</f>
        <v>811.2</v>
      </c>
      <c r="D19" s="38">
        <f>C23</f>
        <v>578.4</v>
      </c>
      <c r="E19" s="38">
        <f t="shared" ref="E19:G19" si="14">D23</f>
        <v>457.1</v>
      </c>
      <c r="F19" s="38">
        <f t="shared" si="14"/>
        <v>253.5</v>
      </c>
      <c r="G19" s="38">
        <f t="shared" si="14"/>
        <v>58.4</v>
      </c>
      <c r="H19" s="38">
        <f>G23</f>
        <v>41.1</v>
      </c>
      <c r="I19" s="38">
        <f>H23</f>
        <v>21.4</v>
      </c>
      <c r="J19" s="38">
        <f t="shared" ref="J19:M19" si="15">I23</f>
        <v>7.3999999999999986</v>
      </c>
      <c r="K19" s="38">
        <f t="shared" si="15"/>
        <v>5.2999999999999989</v>
      </c>
      <c r="L19" s="38">
        <f t="shared" si="15"/>
        <v>3.4999999999999991</v>
      </c>
      <c r="M19" s="38">
        <f t="shared" si="15"/>
        <v>2.2999999999999989</v>
      </c>
      <c r="N19" s="38">
        <f t="shared" ref="N19" si="16">M23</f>
        <v>9.9999999999998757E-2</v>
      </c>
    </row>
    <row r="20" spans="1:14">
      <c r="A20" s="24" t="s">
        <v>82</v>
      </c>
      <c r="C20" s="38">
        <f>C21-C19</f>
        <v>345.59999999999991</v>
      </c>
      <c r="D20" s="38">
        <f t="shared" ref="D20:G20" si="17">D21-D19</f>
        <v>335.80000000000007</v>
      </c>
      <c r="E20" s="38">
        <f t="shared" si="17"/>
        <v>49.899999999999977</v>
      </c>
      <c r="F20" s="38">
        <f t="shared" si="17"/>
        <v>-136.69999999999999</v>
      </c>
      <c r="G20" s="38">
        <f t="shared" si="17"/>
        <v>23.800000000000004</v>
      </c>
      <c r="H20" s="38">
        <f>H21-H19</f>
        <v>1.6999999999999957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24" t="s">
        <v>87</v>
      </c>
      <c r="C21" s="38">
        <f>C23+C22</f>
        <v>1156.8</v>
      </c>
      <c r="D21" s="38">
        <f t="shared" ref="D21:G21" si="18">D23+D22</f>
        <v>914.2</v>
      </c>
      <c r="E21" s="38">
        <f t="shared" si="18"/>
        <v>507</v>
      </c>
      <c r="F21" s="38">
        <f t="shared" si="18"/>
        <v>116.8</v>
      </c>
      <c r="G21" s="38">
        <f t="shared" si="18"/>
        <v>82.2</v>
      </c>
      <c r="H21" s="38">
        <f>H23+H22</f>
        <v>42.8</v>
      </c>
      <c r="I21" s="38">
        <f>I19-I20</f>
        <v>21.4</v>
      </c>
      <c r="J21" s="38">
        <f t="shared" ref="J21:M21" si="19">J19-J20</f>
        <v>7.3999999999999986</v>
      </c>
      <c r="K21" s="38">
        <f t="shared" si="19"/>
        <v>5.2999999999999989</v>
      </c>
      <c r="L21" s="38">
        <f t="shared" si="19"/>
        <v>3.4999999999999991</v>
      </c>
      <c r="M21" s="38">
        <f t="shared" si="19"/>
        <v>2.2999999999999989</v>
      </c>
      <c r="N21" s="38">
        <f t="shared" ref="N21" si="20">N19-N20</f>
        <v>9.9999999999998757E-2</v>
      </c>
    </row>
    <row r="22" spans="1:14">
      <c r="A22" s="24" t="s">
        <v>88</v>
      </c>
      <c r="C22" s="38">
        <f>IS!C60</f>
        <v>578.4</v>
      </c>
      <c r="D22" s="38">
        <f>IS!D60</f>
        <v>457.1</v>
      </c>
      <c r="E22" s="38">
        <f>IS!E60</f>
        <v>253.5</v>
      </c>
      <c r="F22" s="38">
        <f>IS!F60</f>
        <v>58.4</v>
      </c>
      <c r="G22" s="38">
        <f>IS!G60</f>
        <v>41.1</v>
      </c>
      <c r="H22" s="38">
        <f>IS!H60</f>
        <v>21.4</v>
      </c>
      <c r="I22" s="41">
        <v>14</v>
      </c>
      <c r="J22" s="41">
        <v>2.1</v>
      </c>
      <c r="K22" s="41">
        <v>1.8</v>
      </c>
      <c r="L22" s="41">
        <v>1.2</v>
      </c>
      <c r="M22" s="41">
        <v>2.2000000000000002</v>
      </c>
      <c r="N22" s="41">
        <v>2.2000000000000002</v>
      </c>
    </row>
    <row r="23" spans="1:14" s="14" customFormat="1" ht="15" thickBot="1">
      <c r="A23" s="25" t="s">
        <v>85</v>
      </c>
      <c r="B23" s="31">
        <v>811.2</v>
      </c>
      <c r="C23" s="39">
        <v>578.4</v>
      </c>
      <c r="D23" s="39">
        <v>457.1</v>
      </c>
      <c r="E23" s="39">
        <v>253.5</v>
      </c>
      <c r="F23" s="40">
        <v>58.4</v>
      </c>
      <c r="G23" s="40">
        <v>41.1</v>
      </c>
      <c r="H23" s="39">
        <v>21.4</v>
      </c>
      <c r="I23" s="39">
        <f>I21-I22</f>
        <v>7.3999999999999986</v>
      </c>
      <c r="J23" s="39">
        <f t="shared" ref="J23:M23" si="21">J21-J22</f>
        <v>5.2999999999999989</v>
      </c>
      <c r="K23" s="39">
        <f t="shared" si="21"/>
        <v>3.4999999999999991</v>
      </c>
      <c r="L23" s="39">
        <f t="shared" si="21"/>
        <v>2.2999999999999989</v>
      </c>
      <c r="M23" s="39">
        <f t="shared" si="21"/>
        <v>9.9999999999998757E-2</v>
      </c>
      <c r="N23" s="39">
        <f t="shared" ref="N23" si="22">N21-N22</f>
        <v>-2.1000000000000014</v>
      </c>
    </row>
    <row r="25" spans="1:14">
      <c r="A25" s="24" t="s">
        <v>97</v>
      </c>
      <c r="C25" s="9">
        <f>C22/C21</f>
        <v>0.5</v>
      </c>
      <c r="D25" s="9">
        <f t="shared" ref="D25:G25" si="23">D22/D21</f>
        <v>0.5</v>
      </c>
      <c r="E25" s="9">
        <f t="shared" si="23"/>
        <v>0.5</v>
      </c>
      <c r="F25" s="9">
        <f t="shared" si="23"/>
        <v>0.5</v>
      </c>
      <c r="G25" s="9">
        <f t="shared" si="23"/>
        <v>0.5</v>
      </c>
      <c r="H25" s="9">
        <f>H22/H21</f>
        <v>0.5</v>
      </c>
      <c r="I25" s="26">
        <f>AVERAGE($C$25:$H$25)</f>
        <v>0.5</v>
      </c>
      <c r="J25" s="26">
        <f t="shared" ref="J25:N25" si="24">AVERAGE($C$25:$H$25)</f>
        <v>0.5</v>
      </c>
      <c r="K25" s="26">
        <f t="shared" si="24"/>
        <v>0.5</v>
      </c>
      <c r="L25" s="26">
        <f t="shared" si="24"/>
        <v>0.5</v>
      </c>
      <c r="M25" s="26">
        <f t="shared" si="24"/>
        <v>0.5</v>
      </c>
      <c r="N25" s="26">
        <f t="shared" si="24"/>
        <v>0.5</v>
      </c>
    </row>
    <row r="32" spans="1:14">
      <c r="A32" s="6" t="s">
        <v>98</v>
      </c>
    </row>
    <row r="33" spans="1:14">
      <c r="A33" t="s">
        <v>99</v>
      </c>
    </row>
    <row r="34" spans="1:14">
      <c r="A34" t="s">
        <v>202</v>
      </c>
      <c r="C34" s="10">
        <f>IS!C9/BS!C8</f>
        <v>30.150818926296633</v>
      </c>
      <c r="D34" s="10">
        <f>IS!D9/BS!D8</f>
        <v>26.622141725152815</v>
      </c>
      <c r="E34" s="10">
        <f>IS!E9/BS!E8</f>
        <v>30.915531914893617</v>
      </c>
      <c r="F34" s="10">
        <f>IS!F9/BS!F8</f>
        <v>27.435389196086771</v>
      </c>
      <c r="G34" s="10">
        <f>IS!G9/BS!G8</f>
        <v>30.382231230470399</v>
      </c>
      <c r="H34" s="10">
        <f>IS!H9/BS!H8</f>
        <v>29.804086340418518</v>
      </c>
    </row>
    <row r="35" spans="1:14">
      <c r="A35" t="s">
        <v>100</v>
      </c>
      <c r="C35" s="10">
        <f>365/C34</f>
        <v>12.105807172012101</v>
      </c>
      <c r="D35" s="10">
        <f t="shared" ref="D35:H35" si="25">365/D34</f>
        <v>13.710392040139469</v>
      </c>
      <c r="E35" s="10">
        <f t="shared" si="25"/>
        <v>11.806363254716008</v>
      </c>
      <c r="F35" s="10">
        <f t="shared" si="25"/>
        <v>13.303984769133931</v>
      </c>
      <c r="G35" s="10">
        <f t="shared" si="25"/>
        <v>12.013600885044308</v>
      </c>
      <c r="H35" s="10">
        <f t="shared" si="25"/>
        <v>12.246642820417845</v>
      </c>
    </row>
    <row r="36" spans="1:14">
      <c r="A36" t="s">
        <v>198</v>
      </c>
      <c r="C36" s="10"/>
      <c r="D36" s="10"/>
      <c r="E36" s="10"/>
      <c r="F36" s="10"/>
      <c r="G36" s="10"/>
      <c r="H36" s="10"/>
      <c r="I36" s="10">
        <f>AVERAGE($C$35:$H$35)</f>
        <v>12.531131823577278</v>
      </c>
      <c r="J36" s="10">
        <f t="shared" ref="J36:N36" si="26">AVERAGE($C$35:$H$35)</f>
        <v>12.531131823577278</v>
      </c>
      <c r="K36" s="10">
        <f t="shared" si="26"/>
        <v>12.531131823577278</v>
      </c>
      <c r="L36" s="10">
        <f t="shared" si="26"/>
        <v>12.531131823577278</v>
      </c>
      <c r="M36" s="10">
        <f t="shared" si="26"/>
        <v>12.531131823577278</v>
      </c>
      <c r="N36" s="10">
        <f t="shared" si="26"/>
        <v>12.531131823577278</v>
      </c>
    </row>
    <row r="37" spans="1:14">
      <c r="A37" s="6" t="s">
        <v>203</v>
      </c>
      <c r="C37" s="10"/>
      <c r="D37" s="10"/>
      <c r="E37" s="10"/>
      <c r="F37" s="10"/>
      <c r="G37" s="10"/>
      <c r="H37" s="10"/>
      <c r="I37" s="10">
        <f>(I36*IS!I9)/365</f>
        <v>1251.0705533554685</v>
      </c>
      <c r="J37" s="10">
        <f>(J36*IS!J9)/365</f>
        <v>1264.4293287292185</v>
      </c>
      <c r="K37" s="10">
        <f>(K36*IS!K9)/365</f>
        <v>1287.0418156799201</v>
      </c>
      <c r="L37" s="10">
        <f>(L36*IS!L9)/365</f>
        <v>1330.6448115735768</v>
      </c>
      <c r="M37" s="10">
        <f>(M36*IS!M9)/365</f>
        <v>1422.9300523504137</v>
      </c>
      <c r="N37" s="10">
        <f>(N36*IS!N9)/365</f>
        <v>1629.2049755387134</v>
      </c>
    </row>
    <row r="38" spans="1:14">
      <c r="A38" s="6" t="s">
        <v>206</v>
      </c>
    </row>
    <row r="39" spans="1:14">
      <c r="A39" s="6"/>
    </row>
    <row r="40" spans="1:14">
      <c r="A40" s="6"/>
    </row>
    <row r="41" spans="1:14">
      <c r="A41" s="6" t="s">
        <v>200</v>
      </c>
    </row>
    <row r="42" spans="1:14">
      <c r="A42" t="s">
        <v>99</v>
      </c>
    </row>
    <row r="43" spans="1:14">
      <c r="A43" t="s">
        <v>201</v>
      </c>
      <c r="C43" s="10">
        <f>SUM(IS!C10:C12)/BS!C29</f>
        <v>16.299487265697234</v>
      </c>
      <c r="D43" s="10">
        <f>SUM(IS!D10:D12)/BS!D29</f>
        <v>18.928950796673014</v>
      </c>
      <c r="E43" s="10">
        <f>SUM(IS!E10:E12)/BS!E29</f>
        <v>17.356470782436446</v>
      </c>
      <c r="F43" s="10">
        <f>SUM(IS!F10:F12)/BS!F29</f>
        <v>16.886846121826</v>
      </c>
      <c r="G43" s="10">
        <f>SUM(IS!G10:G12)/BS!G29</f>
        <v>17.269183448811763</v>
      </c>
      <c r="H43" s="10">
        <f>SUM(IS!H10:H12)/BS!H29</f>
        <v>16.943089940457536</v>
      </c>
    </row>
    <row r="44" spans="1:14">
      <c r="A44" t="s">
        <v>205</v>
      </c>
      <c r="C44" s="10">
        <f>365/C43</f>
        <v>22.393342443854266</v>
      </c>
      <c r="D44" s="10">
        <f t="shared" ref="D44:H44" si="27">365/D43</f>
        <v>19.282632403701584</v>
      </c>
      <c r="E44" s="10">
        <f t="shared" si="27"/>
        <v>21.029620858714832</v>
      </c>
      <c r="F44" s="10">
        <f t="shared" si="27"/>
        <v>21.614456445377499</v>
      </c>
      <c r="G44" s="10">
        <f t="shared" si="27"/>
        <v>21.135915376769855</v>
      </c>
      <c r="H44" s="10">
        <f t="shared" si="27"/>
        <v>21.542705686076491</v>
      </c>
    </row>
    <row r="45" spans="1:14">
      <c r="A45" t="s">
        <v>204</v>
      </c>
      <c r="H45" s="10"/>
      <c r="I45" s="10">
        <f>AVERAGE($C$44:$H$44)</f>
        <v>21.166445535749087</v>
      </c>
      <c r="J45" s="10">
        <f t="shared" ref="J45:N45" si="28">AVERAGE($C$44:$H$44)</f>
        <v>21.166445535749087</v>
      </c>
      <c r="K45" s="10">
        <f t="shared" si="28"/>
        <v>21.166445535749087</v>
      </c>
      <c r="L45" s="10">
        <f t="shared" si="28"/>
        <v>21.166445535749087</v>
      </c>
      <c r="M45" s="10">
        <f t="shared" si="28"/>
        <v>21.166445535749087</v>
      </c>
      <c r="N45" s="10">
        <f t="shared" si="28"/>
        <v>21.166445535749087</v>
      </c>
    </row>
    <row r="46" spans="1:14">
      <c r="A46" s="6" t="s">
        <v>199</v>
      </c>
      <c r="H46" s="10"/>
      <c r="I46" s="10">
        <f>SUM(IS!I10:I12)*FAS!I45/365</f>
        <v>1593.393556116506</v>
      </c>
      <c r="J46" s="10">
        <f>SUM(IS!J10:J12)*FAS!J45/365</f>
        <v>1589.4091612388838</v>
      </c>
      <c r="K46" s="10">
        <f>SUM(IS!K10:K12)*FAS!K45/365</f>
        <v>1626.7728345662792</v>
      </c>
      <c r="L46" s="10">
        <f>SUM(IS!L10:L12)*FAS!L45/365</f>
        <v>1678.9896444184974</v>
      </c>
      <c r="M46" s="10">
        <f>SUM(IS!M10:M12)*FAS!M45/365</f>
        <v>1798.1790273216343</v>
      </c>
      <c r="N46" s="10">
        <f>SUM(IS!N10:N12)*FAS!N45/365</f>
        <v>1798.6137302753034</v>
      </c>
    </row>
    <row r="47" spans="1:14">
      <c r="A47" s="6" t="s">
        <v>101</v>
      </c>
    </row>
    <row r="48" spans="1:14">
      <c r="A48" s="6"/>
    </row>
    <row r="50" spans="1:14">
      <c r="A50" s="6" t="s">
        <v>235</v>
      </c>
    </row>
    <row r="51" spans="1:14">
      <c r="A51" t="s">
        <v>99</v>
      </c>
    </row>
    <row r="52" spans="1:14">
      <c r="A52" t="s">
        <v>207</v>
      </c>
      <c r="C52" s="10">
        <f>SUM(IS!C10:C12)/BS!C9</f>
        <v>12.679155224270955</v>
      </c>
      <c r="D52" s="10">
        <f>SUM(IS!D10:D12)/BS!D9</f>
        <v>12.175583344076317</v>
      </c>
      <c r="E52" s="10">
        <f>SUM(IS!E10:E12)/BS!E9</f>
        <v>13.111228879605958</v>
      </c>
      <c r="F52" s="10">
        <f>SUM(IS!F10:F12)/BS!F9</f>
        <v>11.182899935679499</v>
      </c>
      <c r="G52" s="10">
        <f>SUM(IS!G10:G12)/BS!G9</f>
        <v>14.763507528786537</v>
      </c>
      <c r="H52" s="10">
        <f>SUM(IS!H10:H12)/BS!H9</f>
        <v>15.209981432509986</v>
      </c>
    </row>
    <row r="53" spans="1:14">
      <c r="A53" t="s">
        <v>208</v>
      </c>
      <c r="C53" s="10">
        <f>365/C52</f>
        <v>28.787406853518295</v>
      </c>
      <c r="D53" s="10">
        <f t="shared" ref="D53:H53" si="29">365/D52</f>
        <v>29.978029773627259</v>
      </c>
      <c r="E53" s="10">
        <f t="shared" si="29"/>
        <v>27.838732993803827</v>
      </c>
      <c r="F53" s="10">
        <f t="shared" si="29"/>
        <v>32.639118842103969</v>
      </c>
      <c r="G53" s="10">
        <f t="shared" si="29"/>
        <v>24.723122150227983</v>
      </c>
      <c r="H53" s="10">
        <f t="shared" si="29"/>
        <v>23.997399445856317</v>
      </c>
    </row>
    <row r="54" spans="1:14">
      <c r="A54" t="s">
        <v>209</v>
      </c>
      <c r="H54" s="10"/>
      <c r="I54" s="10">
        <f>AVERAGE($C$53:$H$53)</f>
        <v>27.993968343189607</v>
      </c>
      <c r="J54" s="10">
        <f t="shared" ref="J54:N54" si="30">AVERAGE($C$53:$H$53)</f>
        <v>27.993968343189607</v>
      </c>
      <c r="K54" s="10">
        <f t="shared" si="30"/>
        <v>27.993968343189607</v>
      </c>
      <c r="L54" s="10">
        <f t="shared" si="30"/>
        <v>27.993968343189607</v>
      </c>
      <c r="M54" s="10">
        <f t="shared" si="30"/>
        <v>27.993968343189607</v>
      </c>
      <c r="N54" s="10">
        <f t="shared" si="30"/>
        <v>27.993968343189607</v>
      </c>
    </row>
    <row r="55" spans="1:14">
      <c r="A55" t="s">
        <v>103</v>
      </c>
      <c r="H55" s="10"/>
      <c r="I55" s="10">
        <f>SUM(IS!I10:I12)*FAS!I54/365</f>
        <v>2107.3641624348993</v>
      </c>
      <c r="J55" s="10">
        <f>SUM(IS!J10:J12)*FAS!J54/365</f>
        <v>2102.0945471902169</v>
      </c>
      <c r="K55" s="10">
        <f>SUM(IS!K10:K12)*FAS!K54/365</f>
        <v>2151.5103778522812</v>
      </c>
      <c r="L55" s="10">
        <f>SUM(IS!L10:L12)*FAS!L54/365</f>
        <v>2220.5704247796934</v>
      </c>
      <c r="M55" s="10">
        <f>SUM(IS!M10:M12)*FAS!M54/365</f>
        <v>2378.2059524926194</v>
      </c>
      <c r="N55" s="10">
        <f>SUM(IS!N10:N12)*FAS!N54/365</f>
        <v>2378.7808747535701</v>
      </c>
    </row>
    <row r="56" spans="1:14">
      <c r="A56" s="6" t="s">
        <v>102</v>
      </c>
    </row>
  </sheetData>
  <pageMargins left="0.7" right="0.7" top="0.75" bottom="0.75" header="0.3" footer="0.3"/>
  <ignoredErrors>
    <ignoredError sqref="C43:F43 C52:F5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0D76-4721-4964-AB49-5EFA2C2D939C}">
  <dimension ref="A1:I61"/>
  <sheetViews>
    <sheetView showGridLines="0" workbookViewId="0">
      <pane xSplit="1" topLeftCell="B1" activePane="topRight" state="frozen"/>
      <selection pane="topRight" activeCell="H15" sqref="H15"/>
    </sheetView>
  </sheetViews>
  <sheetFormatPr defaultRowHeight="14.5"/>
  <cols>
    <col min="1" max="1" width="35.81640625" customWidth="1"/>
    <col min="2" max="7" width="16.453125" customWidth="1"/>
    <col min="8" max="8" width="15.7265625" customWidth="1"/>
    <col min="9" max="9" width="9.54296875" customWidth="1"/>
  </cols>
  <sheetData>
    <row r="1" spans="1:9">
      <c r="A1" s="71" t="s">
        <v>19</v>
      </c>
    </row>
    <row r="2" spans="1:9">
      <c r="A2" s="75" t="s">
        <v>196</v>
      </c>
    </row>
    <row r="3" spans="1:9">
      <c r="B3" s="77"/>
      <c r="C3" s="77">
        <v>12</v>
      </c>
      <c r="D3" s="77">
        <v>12</v>
      </c>
      <c r="E3" s="77">
        <v>12</v>
      </c>
      <c r="F3" s="77">
        <v>12</v>
      </c>
      <c r="G3" s="77">
        <v>12</v>
      </c>
      <c r="H3" s="77">
        <v>12</v>
      </c>
    </row>
    <row r="4" spans="1:9">
      <c r="B4" s="74"/>
      <c r="C4" s="74" t="s">
        <v>14</v>
      </c>
      <c r="D4" s="74" t="s">
        <v>15</v>
      </c>
      <c r="E4" s="74" t="s">
        <v>16</v>
      </c>
      <c r="F4" s="74" t="s">
        <v>17</v>
      </c>
      <c r="G4" s="74" t="s">
        <v>18</v>
      </c>
      <c r="H4" s="74" t="s">
        <v>246</v>
      </c>
    </row>
    <row r="5" spans="1:9">
      <c r="A5" s="23" t="s">
        <v>90</v>
      </c>
      <c r="B5" s="29"/>
      <c r="C5" s="29">
        <f>BS!H36+BS!H39</f>
        <v>15568.4</v>
      </c>
      <c r="D5" s="29">
        <f>C8</f>
        <v>14318.4</v>
      </c>
      <c r="E5" s="29">
        <f t="shared" ref="E5:G5" si="0">D8</f>
        <v>12818.4</v>
      </c>
      <c r="F5" s="29">
        <f t="shared" si="0"/>
        <v>12318.4</v>
      </c>
      <c r="G5" s="29">
        <f t="shared" si="0"/>
        <v>11718.4</v>
      </c>
      <c r="H5" s="29">
        <f>G8</f>
        <v>9968.4</v>
      </c>
    </row>
    <row r="6" spans="1:9">
      <c r="A6" s="23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>
      <c r="A7" s="23" t="s">
        <v>92</v>
      </c>
      <c r="B7" s="8"/>
      <c r="C7" s="29">
        <v>1250</v>
      </c>
      <c r="D7" s="29">
        <v>1500</v>
      </c>
      <c r="E7" s="29">
        <v>500</v>
      </c>
      <c r="F7">
        <v>600</v>
      </c>
      <c r="G7" s="29">
        <v>1750</v>
      </c>
      <c r="H7" s="29">
        <v>1750</v>
      </c>
    </row>
    <row r="8" spans="1:9" ht="15" thickBot="1">
      <c r="A8" s="30" t="s">
        <v>85</v>
      </c>
      <c r="B8" s="32"/>
      <c r="C8" s="32">
        <f>C5+C6-C7</f>
        <v>14318.4</v>
      </c>
      <c r="D8" s="32">
        <f t="shared" ref="D8:H8" si="1">D5+D6-D7</f>
        <v>12818.4</v>
      </c>
      <c r="E8" s="32">
        <f t="shared" si="1"/>
        <v>12318.4</v>
      </c>
      <c r="F8" s="32">
        <f t="shared" si="1"/>
        <v>11718.4</v>
      </c>
      <c r="G8" s="32">
        <f t="shared" si="1"/>
        <v>9968.4</v>
      </c>
      <c r="H8" s="32">
        <f t="shared" si="1"/>
        <v>8218.4</v>
      </c>
    </row>
    <row r="9" spans="1:9">
      <c r="A9" s="23"/>
    </row>
    <row r="10" spans="1:9">
      <c r="A10" s="23" t="s">
        <v>93</v>
      </c>
      <c r="B10" s="29"/>
      <c r="C10" s="29">
        <f t="shared" ref="C10:G10" si="2">D7</f>
        <v>1500</v>
      </c>
      <c r="D10" s="29">
        <f t="shared" si="2"/>
        <v>500</v>
      </c>
      <c r="E10">
        <f t="shared" si="2"/>
        <v>600</v>
      </c>
      <c r="F10" s="29">
        <f t="shared" si="2"/>
        <v>1750</v>
      </c>
      <c r="G10" s="29">
        <f t="shared" si="2"/>
        <v>1750</v>
      </c>
      <c r="H10" s="29">
        <f t="shared" ref="H10" si="3">I7</f>
        <v>0</v>
      </c>
    </row>
    <row r="11" spans="1:9">
      <c r="A11" s="23" t="s">
        <v>94</v>
      </c>
      <c r="B11" s="29"/>
      <c r="C11" s="29">
        <f t="shared" ref="C11:H11" si="4">C8-C10</f>
        <v>12818.4</v>
      </c>
      <c r="D11" s="29">
        <f t="shared" si="4"/>
        <v>12318.4</v>
      </c>
      <c r="E11" s="29">
        <f t="shared" si="4"/>
        <v>11718.4</v>
      </c>
      <c r="F11" s="29">
        <f t="shared" si="4"/>
        <v>9968.4</v>
      </c>
      <c r="G11" s="29">
        <f t="shared" si="4"/>
        <v>8218.4</v>
      </c>
      <c r="H11" s="29">
        <f t="shared" si="4"/>
        <v>8218.4</v>
      </c>
    </row>
    <row r="12" spans="1:9">
      <c r="A12" s="23"/>
      <c r="B12" s="29"/>
      <c r="C12" s="29"/>
      <c r="D12" s="29"/>
      <c r="E12" s="29"/>
      <c r="F12" s="29"/>
      <c r="G12" s="29"/>
    </row>
    <row r="13" spans="1:9">
      <c r="A13" s="23"/>
      <c r="B13" s="10"/>
    </row>
    <row r="14" spans="1:9">
      <c r="A14" s="23" t="s">
        <v>167</v>
      </c>
      <c r="B14" s="10"/>
      <c r="C14" s="10">
        <f>SUM(E22:E37)</f>
        <v>450.39200000000011</v>
      </c>
      <c r="D14" s="10">
        <f>SUM(E24:E37)</f>
        <v>389.95700000000011</v>
      </c>
      <c r="E14" s="10">
        <f>SUM(E25:E37)</f>
        <v>379.66700000000009</v>
      </c>
      <c r="F14" s="10">
        <f>SUM(E26:E37)</f>
        <v>358.49299999999999</v>
      </c>
      <c r="G14" s="10">
        <f>SUM(E28:E37)</f>
        <v>290.40800000000002</v>
      </c>
      <c r="H14" s="10">
        <f>SUM(E29:F37)</f>
        <v>289.55116666666669</v>
      </c>
    </row>
    <row r="16" spans="1:9">
      <c r="I16" s="29"/>
    </row>
    <row r="20" spans="2:9">
      <c r="C20" s="37" t="s">
        <v>172</v>
      </c>
      <c r="D20" s="36" t="s">
        <v>173</v>
      </c>
      <c r="E20" s="36" t="s">
        <v>191</v>
      </c>
      <c r="F20" s="36" t="s">
        <v>184</v>
      </c>
      <c r="G20" s="37"/>
      <c r="H20" s="36"/>
      <c r="I20" s="36"/>
    </row>
    <row r="21" spans="2:9">
      <c r="B21" t="s">
        <v>175</v>
      </c>
      <c r="C21">
        <v>1250</v>
      </c>
      <c r="D21" s="33">
        <v>3.721E-2</v>
      </c>
      <c r="E21" s="10">
        <f>C21*D21*2/12</f>
        <v>7.7520833333333341</v>
      </c>
      <c r="F21" s="16">
        <f>C21*D21*1/12</f>
        <v>3.8760416666666671</v>
      </c>
      <c r="G21" s="10"/>
      <c r="H21" s="33"/>
      <c r="I21" s="34"/>
    </row>
    <row r="22" spans="2:9">
      <c r="B22" t="s">
        <v>174</v>
      </c>
      <c r="C22">
        <v>1000</v>
      </c>
      <c r="D22" s="33">
        <v>4.7879999999999999E-2</v>
      </c>
      <c r="E22">
        <f>C22*D22</f>
        <v>47.879999999999995</v>
      </c>
      <c r="F22" s="16">
        <f>C22*D22*1/12</f>
        <v>3.9899999999999998</v>
      </c>
      <c r="G22" s="10"/>
      <c r="H22" s="33"/>
      <c r="I22" s="34"/>
    </row>
    <row r="23" spans="2:9">
      <c r="B23" t="s">
        <v>95</v>
      </c>
      <c r="C23">
        <v>500</v>
      </c>
      <c r="D23" s="33">
        <v>2.511E-2</v>
      </c>
      <c r="E23" s="10">
        <f t="shared" ref="E23:E37" si="5">C23*D23</f>
        <v>12.555</v>
      </c>
      <c r="F23" s="16">
        <f t="shared" ref="F23:F37" si="6">C23*D23*1/12</f>
        <v>1.0462499999999999</v>
      </c>
      <c r="G23" s="10"/>
      <c r="H23" s="33"/>
      <c r="I23" s="34"/>
    </row>
    <row r="24" spans="2:9">
      <c r="B24" t="s">
        <v>176</v>
      </c>
      <c r="C24">
        <v>500</v>
      </c>
      <c r="D24" s="33">
        <v>2.0580000000000001E-2</v>
      </c>
      <c r="E24" s="10">
        <f t="shared" si="5"/>
        <v>10.290000000000001</v>
      </c>
      <c r="F24" s="16">
        <f t="shared" si="6"/>
        <v>0.85750000000000004</v>
      </c>
      <c r="G24" s="10"/>
      <c r="H24" s="33"/>
      <c r="I24" s="34"/>
    </row>
    <row r="25" spans="2:9">
      <c r="B25" t="s">
        <v>177</v>
      </c>
      <c r="C25">
        <v>600</v>
      </c>
      <c r="D25" s="33">
        <v>3.5290000000000002E-2</v>
      </c>
      <c r="E25" s="10">
        <f t="shared" si="5"/>
        <v>21.173999999999999</v>
      </c>
      <c r="F25" s="16">
        <f t="shared" si="6"/>
        <v>1.7645</v>
      </c>
      <c r="G25" s="10"/>
      <c r="H25" s="16"/>
      <c r="I25" s="34"/>
    </row>
    <row r="26" spans="2:9">
      <c r="B26" t="s">
        <v>178</v>
      </c>
      <c r="C26">
        <v>750</v>
      </c>
      <c r="D26" s="33">
        <v>3.9579999999999997E-2</v>
      </c>
      <c r="E26" s="10">
        <f t="shared" si="5"/>
        <v>29.684999999999999</v>
      </c>
      <c r="F26" s="16">
        <f t="shared" si="6"/>
        <v>2.4737499999999999</v>
      </c>
      <c r="G26" s="10"/>
      <c r="H26" s="33"/>
      <c r="I26" s="34"/>
    </row>
    <row r="27" spans="2:9">
      <c r="B27" t="s">
        <v>179</v>
      </c>
      <c r="C27">
        <v>1000</v>
      </c>
      <c r="D27" s="33">
        <v>3.8399999999999997E-2</v>
      </c>
      <c r="E27" s="10">
        <f t="shared" si="5"/>
        <v>38.4</v>
      </c>
      <c r="F27" s="16">
        <f t="shared" si="6"/>
        <v>3.1999999999999997</v>
      </c>
      <c r="G27" s="10"/>
      <c r="H27" s="33"/>
      <c r="I27" s="34"/>
    </row>
    <row r="28" spans="2:9">
      <c r="B28" t="s">
        <v>180</v>
      </c>
      <c r="C28">
        <v>750</v>
      </c>
      <c r="D28" s="33">
        <v>3.0839999999999999E-2</v>
      </c>
      <c r="E28" s="10">
        <f t="shared" si="5"/>
        <v>23.13</v>
      </c>
      <c r="F28" s="16">
        <f t="shared" si="6"/>
        <v>1.9275</v>
      </c>
      <c r="G28" s="10"/>
      <c r="H28" s="33"/>
      <c r="I28" s="34"/>
    </row>
    <row r="29" spans="2:9">
      <c r="B29" t="s">
        <v>181</v>
      </c>
      <c r="C29">
        <v>1250</v>
      </c>
      <c r="D29" s="33">
        <v>2.5819999999999999E-2</v>
      </c>
      <c r="E29" s="10">
        <f t="shared" si="5"/>
        <v>32.274999999999999</v>
      </c>
      <c r="F29" s="16">
        <f t="shared" si="6"/>
        <v>2.6895833333333332</v>
      </c>
      <c r="G29" s="10"/>
      <c r="H29" s="33"/>
      <c r="I29" s="34"/>
    </row>
    <row r="30" spans="2:9">
      <c r="B30" t="s">
        <v>182</v>
      </c>
      <c r="C30">
        <v>1000</v>
      </c>
      <c r="D30" s="33">
        <v>3.1550000000000002E-2</v>
      </c>
      <c r="E30" s="10">
        <f t="shared" si="5"/>
        <v>31.55</v>
      </c>
      <c r="F30" s="16">
        <f t="shared" si="6"/>
        <v>2.6291666666666669</v>
      </c>
      <c r="G30" s="10"/>
      <c r="H30" s="33"/>
      <c r="I30" s="34"/>
    </row>
    <row r="31" spans="2:9">
      <c r="B31" t="s">
        <v>183</v>
      </c>
      <c r="C31">
        <v>500</v>
      </c>
      <c r="D31" s="33">
        <v>3.798E-2</v>
      </c>
      <c r="E31" s="10">
        <f t="shared" si="5"/>
        <v>18.989999999999998</v>
      </c>
      <c r="F31" s="16">
        <f t="shared" si="6"/>
        <v>1.5824999999999998</v>
      </c>
      <c r="G31" s="10"/>
      <c r="H31" s="33"/>
      <c r="I31" s="34"/>
    </row>
    <row r="32" spans="2:9">
      <c r="B32" t="s">
        <v>185</v>
      </c>
      <c r="C32">
        <v>350</v>
      </c>
      <c r="D32" s="33">
        <v>4.3479999999999998E-2</v>
      </c>
      <c r="E32" s="10">
        <f t="shared" si="5"/>
        <v>15.218</v>
      </c>
      <c r="F32" s="16">
        <f t="shared" si="6"/>
        <v>1.2681666666666667</v>
      </c>
      <c r="G32" s="10"/>
      <c r="H32" s="33"/>
      <c r="I32" s="34"/>
    </row>
    <row r="33" spans="2:9">
      <c r="B33" t="s">
        <v>186</v>
      </c>
      <c r="C33">
        <v>500</v>
      </c>
      <c r="D33" s="33">
        <v>3.7650000000000003E-2</v>
      </c>
      <c r="E33" s="10">
        <f t="shared" si="5"/>
        <v>18.825000000000003</v>
      </c>
      <c r="F33" s="16">
        <f t="shared" si="6"/>
        <v>1.5687500000000003</v>
      </c>
      <c r="G33" s="10"/>
      <c r="H33" s="33"/>
      <c r="I33" s="34"/>
    </row>
    <row r="34" spans="2:9">
      <c r="B34" t="s">
        <v>187</v>
      </c>
      <c r="C34">
        <v>1000</v>
      </c>
      <c r="D34" s="33">
        <v>4.5039999999999997E-2</v>
      </c>
      <c r="E34" s="10">
        <f t="shared" si="5"/>
        <v>45.04</v>
      </c>
      <c r="F34" s="16">
        <f t="shared" si="6"/>
        <v>3.7533333333333334</v>
      </c>
      <c r="G34" s="10"/>
      <c r="H34" s="33"/>
      <c r="I34" s="34"/>
    </row>
    <row r="35" spans="2:9">
      <c r="B35" t="s">
        <v>188</v>
      </c>
      <c r="C35">
        <v>1000</v>
      </c>
      <c r="D35" s="33">
        <v>4.4470000000000003E-2</v>
      </c>
      <c r="E35" s="10">
        <f t="shared" si="5"/>
        <v>44.470000000000006</v>
      </c>
      <c r="F35" s="16">
        <f t="shared" si="6"/>
        <v>3.705833333333334</v>
      </c>
      <c r="G35" s="10"/>
      <c r="H35" s="33"/>
      <c r="I35" s="35"/>
    </row>
    <row r="36" spans="2:9">
      <c r="B36" t="s">
        <v>189</v>
      </c>
      <c r="C36">
        <v>500</v>
      </c>
      <c r="D36" s="33">
        <v>3.3619999999999997E-2</v>
      </c>
      <c r="E36" s="10">
        <f t="shared" si="5"/>
        <v>16.809999999999999</v>
      </c>
      <c r="F36" s="16">
        <f t="shared" si="6"/>
        <v>1.4008333333333332</v>
      </c>
      <c r="G36" s="10"/>
    </row>
    <row r="37" spans="2:9">
      <c r="B37" t="s">
        <v>190</v>
      </c>
      <c r="C37">
        <v>1250</v>
      </c>
      <c r="D37" s="33">
        <v>3.5279999999999999E-2</v>
      </c>
      <c r="E37" s="10">
        <f t="shared" si="5"/>
        <v>44.1</v>
      </c>
      <c r="F37" s="16">
        <f t="shared" si="6"/>
        <v>3.6750000000000003</v>
      </c>
      <c r="G37" s="10"/>
    </row>
    <row r="38" spans="2:9">
      <c r="D38" s="33"/>
    </row>
    <row r="39" spans="2:9">
      <c r="D39" s="33"/>
    </row>
    <row r="44" spans="2:9">
      <c r="D44" s="37"/>
      <c r="E44" s="36"/>
      <c r="F44" s="36"/>
      <c r="G44" s="36"/>
    </row>
    <row r="45" spans="2:9">
      <c r="E45" s="33"/>
      <c r="F45" s="10"/>
      <c r="G45" s="16"/>
    </row>
    <row r="46" spans="2:9">
      <c r="E46" s="33"/>
      <c r="G46" s="16"/>
    </row>
    <row r="47" spans="2:9">
      <c r="E47" s="33"/>
      <c r="F47" s="10"/>
      <c r="G47" s="16"/>
    </row>
    <row r="48" spans="2:9">
      <c r="E48" s="33"/>
      <c r="F48" s="10"/>
      <c r="G48" s="16"/>
    </row>
    <row r="49" spans="5:7">
      <c r="E49" s="33"/>
      <c r="F49" s="10"/>
      <c r="G49" s="16"/>
    </row>
    <row r="50" spans="5:7">
      <c r="E50" s="33"/>
      <c r="F50" s="10"/>
      <c r="G50" s="16"/>
    </row>
    <row r="51" spans="5:7">
      <c r="E51" s="33"/>
      <c r="F51" s="10"/>
      <c r="G51" s="16"/>
    </row>
    <row r="52" spans="5:7">
      <c r="E52" s="33"/>
      <c r="F52" s="10"/>
      <c r="G52" s="16"/>
    </row>
    <row r="53" spans="5:7">
      <c r="E53" s="33"/>
      <c r="F53" s="10"/>
      <c r="G53" s="16"/>
    </row>
    <row r="54" spans="5:7">
      <c r="E54" s="33"/>
      <c r="F54" s="10"/>
      <c r="G54" s="16"/>
    </row>
    <row r="55" spans="5:7">
      <c r="E55" s="33"/>
      <c r="F55" s="10"/>
      <c r="G55" s="16"/>
    </row>
    <row r="56" spans="5:7">
      <c r="E56" s="33"/>
      <c r="F56" s="10"/>
      <c r="G56" s="16"/>
    </row>
    <row r="57" spans="5:7">
      <c r="E57" s="33"/>
      <c r="F57" s="10"/>
      <c r="G57" s="16"/>
    </row>
    <row r="58" spans="5:7">
      <c r="E58" s="33"/>
      <c r="F58" s="10"/>
      <c r="G58" s="16"/>
    </row>
    <row r="59" spans="5:7">
      <c r="E59" s="33"/>
      <c r="F59" s="10"/>
      <c r="G59" s="16"/>
    </row>
    <row r="60" spans="5:7">
      <c r="E60" s="33"/>
      <c r="F60" s="10"/>
      <c r="G60" s="16"/>
    </row>
    <row r="61" spans="5:7">
      <c r="E61" s="33"/>
      <c r="F61" s="10"/>
      <c r="G61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5419-935C-4847-A8A3-62EBEDF33EC0}">
  <dimension ref="A1:G26"/>
  <sheetViews>
    <sheetView showGridLines="0" topLeftCell="A10" zoomScaleNormal="80" workbookViewId="0">
      <selection activeCell="C29" sqref="C29"/>
    </sheetView>
  </sheetViews>
  <sheetFormatPr defaultRowHeight="14.5"/>
  <cols>
    <col min="1" max="1" width="33.26953125" customWidth="1"/>
    <col min="2" max="7" width="14.81640625" customWidth="1"/>
  </cols>
  <sheetData>
    <row r="1" spans="1:7">
      <c r="A1" s="76" t="s">
        <v>19</v>
      </c>
    </row>
    <row r="2" spans="1:7">
      <c r="A2" s="71" t="s">
        <v>452</v>
      </c>
    </row>
    <row r="3" spans="1:7">
      <c r="A3" s="19" t="s">
        <v>441</v>
      </c>
      <c r="B3" s="412" t="s">
        <v>442</v>
      </c>
      <c r="C3" s="412"/>
      <c r="D3" s="412"/>
      <c r="E3" s="412"/>
      <c r="F3" s="412"/>
      <c r="G3" s="412"/>
    </row>
    <row r="4" spans="1:7">
      <c r="A4" s="132"/>
      <c r="B4" s="112" t="s">
        <v>8</v>
      </c>
      <c r="C4" s="112" t="s">
        <v>9</v>
      </c>
      <c r="D4" s="112" t="s">
        <v>10</v>
      </c>
      <c r="E4" s="112" t="s">
        <v>11</v>
      </c>
      <c r="F4" s="112" t="s">
        <v>12</v>
      </c>
      <c r="G4" s="112" t="s">
        <v>13</v>
      </c>
    </row>
    <row r="5" spans="1:7">
      <c r="A5" s="19" t="s">
        <v>443</v>
      </c>
      <c r="B5" s="133">
        <f>IS!C29</f>
        <v>3599.2000000000053</v>
      </c>
      <c r="C5" s="133">
        <f>IS!D29</f>
        <v>928.29999999999711</v>
      </c>
      <c r="D5" s="133">
        <f>IS!E29</f>
        <v>4199.2999999999993</v>
      </c>
      <c r="E5" s="133">
        <f>IS!F29</f>
        <v>3281.6000000000013</v>
      </c>
      <c r="F5" s="133">
        <f>IS!G29</f>
        <v>4124.4999999999982</v>
      </c>
      <c r="G5" s="133">
        <f>IS!H29</f>
        <v>3760.9000000000019</v>
      </c>
    </row>
    <row r="6" spans="1:7">
      <c r="A6" s="19" t="s">
        <v>453</v>
      </c>
      <c r="B6" s="133">
        <f>BS!C56</f>
        <v>-6231</v>
      </c>
      <c r="C6" s="133">
        <f>BS!D56</f>
        <v>-7799.4000000000005</v>
      </c>
      <c r="D6" s="133">
        <f>BS!E56</f>
        <v>-5314.5</v>
      </c>
      <c r="E6" s="133">
        <f>BS!F56</f>
        <v>-8698.7000000000007</v>
      </c>
      <c r="F6" s="133">
        <f>BS!G56</f>
        <v>-7987.8</v>
      </c>
      <c r="G6" s="133">
        <f>BS!H56</f>
        <v>-7441.5999999999995</v>
      </c>
    </row>
    <row r="7" spans="1:7">
      <c r="A7" s="141" t="s">
        <v>444</v>
      </c>
      <c r="B7" s="137">
        <f>B5/B6</f>
        <v>-0.57762798908682478</v>
      </c>
      <c r="C7" s="137">
        <f t="shared" ref="C7:G7" si="0">C5/C6</f>
        <v>-0.11902197604943932</v>
      </c>
      <c r="D7" s="137">
        <f t="shared" si="0"/>
        <v>-0.79015899896509534</v>
      </c>
      <c r="E7" s="137">
        <f t="shared" si="0"/>
        <v>-0.37725177325347475</v>
      </c>
      <c r="F7" s="137">
        <f t="shared" si="0"/>
        <v>-0.51634993364881421</v>
      </c>
      <c r="G7" s="137">
        <f t="shared" si="0"/>
        <v>-0.50538862610191382</v>
      </c>
    </row>
    <row r="9" spans="1:7">
      <c r="B9" s="413" t="s">
        <v>445</v>
      </c>
      <c r="C9" s="413"/>
      <c r="D9" s="413"/>
      <c r="E9" s="413"/>
      <c r="F9" s="413"/>
      <c r="G9" s="413"/>
    </row>
    <row r="10" spans="1:7">
      <c r="A10" s="19" t="s">
        <v>443</v>
      </c>
      <c r="B10" s="133">
        <f>IS!C29</f>
        <v>3599.2000000000053</v>
      </c>
      <c r="C10" s="133">
        <f>IS!D29</f>
        <v>928.29999999999711</v>
      </c>
      <c r="D10" s="133">
        <f>IS!E29</f>
        <v>4199.2999999999993</v>
      </c>
      <c r="E10" s="133">
        <f>IS!F29</f>
        <v>3281.6000000000013</v>
      </c>
      <c r="F10" s="133">
        <f>IS!G29</f>
        <v>4124.4999999999982</v>
      </c>
      <c r="G10" s="133">
        <f>IS!H29</f>
        <v>3760.9000000000019</v>
      </c>
    </row>
    <row r="11" spans="1:7">
      <c r="A11" s="135" t="s">
        <v>446</v>
      </c>
      <c r="B11" s="133">
        <f>IS!C9</f>
        <v>26508.600000000002</v>
      </c>
      <c r="C11" s="133">
        <f>IS!D9</f>
        <v>23517.999999999996</v>
      </c>
      <c r="D11" s="133">
        <f>IS!E9</f>
        <v>29060.6</v>
      </c>
      <c r="E11" s="133">
        <f>IS!F9</f>
        <v>32250.3</v>
      </c>
      <c r="F11" s="133">
        <f>IS!G9</f>
        <v>35975.599999999999</v>
      </c>
      <c r="G11" s="133">
        <f>IS!H9</f>
        <v>36176.199999999997</v>
      </c>
    </row>
    <row r="12" spans="1:7">
      <c r="A12" s="140" t="s">
        <v>250</v>
      </c>
      <c r="B12" s="138">
        <f>B10/B11</f>
        <v>0.1357748051575717</v>
      </c>
      <c r="C12" s="138">
        <f t="shared" ref="C12:G12" si="1">C10/C11</f>
        <v>3.947189386852612E-2</v>
      </c>
      <c r="D12" s="138">
        <f t="shared" si="1"/>
        <v>0.14450148998988319</v>
      </c>
      <c r="E12" s="138">
        <f t="shared" si="1"/>
        <v>0.10175409220999498</v>
      </c>
      <c r="F12" s="138">
        <f t="shared" si="1"/>
        <v>0.11464714973482022</v>
      </c>
      <c r="G12" s="138">
        <f t="shared" si="1"/>
        <v>0.10396061498996584</v>
      </c>
    </row>
    <row r="14" spans="1:7">
      <c r="A14" s="19" t="s">
        <v>446</v>
      </c>
      <c r="B14" s="133">
        <f>IS!C9</f>
        <v>26508.600000000002</v>
      </c>
      <c r="C14" s="133">
        <f>IS!D9</f>
        <v>23517.999999999996</v>
      </c>
      <c r="D14" s="133">
        <f>IS!E9</f>
        <v>29060.6</v>
      </c>
      <c r="E14" s="133">
        <f>IS!F9</f>
        <v>32250.3</v>
      </c>
      <c r="F14" s="133">
        <f>IS!G9</f>
        <v>35975.599999999999</v>
      </c>
      <c r="G14" s="133">
        <f>IS!H9</f>
        <v>36176.199999999997</v>
      </c>
    </row>
    <row r="15" spans="1:7">
      <c r="A15" s="19" t="s">
        <v>454</v>
      </c>
      <c r="B15" s="133">
        <f>BS!C25</f>
        <v>19219.600000000002</v>
      </c>
      <c r="C15" s="133">
        <f>BS!D25</f>
        <v>29374.5</v>
      </c>
      <c r="D15" s="133">
        <f>BS!E25</f>
        <v>31392.6</v>
      </c>
      <c r="E15" s="133">
        <f>BS!F25</f>
        <v>27978.400000000005</v>
      </c>
      <c r="F15" s="133">
        <f>BS!G25</f>
        <v>29445.5</v>
      </c>
      <c r="G15" s="133">
        <f>BS!H25</f>
        <v>31338.900000000005</v>
      </c>
    </row>
    <row r="16" spans="1:7">
      <c r="A16" s="140" t="s">
        <v>456</v>
      </c>
      <c r="B16" s="137">
        <f>B14/B15</f>
        <v>1.3792482673937023</v>
      </c>
      <c r="C16" s="137">
        <f t="shared" ref="C16:G16" si="2">C14/C15</f>
        <v>0.80062639364074273</v>
      </c>
      <c r="D16" s="137">
        <f t="shared" si="2"/>
        <v>0.92571497741505959</v>
      </c>
      <c r="E16" s="137">
        <f t="shared" si="2"/>
        <v>1.1526856432104764</v>
      </c>
      <c r="F16" s="137">
        <f t="shared" si="2"/>
        <v>1.221769030921533</v>
      </c>
      <c r="G16" s="137">
        <f t="shared" si="2"/>
        <v>1.1543544923401903</v>
      </c>
    </row>
    <row r="18" spans="1:7">
      <c r="A18" s="19" t="s">
        <v>455</v>
      </c>
      <c r="B18" s="133">
        <f>BS!C25</f>
        <v>19219.600000000002</v>
      </c>
      <c r="C18" s="133">
        <f>BS!D25</f>
        <v>29374.5</v>
      </c>
      <c r="D18" s="133">
        <f>BS!E25</f>
        <v>31392.6</v>
      </c>
      <c r="E18" s="133">
        <f>BS!F25</f>
        <v>27978.400000000005</v>
      </c>
      <c r="F18" s="133">
        <f>BS!G25</f>
        <v>29445.5</v>
      </c>
      <c r="G18" s="133">
        <f>BS!H25</f>
        <v>31338.900000000005</v>
      </c>
    </row>
    <row r="19" spans="1:7">
      <c r="A19" s="19" t="s">
        <v>447</v>
      </c>
      <c r="B19" s="133">
        <f>BS!C56</f>
        <v>-6231</v>
      </c>
      <c r="C19" s="133">
        <f>BS!D56</f>
        <v>-7799.4000000000005</v>
      </c>
      <c r="D19" s="133">
        <f>BS!E56</f>
        <v>-5314.5</v>
      </c>
      <c r="E19" s="133">
        <f>BS!F56</f>
        <v>-8698.7000000000007</v>
      </c>
      <c r="F19" s="133">
        <f>BS!G56</f>
        <v>-7987.8</v>
      </c>
      <c r="G19" s="133">
        <f>BS!H56</f>
        <v>-7441.5999999999995</v>
      </c>
    </row>
    <row r="20" spans="1:7">
      <c r="A20" s="140" t="s">
        <v>448</v>
      </c>
      <c r="B20" s="137">
        <f>B18/B19</f>
        <v>-3.0845129192745953</v>
      </c>
      <c r="C20" s="137">
        <f t="shared" ref="C20:G20" si="3">C18/C19</f>
        <v>-3.7662512500961611</v>
      </c>
      <c r="D20" s="137">
        <f t="shared" si="3"/>
        <v>-5.9069714930849564</v>
      </c>
      <c r="E20" s="137">
        <f t="shared" si="3"/>
        <v>-3.216388655776151</v>
      </c>
      <c r="F20" s="137">
        <f t="shared" si="3"/>
        <v>-3.6863091214101504</v>
      </c>
      <c r="G20" s="137">
        <f t="shared" si="3"/>
        <v>-4.2113120834229205</v>
      </c>
    </row>
    <row r="21" spans="1:7">
      <c r="A21" s="19"/>
    </row>
    <row r="22" spans="1:7">
      <c r="A22" s="140" t="s">
        <v>449</v>
      </c>
      <c r="B22" s="139">
        <f t="shared" ref="B22:G22" si="4">B20*B16*B12</f>
        <v>-0.577627989086825</v>
      </c>
      <c r="C22" s="139">
        <f t="shared" si="4"/>
        <v>-0.11902197604943933</v>
      </c>
      <c r="D22" s="139">
        <f t="shared" si="4"/>
        <v>-0.79015899896509545</v>
      </c>
      <c r="E22" s="139">
        <f t="shared" si="4"/>
        <v>-0.37725177325347481</v>
      </c>
      <c r="F22" s="139">
        <f t="shared" si="4"/>
        <v>-0.51634993364881421</v>
      </c>
      <c r="G22" s="139">
        <f t="shared" si="4"/>
        <v>-0.50538862610191382</v>
      </c>
    </row>
    <row r="23" spans="1:7">
      <c r="A23" s="19"/>
    </row>
    <row r="24" spans="1:7">
      <c r="A24" s="140" t="s">
        <v>450</v>
      </c>
      <c r="B24" s="139">
        <f t="shared" ref="B24:G24" si="5">B10/B19</f>
        <v>-0.57762798908682478</v>
      </c>
      <c r="C24" s="139">
        <f t="shared" si="5"/>
        <v>-0.11902197604943932</v>
      </c>
      <c r="D24" s="139">
        <f t="shared" si="5"/>
        <v>-0.79015899896509534</v>
      </c>
      <c r="E24" s="139">
        <f t="shared" si="5"/>
        <v>-0.37725177325347475</v>
      </c>
      <c r="F24" s="139">
        <f t="shared" si="5"/>
        <v>-0.51634993364881421</v>
      </c>
      <c r="G24" s="139">
        <f t="shared" si="5"/>
        <v>-0.50538862610191382</v>
      </c>
    </row>
    <row r="25" spans="1:7">
      <c r="A25" s="46"/>
    </row>
    <row r="26" spans="1:7">
      <c r="A26" s="136" t="s">
        <v>451</v>
      </c>
      <c r="B26" s="134" t="str">
        <f>IF(B24=B22,"TRUE",0)</f>
        <v>TRUE</v>
      </c>
      <c r="C26" s="134" t="str">
        <f t="shared" ref="C26:G26" si="6">IF(C24=C22,"TRUE",0)</f>
        <v>TRUE</v>
      </c>
      <c r="D26" s="134" t="str">
        <f t="shared" si="6"/>
        <v>TRUE</v>
      </c>
      <c r="E26" s="134" t="str">
        <f t="shared" si="6"/>
        <v>TRUE</v>
      </c>
      <c r="F26" s="134" t="str">
        <f t="shared" si="6"/>
        <v>TRUE</v>
      </c>
      <c r="G26" s="134" t="str">
        <f t="shared" si="6"/>
        <v>TRUE</v>
      </c>
    </row>
  </sheetData>
  <mergeCells count="2">
    <mergeCell ref="B3:G3"/>
    <mergeCell ref="B9:G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3D37-216C-41E4-AE89-A6578BD73CBA}">
  <dimension ref="A1:H11"/>
  <sheetViews>
    <sheetView showGridLines="0" zoomScale="95" zoomScaleNormal="116" workbookViewId="0">
      <selection activeCell="J27" sqref="J27"/>
    </sheetView>
  </sheetViews>
  <sheetFormatPr defaultRowHeight="14.5"/>
  <cols>
    <col min="1" max="1" width="33.26953125" customWidth="1"/>
    <col min="2" max="2" width="14.26953125" customWidth="1"/>
    <col min="3" max="8" width="17" customWidth="1"/>
  </cols>
  <sheetData>
    <row r="1" spans="1:8">
      <c r="A1" s="71" t="s">
        <v>19</v>
      </c>
    </row>
    <row r="2" spans="1:8">
      <c r="A2" s="75" t="s">
        <v>196</v>
      </c>
    </row>
    <row r="3" spans="1:8">
      <c r="A3" s="2"/>
      <c r="B3" s="5"/>
      <c r="C3" s="4">
        <v>2019</v>
      </c>
      <c r="D3" s="4">
        <v>2020</v>
      </c>
      <c r="E3" s="4">
        <v>2021</v>
      </c>
      <c r="F3" s="4">
        <v>2022</v>
      </c>
      <c r="G3" s="4">
        <v>2023</v>
      </c>
      <c r="H3" s="112">
        <v>2024</v>
      </c>
    </row>
    <row r="4" spans="1:8">
      <c r="A4" t="s">
        <v>247</v>
      </c>
      <c r="C4">
        <v>5653.9</v>
      </c>
      <c r="D4">
        <v>7806.4</v>
      </c>
      <c r="E4">
        <v>9756.4</v>
      </c>
      <c r="F4">
        <v>7018.7</v>
      </c>
      <c r="G4">
        <v>7303.4</v>
      </c>
      <c r="H4">
        <v>6847.4</v>
      </c>
    </row>
    <row r="5" spans="1:8">
      <c r="A5" t="s">
        <v>248</v>
      </c>
      <c r="C5">
        <v>6168.7</v>
      </c>
      <c r="D5">
        <v>7346.8</v>
      </c>
      <c r="E5">
        <v>8151.4</v>
      </c>
      <c r="F5">
        <v>9151.7999999999993</v>
      </c>
      <c r="G5">
        <v>9345.2999999999993</v>
      </c>
      <c r="H5">
        <v>9070</v>
      </c>
    </row>
    <row r="6" spans="1:8">
      <c r="A6" s="6"/>
    </row>
    <row r="7" spans="1:8">
      <c r="A7" s="6" t="s">
        <v>249</v>
      </c>
      <c r="C7" s="10">
        <f t="shared" ref="C7:G7" si="0">C4/C5</f>
        <v>0.91654643604000841</v>
      </c>
      <c r="D7" s="10">
        <f t="shared" si="0"/>
        <v>1.0625578483149125</v>
      </c>
      <c r="E7" s="10">
        <f t="shared" si="0"/>
        <v>1.1968986922491842</v>
      </c>
      <c r="F7" s="10">
        <f t="shared" si="0"/>
        <v>0.76692016870998059</v>
      </c>
      <c r="G7" s="10">
        <f t="shared" si="0"/>
        <v>0.78150514162199181</v>
      </c>
      <c r="H7" s="10">
        <f>H4/H5</f>
        <v>0.75495038588754126</v>
      </c>
    </row>
    <row r="8" spans="1:8">
      <c r="A8" s="6" t="s">
        <v>250</v>
      </c>
      <c r="C8">
        <v>13.57</v>
      </c>
      <c r="D8">
        <v>3.95</v>
      </c>
      <c r="E8">
        <v>14.45</v>
      </c>
      <c r="F8">
        <v>10.18</v>
      </c>
      <c r="G8">
        <v>11.46</v>
      </c>
      <c r="H8">
        <v>10.4</v>
      </c>
    </row>
    <row r="9" spans="1:8">
      <c r="A9" s="6" t="s">
        <v>251</v>
      </c>
      <c r="C9">
        <v>24.35</v>
      </c>
      <c r="D9">
        <v>21.86</v>
      </c>
      <c r="E9">
        <v>29.03</v>
      </c>
      <c r="F9">
        <v>26</v>
      </c>
      <c r="G9">
        <v>27.43</v>
      </c>
      <c r="H9">
        <v>26.9</v>
      </c>
    </row>
    <row r="10" spans="1:8">
      <c r="A10" s="6" t="s">
        <v>478</v>
      </c>
      <c r="C10">
        <f>AVERAGE(D10:H10)</f>
        <v>2.81</v>
      </c>
      <c r="D10">
        <v>0.79</v>
      </c>
      <c r="E10">
        <v>3.54</v>
      </c>
      <c r="F10">
        <v>2.83</v>
      </c>
      <c r="G10">
        <v>3.58</v>
      </c>
      <c r="H10">
        <v>3.31</v>
      </c>
    </row>
    <row r="11" spans="1:8">
      <c r="A11" s="6" t="s">
        <v>479</v>
      </c>
      <c r="C11">
        <f>AVERAGE(D11:H11)</f>
        <v>44.839999999999996</v>
      </c>
      <c r="D11">
        <v>107</v>
      </c>
      <c r="E11">
        <v>31.7</v>
      </c>
      <c r="F11">
        <v>30.6</v>
      </c>
      <c r="G11">
        <v>25.5</v>
      </c>
      <c r="H11">
        <v>29.4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BB78-EDBA-461D-B76E-5A8F32DD4477}">
  <dimension ref="A1:N65"/>
  <sheetViews>
    <sheetView showGridLines="0" zoomScale="82" zoomScaleNormal="82" workbookViewId="0">
      <pane xSplit="1" ySplit="4" topLeftCell="D47" activePane="bottomRight" state="frozen"/>
      <selection pane="topRight" activeCell="B1" sqref="B1"/>
      <selection pane="bottomLeft" activeCell="A5" sqref="A5"/>
      <selection pane="bottomRight" activeCell="P73" sqref="P73"/>
    </sheetView>
  </sheetViews>
  <sheetFormatPr defaultRowHeight="14.5"/>
  <cols>
    <col min="1" max="1" width="47.81640625" customWidth="1"/>
    <col min="2" max="2" width="9.26953125" customWidth="1"/>
    <col min="3" max="7" width="12.453125" customWidth="1"/>
    <col min="8" max="13" width="11.90625" customWidth="1"/>
    <col min="14" max="14" width="13.26953125" customWidth="1"/>
  </cols>
  <sheetData>
    <row r="1" spans="1:14">
      <c r="A1" s="71" t="s">
        <v>19</v>
      </c>
    </row>
    <row r="2" spans="1:14">
      <c r="A2" s="75" t="s">
        <v>196</v>
      </c>
    </row>
    <row r="3" spans="1:14">
      <c r="A3" s="1" t="s">
        <v>0</v>
      </c>
      <c r="B3" s="5"/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72" t="s">
        <v>7</v>
      </c>
      <c r="J3" s="72" t="s">
        <v>7</v>
      </c>
      <c r="K3" s="72" t="s">
        <v>7</v>
      </c>
      <c r="L3" s="72" t="s">
        <v>7</v>
      </c>
      <c r="M3" s="73">
        <v>12</v>
      </c>
      <c r="N3" s="73">
        <v>12</v>
      </c>
    </row>
    <row r="4" spans="1:14">
      <c r="A4" s="2"/>
      <c r="B4" s="5"/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74" t="s">
        <v>14</v>
      </c>
      <c r="J4" s="74" t="s">
        <v>15</v>
      </c>
      <c r="K4" s="74" t="s">
        <v>16</v>
      </c>
      <c r="L4" s="74" t="s">
        <v>17</v>
      </c>
      <c r="M4" s="74" t="s">
        <v>18</v>
      </c>
      <c r="N4" s="74" t="s">
        <v>246</v>
      </c>
    </row>
    <row r="5" spans="1:14">
      <c r="A5" s="6" t="s">
        <v>193</v>
      </c>
    </row>
    <row r="6" spans="1:14">
      <c r="A6" t="s">
        <v>194</v>
      </c>
      <c r="C6" s="16">
        <v>2686.6</v>
      </c>
      <c r="D6" s="16">
        <v>4350.8999999999996</v>
      </c>
      <c r="E6" s="16">
        <v>6455.7</v>
      </c>
      <c r="F6" s="16">
        <v>2818.4</v>
      </c>
      <c r="G6" s="16">
        <v>3551.5</v>
      </c>
      <c r="H6" s="16">
        <v>3286.2</v>
      </c>
      <c r="I6" s="83">
        <f>CFS!C30</f>
        <v>2790.1603799170989</v>
      </c>
      <c r="J6" s="83">
        <f>CFS!D30</f>
        <v>1705.6063496189454</v>
      </c>
      <c r="K6" s="83">
        <f>CFS!E30</f>
        <v>1534.9683832541459</v>
      </c>
      <c r="L6" s="83">
        <f>CFS!F30</f>
        <v>1125.2335509685681</v>
      </c>
      <c r="M6" s="83">
        <f>CFS!G30</f>
        <v>-773.97596557537327</v>
      </c>
      <c r="N6" s="83">
        <f>CFS!H30</f>
        <v>-2892.3744107325711</v>
      </c>
    </row>
    <row r="7" spans="1:14">
      <c r="A7" t="s">
        <v>195</v>
      </c>
      <c r="C7">
        <v>70.5</v>
      </c>
      <c r="D7">
        <v>281.2</v>
      </c>
      <c r="E7">
        <v>162.19999999999999</v>
      </c>
      <c r="F7">
        <v>364.5</v>
      </c>
      <c r="G7">
        <v>401.5</v>
      </c>
      <c r="H7">
        <v>257</v>
      </c>
      <c r="I7">
        <f t="shared" ref="I7:M7" si="0">H7</f>
        <v>257</v>
      </c>
      <c r="J7">
        <f t="shared" si="0"/>
        <v>257</v>
      </c>
      <c r="K7">
        <f t="shared" si="0"/>
        <v>257</v>
      </c>
      <c r="L7">
        <f t="shared" si="0"/>
        <v>257</v>
      </c>
      <c r="M7">
        <f t="shared" si="0"/>
        <v>257</v>
      </c>
      <c r="N7">
        <f t="shared" ref="N7" si="1">M7</f>
        <v>257</v>
      </c>
    </row>
    <row r="8" spans="1:14">
      <c r="A8" t="s">
        <v>44</v>
      </c>
      <c r="C8">
        <v>879.2</v>
      </c>
      <c r="D8">
        <v>883.4</v>
      </c>
      <c r="E8">
        <v>940</v>
      </c>
      <c r="F8" s="16">
        <v>1175.5</v>
      </c>
      <c r="G8" s="16">
        <v>1184.0999999999999</v>
      </c>
      <c r="H8">
        <v>1213.8</v>
      </c>
      <c r="I8" s="83">
        <f>FAS!I37</f>
        <v>1251.0705533554685</v>
      </c>
      <c r="J8" s="83">
        <f>FAS!J37</f>
        <v>1264.4293287292185</v>
      </c>
      <c r="K8" s="83">
        <f>FAS!K37</f>
        <v>1287.0418156799201</v>
      </c>
      <c r="L8" s="83">
        <f>FAS!L37</f>
        <v>1330.6448115735768</v>
      </c>
      <c r="M8" s="83">
        <f>FAS!M37</f>
        <v>1422.9300523504137</v>
      </c>
      <c r="N8" s="83">
        <f>FAS!N37</f>
        <v>1629.2049755387134</v>
      </c>
    </row>
    <row r="9" spans="1:14">
      <c r="A9" t="s">
        <v>45</v>
      </c>
      <c r="C9" s="16">
        <v>1529.4</v>
      </c>
      <c r="D9" s="16">
        <v>1551.4</v>
      </c>
      <c r="E9" s="16">
        <v>1603.9</v>
      </c>
      <c r="F9" s="16">
        <v>2176.6</v>
      </c>
      <c r="G9" s="16">
        <v>1806.4</v>
      </c>
      <c r="H9" s="16">
        <v>1777.3</v>
      </c>
      <c r="I9" s="83">
        <f>FAS!I55</f>
        <v>2107.3641624348993</v>
      </c>
      <c r="J9" s="83">
        <f>FAS!J55</f>
        <v>2102.0945471902169</v>
      </c>
      <c r="K9" s="83">
        <f>FAS!K55</f>
        <v>2151.5103778522812</v>
      </c>
      <c r="L9" s="83">
        <f>FAS!L55</f>
        <v>2220.5704247796934</v>
      </c>
      <c r="M9" s="83">
        <f>FAS!M55</f>
        <v>2378.2059524926194</v>
      </c>
      <c r="N9" s="83">
        <f>FAS!N55</f>
        <v>2378.7808747535701</v>
      </c>
    </row>
    <row r="10" spans="1:14">
      <c r="A10" t="s">
        <v>46</v>
      </c>
      <c r="C10">
        <v>488.2</v>
      </c>
      <c r="D10">
        <v>739.5</v>
      </c>
      <c r="E10">
        <v>594.6</v>
      </c>
      <c r="F10">
        <v>483.7</v>
      </c>
      <c r="G10">
        <v>359.9</v>
      </c>
      <c r="H10">
        <v>313.10000000000002</v>
      </c>
      <c r="I10">
        <f t="shared" ref="I10:M10" si="2">H10</f>
        <v>313.10000000000002</v>
      </c>
      <c r="J10">
        <f t="shared" si="2"/>
        <v>313.10000000000002</v>
      </c>
      <c r="K10">
        <f t="shared" si="2"/>
        <v>313.10000000000002</v>
      </c>
      <c r="L10">
        <f t="shared" si="2"/>
        <v>313.10000000000002</v>
      </c>
      <c r="M10">
        <f t="shared" si="2"/>
        <v>313.10000000000002</v>
      </c>
      <c r="N10">
        <f t="shared" ref="N10" si="3">M10</f>
        <v>313.10000000000002</v>
      </c>
    </row>
    <row r="11" spans="1:14">
      <c r="A11" s="95" t="s">
        <v>232</v>
      </c>
      <c r="B11" s="96"/>
      <c r="C11" s="97">
        <f>SUM(C6:C10)</f>
        <v>5653.9000000000005</v>
      </c>
      <c r="D11" s="97">
        <f t="shared" ref="D11:G11" si="4">SUM(D6:D10)</f>
        <v>7806.4</v>
      </c>
      <c r="E11" s="97">
        <f t="shared" si="4"/>
        <v>9756.4</v>
      </c>
      <c r="F11" s="97">
        <f t="shared" si="4"/>
        <v>7018.7</v>
      </c>
      <c r="G11" s="97">
        <f t="shared" si="4"/>
        <v>7303.4</v>
      </c>
      <c r="H11" s="95">
        <f>SUM(H6:H10)</f>
        <v>6847.4000000000005</v>
      </c>
      <c r="I11" s="98">
        <f t="shared" ref="I11:M11" si="5">SUM(I6:I10)</f>
        <v>6718.6950957074669</v>
      </c>
      <c r="J11" s="98">
        <f t="shared" si="5"/>
        <v>5642.2302255383811</v>
      </c>
      <c r="K11" s="98">
        <f t="shared" si="5"/>
        <v>5543.6205767863476</v>
      </c>
      <c r="L11" s="98">
        <f t="shared" si="5"/>
        <v>5246.548787321839</v>
      </c>
      <c r="M11" s="98">
        <f t="shared" si="5"/>
        <v>3597.26003926766</v>
      </c>
      <c r="N11" s="98">
        <f t="shared" ref="N11" si="6">SUM(N6:N10)</f>
        <v>1685.7114395597123</v>
      </c>
    </row>
    <row r="12" spans="1:14">
      <c r="C12" s="16"/>
      <c r="D12" s="10"/>
      <c r="E12" s="10"/>
    </row>
    <row r="13" spans="1:14">
      <c r="A13" s="6" t="s">
        <v>192</v>
      </c>
      <c r="C13" s="16"/>
      <c r="D13" s="10"/>
      <c r="E13" s="10"/>
    </row>
    <row r="14" spans="1:14">
      <c r="A14" t="s">
        <v>47</v>
      </c>
      <c r="C14">
        <v>220</v>
      </c>
      <c r="D14">
        <v>206.1</v>
      </c>
      <c r="E14">
        <v>281.7</v>
      </c>
      <c r="F14">
        <v>279.10000000000002</v>
      </c>
      <c r="G14">
        <v>247.4</v>
      </c>
      <c r="H14">
        <v>276</v>
      </c>
      <c r="I14">
        <f t="shared" ref="I14:M14" si="7">H14</f>
        <v>276</v>
      </c>
      <c r="J14">
        <f t="shared" si="7"/>
        <v>276</v>
      </c>
      <c r="K14">
        <f t="shared" si="7"/>
        <v>276</v>
      </c>
      <c r="L14">
        <f t="shared" si="7"/>
        <v>276</v>
      </c>
      <c r="M14">
        <f t="shared" si="7"/>
        <v>276</v>
      </c>
      <c r="N14">
        <f t="shared" ref="N14:N15" si="8">M14</f>
        <v>276</v>
      </c>
    </row>
    <row r="15" spans="1:14">
      <c r="A15" t="s">
        <v>48</v>
      </c>
      <c r="C15">
        <v>396</v>
      </c>
      <c r="D15">
        <v>478.7</v>
      </c>
      <c r="E15">
        <v>268.5</v>
      </c>
      <c r="F15">
        <v>311.2</v>
      </c>
      <c r="G15">
        <v>439.9</v>
      </c>
      <c r="H15">
        <v>463.9</v>
      </c>
      <c r="I15">
        <f t="shared" ref="I15:M15" si="9">H15</f>
        <v>463.9</v>
      </c>
      <c r="J15">
        <f t="shared" si="9"/>
        <v>463.9</v>
      </c>
      <c r="K15">
        <f t="shared" si="9"/>
        <v>463.9</v>
      </c>
      <c r="L15">
        <f t="shared" si="9"/>
        <v>463.9</v>
      </c>
      <c r="M15">
        <f t="shared" si="9"/>
        <v>463.9</v>
      </c>
      <c r="N15">
        <f t="shared" si="8"/>
        <v>463.9</v>
      </c>
    </row>
    <row r="16" spans="1:14">
      <c r="A16" t="s">
        <v>49</v>
      </c>
      <c r="C16">
        <f>6431.7-C17</f>
        <v>5853.3</v>
      </c>
      <c r="D16">
        <f>6241.4-D17</f>
        <v>5784.2999999999993</v>
      </c>
      <c r="E16">
        <f>6369.5-E17</f>
        <v>6116</v>
      </c>
      <c r="F16">
        <f>6560.5-F17</f>
        <v>6502.1</v>
      </c>
      <c r="G16">
        <f>7387.1-G17</f>
        <v>7346</v>
      </c>
      <c r="H16">
        <f>8665.1-H17</f>
        <v>8643.7000000000007</v>
      </c>
      <c r="I16" s="90">
        <f>FAS!I10</f>
        <v>7989.3168832131723</v>
      </c>
      <c r="J16" s="90">
        <f>FAS!J10</f>
        <v>8074.6258127106348</v>
      </c>
      <c r="K16" s="90">
        <f>FAS!K10</f>
        <v>8219.0287988429027</v>
      </c>
      <c r="L16" s="90">
        <f>FAS!L10</f>
        <v>8497.4768450522406</v>
      </c>
      <c r="M16" s="90">
        <f>FAS!M10</f>
        <v>9086.8089416572566</v>
      </c>
      <c r="N16" s="90">
        <f>FAS!N10</f>
        <v>10404.077357888244</v>
      </c>
    </row>
    <row r="17" spans="1:14">
      <c r="A17" t="s">
        <v>50</v>
      </c>
      <c r="C17">
        <f>FAS!C23</f>
        <v>578.4</v>
      </c>
      <c r="D17">
        <f>FAS!D23</f>
        <v>457.1</v>
      </c>
      <c r="E17">
        <f>FAS!E23</f>
        <v>253.5</v>
      </c>
      <c r="F17">
        <f>FAS!F23</f>
        <v>58.4</v>
      </c>
      <c r="G17">
        <f>FAS!G23</f>
        <v>41.1</v>
      </c>
      <c r="H17">
        <f>FAS!H23</f>
        <v>21.4</v>
      </c>
      <c r="I17" s="87">
        <f>FAS!I23</f>
        <v>7.3999999999999986</v>
      </c>
      <c r="J17" s="87">
        <f>FAS!J23</f>
        <v>5.2999999999999989</v>
      </c>
      <c r="K17" s="87">
        <f>FAS!K23</f>
        <v>3.4999999999999991</v>
      </c>
      <c r="L17" s="87">
        <f>FAS!L23</f>
        <v>2.2999999999999989</v>
      </c>
      <c r="M17" s="87">
        <f>FAS!M23</f>
        <v>9.9999999999998757E-2</v>
      </c>
      <c r="N17" s="87">
        <f>FAS!N23</f>
        <v>-2.1000000000000014</v>
      </c>
    </row>
    <row r="18" spans="1:14">
      <c r="A18" t="s">
        <v>51</v>
      </c>
      <c r="C18" s="8" t="s">
        <v>20</v>
      </c>
      <c r="D18" s="16">
        <v>8134.1</v>
      </c>
      <c r="E18" s="16">
        <v>8236</v>
      </c>
      <c r="F18" s="16">
        <v>8015.6</v>
      </c>
      <c r="G18" s="16">
        <v>8412.6</v>
      </c>
      <c r="H18" s="16">
        <v>9286.2000000000007</v>
      </c>
      <c r="I18" s="16">
        <f t="shared" ref="I18:M18" si="10">H18</f>
        <v>9286.2000000000007</v>
      </c>
      <c r="J18" s="16">
        <f t="shared" si="10"/>
        <v>9286.2000000000007</v>
      </c>
      <c r="K18" s="16">
        <f t="shared" si="10"/>
        <v>9286.2000000000007</v>
      </c>
      <c r="L18" s="16">
        <f t="shared" si="10"/>
        <v>9286.2000000000007</v>
      </c>
      <c r="M18" s="16">
        <f t="shared" si="10"/>
        <v>9286.2000000000007</v>
      </c>
      <c r="N18" s="16">
        <f t="shared" ref="N18:N22" si="11">M18</f>
        <v>9286.2000000000007</v>
      </c>
    </row>
    <row r="19" spans="1:14">
      <c r="A19" t="s">
        <v>52</v>
      </c>
      <c r="C19" s="16">
        <v>1765.8</v>
      </c>
      <c r="D19" s="16">
        <v>1789.9</v>
      </c>
      <c r="E19" s="16">
        <v>1874.8</v>
      </c>
      <c r="F19" s="16">
        <v>1799.7</v>
      </c>
      <c r="G19" s="16">
        <v>1769.8</v>
      </c>
      <c r="H19" s="16">
        <v>1766.7</v>
      </c>
      <c r="I19" s="16">
        <f t="shared" ref="I19:M19" si="12">H19</f>
        <v>1766.7</v>
      </c>
      <c r="J19" s="16">
        <f t="shared" si="12"/>
        <v>1766.7</v>
      </c>
      <c r="K19" s="16">
        <f t="shared" si="12"/>
        <v>1766.7</v>
      </c>
      <c r="L19" s="16">
        <f t="shared" si="12"/>
        <v>1766.7</v>
      </c>
      <c r="M19" s="16">
        <f t="shared" si="12"/>
        <v>1766.7</v>
      </c>
      <c r="N19" s="16">
        <f t="shared" si="11"/>
        <v>1766.7</v>
      </c>
    </row>
    <row r="20" spans="1:14">
      <c r="A20" t="s">
        <v>53</v>
      </c>
      <c r="C20">
        <v>479.6</v>
      </c>
      <c r="D20">
        <v>568.6</v>
      </c>
      <c r="E20">
        <v>578.5</v>
      </c>
      <c r="F20">
        <v>554.20000000000005</v>
      </c>
      <c r="G20">
        <v>546.5</v>
      </c>
      <c r="H20">
        <v>617</v>
      </c>
      <c r="I20">
        <f t="shared" ref="I20:M20" si="13">H20</f>
        <v>617</v>
      </c>
      <c r="J20">
        <f t="shared" si="13"/>
        <v>617</v>
      </c>
      <c r="K20">
        <f t="shared" si="13"/>
        <v>617</v>
      </c>
      <c r="L20">
        <f t="shared" si="13"/>
        <v>617</v>
      </c>
      <c r="M20">
        <f t="shared" si="13"/>
        <v>617</v>
      </c>
      <c r="N20">
        <f t="shared" si="11"/>
        <v>617</v>
      </c>
    </row>
    <row r="21" spans="1:14">
      <c r="A21" t="s">
        <v>54</v>
      </c>
      <c r="C21">
        <v>781.8</v>
      </c>
      <c r="D21">
        <v>552.1</v>
      </c>
      <c r="E21">
        <v>349.9</v>
      </c>
      <c r="F21">
        <v>155.9</v>
      </c>
      <c r="G21">
        <v>120.5</v>
      </c>
      <c r="H21">
        <v>100.9</v>
      </c>
      <c r="I21">
        <f t="shared" ref="I21:M22" si="14">H21</f>
        <v>100.9</v>
      </c>
      <c r="J21">
        <f t="shared" si="14"/>
        <v>100.9</v>
      </c>
      <c r="K21">
        <f t="shared" si="14"/>
        <v>100.9</v>
      </c>
      <c r="L21">
        <f t="shared" si="14"/>
        <v>100.9</v>
      </c>
      <c r="M21">
        <f t="shared" si="14"/>
        <v>100.9</v>
      </c>
      <c r="N21">
        <f t="shared" si="11"/>
        <v>100.9</v>
      </c>
    </row>
    <row r="22" spans="1:14">
      <c r="A22" t="s">
        <v>55</v>
      </c>
      <c r="C22" s="16">
        <v>3490.8</v>
      </c>
      <c r="D22" s="16">
        <v>3597.2</v>
      </c>
      <c r="E22" s="16">
        <v>3677.3</v>
      </c>
      <c r="F22" s="16">
        <v>3283.5</v>
      </c>
      <c r="G22" s="16">
        <v>3218.3</v>
      </c>
      <c r="H22" s="16">
        <v>3315.7</v>
      </c>
      <c r="I22">
        <f t="shared" si="14"/>
        <v>3315.7</v>
      </c>
      <c r="J22">
        <f t="shared" si="14"/>
        <v>3315.7</v>
      </c>
      <c r="K22">
        <f t="shared" si="14"/>
        <v>3315.7</v>
      </c>
      <c r="L22">
        <f t="shared" si="14"/>
        <v>3315.7</v>
      </c>
      <c r="M22">
        <f t="shared" si="14"/>
        <v>3315.7</v>
      </c>
      <c r="N22">
        <f t="shared" si="11"/>
        <v>3315.7</v>
      </c>
    </row>
    <row r="23" spans="1:14">
      <c r="A23" s="95" t="s">
        <v>233</v>
      </c>
      <c r="B23" s="96"/>
      <c r="C23" s="97">
        <f>SUM(C14:C22)</f>
        <v>13565.7</v>
      </c>
      <c r="D23" s="97">
        <f t="shared" ref="D23:M23" si="15">SUM(D14:D22)</f>
        <v>21568.1</v>
      </c>
      <c r="E23" s="97">
        <f t="shared" si="15"/>
        <v>21636.2</v>
      </c>
      <c r="F23" s="97">
        <f t="shared" si="15"/>
        <v>20959.700000000004</v>
      </c>
      <c r="G23" s="97">
        <f t="shared" si="15"/>
        <v>22142.1</v>
      </c>
      <c r="H23" s="95">
        <f t="shared" si="15"/>
        <v>24491.500000000004</v>
      </c>
      <c r="I23" s="98">
        <f t="shared" si="15"/>
        <v>23823.116883213173</v>
      </c>
      <c r="J23" s="98">
        <f t="shared" si="15"/>
        <v>23906.325812710638</v>
      </c>
      <c r="K23" s="98">
        <f t="shared" si="15"/>
        <v>24048.928798842906</v>
      </c>
      <c r="L23" s="98">
        <f t="shared" si="15"/>
        <v>24326.176845052243</v>
      </c>
      <c r="M23" s="98">
        <f t="shared" si="15"/>
        <v>24913.308941657262</v>
      </c>
      <c r="N23" s="98">
        <f t="shared" ref="N23" si="16">SUM(N14:N22)</f>
        <v>26228.377357888246</v>
      </c>
    </row>
    <row r="24" spans="1:14">
      <c r="A24" s="6"/>
      <c r="C24" s="17"/>
      <c r="D24" s="17"/>
      <c r="E24" s="17"/>
      <c r="F24" s="17"/>
      <c r="G24" s="17"/>
      <c r="I24" s="17"/>
      <c r="J24" s="17"/>
      <c r="K24" s="17"/>
      <c r="L24" s="17"/>
      <c r="M24" s="17"/>
      <c r="N24" s="17"/>
    </row>
    <row r="25" spans="1:14" s="14" customFormat="1" ht="15" thickBot="1">
      <c r="A25" s="91" t="s">
        <v>56</v>
      </c>
      <c r="B25" s="92"/>
      <c r="C25" s="93">
        <f t="shared" ref="C25:M25" si="17">SUM(C11,C23)</f>
        <v>19219.600000000002</v>
      </c>
      <c r="D25" s="93">
        <f t="shared" si="17"/>
        <v>29374.5</v>
      </c>
      <c r="E25" s="93">
        <f t="shared" si="17"/>
        <v>31392.6</v>
      </c>
      <c r="F25" s="93">
        <f t="shared" si="17"/>
        <v>27978.400000000005</v>
      </c>
      <c r="G25" s="93">
        <f t="shared" si="17"/>
        <v>29445.5</v>
      </c>
      <c r="H25" s="91">
        <f t="shared" si="17"/>
        <v>31338.900000000005</v>
      </c>
      <c r="I25" s="94">
        <f t="shared" si="17"/>
        <v>30541.811978920639</v>
      </c>
      <c r="J25" s="94">
        <f t="shared" si="17"/>
        <v>29548.556038249018</v>
      </c>
      <c r="K25" s="94">
        <f t="shared" si="17"/>
        <v>29592.549375629253</v>
      </c>
      <c r="L25" s="94">
        <f t="shared" si="17"/>
        <v>29572.72563237408</v>
      </c>
      <c r="M25" s="94">
        <f t="shared" si="17"/>
        <v>28510.568980924923</v>
      </c>
      <c r="N25" s="94">
        <f t="shared" ref="N25" si="18">SUM(N11,N23)</f>
        <v>27914.088797447959</v>
      </c>
    </row>
    <row r="26" spans="1:14" ht="15" thickTop="1"/>
    <row r="27" spans="1:14">
      <c r="A27" s="6" t="s">
        <v>57</v>
      </c>
    </row>
    <row r="28" spans="1:14">
      <c r="A28" s="6" t="s">
        <v>58</v>
      </c>
    </row>
    <row r="29" spans="1:14">
      <c r="A29" t="s">
        <v>59</v>
      </c>
      <c r="C29" s="16">
        <v>1189.7</v>
      </c>
      <c r="D29">
        <v>997.9</v>
      </c>
      <c r="E29" s="16">
        <v>1211.5999999999999</v>
      </c>
      <c r="F29" s="16">
        <v>1441.4</v>
      </c>
      <c r="G29" s="16">
        <v>1544.3</v>
      </c>
      <c r="H29" s="16">
        <v>1595.5</v>
      </c>
      <c r="I29" s="83">
        <f>FAS!I46</f>
        <v>1593.393556116506</v>
      </c>
      <c r="J29" s="83">
        <f>FAS!J46</f>
        <v>1589.4091612388838</v>
      </c>
      <c r="K29" s="83">
        <f>FAS!K46</f>
        <v>1626.7728345662792</v>
      </c>
      <c r="L29" s="83">
        <f>FAS!L46</f>
        <v>1678.9896444184974</v>
      </c>
      <c r="M29" s="83">
        <f>FAS!M46</f>
        <v>1798.1790273216343</v>
      </c>
      <c r="N29" s="83">
        <f>FAS!N46</f>
        <v>1798.6137302753034</v>
      </c>
    </row>
    <row r="30" spans="1:14">
      <c r="A30" t="s">
        <v>60</v>
      </c>
      <c r="C30" s="16">
        <v>1753.7</v>
      </c>
      <c r="D30" s="16">
        <v>1160.7</v>
      </c>
      <c r="E30" s="16">
        <v>1973.2</v>
      </c>
      <c r="F30" s="16">
        <v>2137.1</v>
      </c>
      <c r="G30" s="16">
        <v>2145.1</v>
      </c>
      <c r="H30" s="16">
        <v>2194.6999999999998</v>
      </c>
      <c r="I30" s="16">
        <f t="shared" ref="I30:M30" si="19">H30</f>
        <v>2194.6999999999998</v>
      </c>
      <c r="J30" s="16">
        <f t="shared" si="19"/>
        <v>2194.6999999999998</v>
      </c>
      <c r="K30" s="16">
        <f t="shared" si="19"/>
        <v>2194.6999999999998</v>
      </c>
      <c r="L30" s="16">
        <f t="shared" si="19"/>
        <v>2194.6999999999998</v>
      </c>
      <c r="M30" s="16">
        <f t="shared" si="19"/>
        <v>2194.6999999999998</v>
      </c>
      <c r="N30" s="16">
        <f t="shared" ref="N30:N34" si="20">M30</f>
        <v>2194.6999999999998</v>
      </c>
    </row>
    <row r="31" spans="1:14">
      <c r="A31" t="s">
        <v>61</v>
      </c>
      <c r="C31">
        <v>664.6</v>
      </c>
      <c r="D31">
        <v>696</v>
      </c>
      <c r="E31">
        <v>772.3</v>
      </c>
      <c r="F31">
        <v>761.7</v>
      </c>
      <c r="G31">
        <v>828.3</v>
      </c>
      <c r="H31">
        <v>786.6</v>
      </c>
      <c r="I31">
        <f t="shared" ref="I31:M31" si="21">H31</f>
        <v>786.6</v>
      </c>
      <c r="J31">
        <f t="shared" si="21"/>
        <v>786.6</v>
      </c>
      <c r="K31">
        <f t="shared" si="21"/>
        <v>786.6</v>
      </c>
      <c r="L31">
        <f t="shared" si="21"/>
        <v>786.6</v>
      </c>
      <c r="M31">
        <f t="shared" si="21"/>
        <v>786.6</v>
      </c>
      <c r="N31">
        <f t="shared" si="20"/>
        <v>786.6</v>
      </c>
    </row>
    <row r="32" spans="1:14">
      <c r="A32" t="s">
        <v>62</v>
      </c>
      <c r="C32" s="16">
        <v>1291.7</v>
      </c>
      <c r="D32">
        <v>98.2</v>
      </c>
      <c r="E32">
        <v>348</v>
      </c>
      <c r="F32" s="8" t="s">
        <v>20</v>
      </c>
      <c r="G32" s="8" t="s">
        <v>20</v>
      </c>
      <c r="H32" s="8" t="s">
        <v>20</v>
      </c>
      <c r="I32" s="22" t="str">
        <f t="shared" ref="I32:M32" si="22">H32</f>
        <v>-</v>
      </c>
      <c r="J32" s="22" t="str">
        <f t="shared" si="22"/>
        <v>-</v>
      </c>
      <c r="K32" s="22" t="str">
        <f t="shared" si="22"/>
        <v>-</v>
      </c>
      <c r="L32" s="22" t="str">
        <f t="shared" si="22"/>
        <v>-</v>
      </c>
      <c r="M32" s="22" t="str">
        <f t="shared" si="22"/>
        <v>-</v>
      </c>
      <c r="N32" s="22" t="str">
        <f t="shared" si="20"/>
        <v>-</v>
      </c>
    </row>
    <row r="33" spans="1:14">
      <c r="A33" t="s">
        <v>63</v>
      </c>
      <c r="C33" s="8" t="s">
        <v>20</v>
      </c>
      <c r="D33" s="16">
        <v>1248.8</v>
      </c>
      <c r="E33" s="16">
        <v>1251.3</v>
      </c>
      <c r="F33" s="16">
        <v>1245.7</v>
      </c>
      <c r="G33" s="16">
        <v>1275.3</v>
      </c>
      <c r="H33" s="16">
        <v>1463.1</v>
      </c>
      <c r="I33" s="16">
        <f t="shared" ref="I33:M33" si="23">H33</f>
        <v>1463.1</v>
      </c>
      <c r="J33" s="16">
        <f t="shared" si="23"/>
        <v>1463.1</v>
      </c>
      <c r="K33" s="16">
        <f t="shared" si="23"/>
        <v>1463.1</v>
      </c>
      <c r="L33" s="16">
        <f t="shared" si="23"/>
        <v>1463.1</v>
      </c>
      <c r="M33" s="16">
        <f t="shared" si="23"/>
        <v>1463.1</v>
      </c>
      <c r="N33" s="16">
        <f t="shared" si="20"/>
        <v>1463.1</v>
      </c>
    </row>
    <row r="34" spans="1:14" ht="29">
      <c r="A34" s="20" t="s">
        <v>64</v>
      </c>
      <c r="C34" s="16">
        <v>1269</v>
      </c>
      <c r="D34" s="16">
        <v>1456.5</v>
      </c>
      <c r="E34" s="16">
        <v>1596.1</v>
      </c>
      <c r="F34" s="16">
        <v>1641.9</v>
      </c>
      <c r="G34" s="16">
        <v>1700.2</v>
      </c>
      <c r="H34" s="16">
        <v>1781.2</v>
      </c>
      <c r="I34" s="16">
        <f t="shared" ref="I34:M34" si="24">H34</f>
        <v>1781.2</v>
      </c>
      <c r="J34" s="16">
        <f t="shared" si="24"/>
        <v>1781.2</v>
      </c>
      <c r="K34" s="16">
        <f t="shared" si="24"/>
        <v>1781.2</v>
      </c>
      <c r="L34" s="16">
        <f t="shared" si="24"/>
        <v>1781.2</v>
      </c>
      <c r="M34" s="16">
        <f t="shared" si="24"/>
        <v>1781.2</v>
      </c>
      <c r="N34" s="16">
        <f t="shared" si="20"/>
        <v>1781.2</v>
      </c>
    </row>
    <row r="35" spans="1:14">
      <c r="A35" t="s">
        <v>65</v>
      </c>
      <c r="C35" s="8" t="s">
        <v>20</v>
      </c>
      <c r="D35">
        <v>438.8</v>
      </c>
      <c r="E35" s="49" t="s">
        <v>20</v>
      </c>
      <c r="F35">
        <v>175</v>
      </c>
      <c r="G35">
        <v>33.5</v>
      </c>
      <c r="H35" s="114">
        <v>0</v>
      </c>
      <c r="I35" s="90">
        <f>DS!C10</f>
        <v>1500</v>
      </c>
      <c r="J35" s="90">
        <f>DS!D10</f>
        <v>500</v>
      </c>
      <c r="K35" s="90">
        <f>DS!E10</f>
        <v>600</v>
      </c>
      <c r="L35" s="90">
        <f>DS!F10</f>
        <v>1750</v>
      </c>
      <c r="M35" s="90">
        <f>DS!G10</f>
        <v>1750</v>
      </c>
      <c r="N35" s="90">
        <f>DS!H10</f>
        <v>0</v>
      </c>
    </row>
    <row r="36" spans="1:14">
      <c r="A36" t="s">
        <v>66</v>
      </c>
      <c r="C36" s="8" t="s">
        <v>20</v>
      </c>
      <c r="D36" s="16">
        <v>1249.9000000000001</v>
      </c>
      <c r="E36">
        <v>998.9</v>
      </c>
      <c r="F36" s="16">
        <v>1749</v>
      </c>
      <c r="G36" s="16">
        <v>1818.6</v>
      </c>
      <c r="H36" s="16">
        <v>1248.9000000000001</v>
      </c>
    </row>
    <row r="37" spans="1:14">
      <c r="A37" s="95" t="s">
        <v>216</v>
      </c>
      <c r="B37" s="96"/>
      <c r="C37" s="97">
        <f>SUM(C29:C36)</f>
        <v>6168.7</v>
      </c>
      <c r="D37" s="97">
        <f t="shared" ref="D37:F37" si="25">SUM(D29:D36)</f>
        <v>7346.7999999999993</v>
      </c>
      <c r="E37" s="97">
        <f t="shared" si="25"/>
        <v>8151.4</v>
      </c>
      <c r="F37" s="97">
        <f t="shared" si="25"/>
        <v>9151.7999999999993</v>
      </c>
      <c r="G37" s="97">
        <f>SUM(G29:G36)</f>
        <v>9345.2999999999993</v>
      </c>
      <c r="H37" s="115">
        <f>SUM(H29:H36)</f>
        <v>9070</v>
      </c>
      <c r="I37" s="98">
        <f t="shared" ref="I37:M37" si="26">SUM(I29:I36)</f>
        <v>9318.9935561165075</v>
      </c>
      <c r="J37" s="98">
        <f t="shared" si="26"/>
        <v>8315.0091612388824</v>
      </c>
      <c r="K37" s="98">
        <f t="shared" si="26"/>
        <v>8452.3728345662785</v>
      </c>
      <c r="L37" s="98">
        <f t="shared" si="26"/>
        <v>9654.5896444184982</v>
      </c>
      <c r="M37" s="98">
        <f t="shared" si="26"/>
        <v>9773.7790273216342</v>
      </c>
      <c r="N37" s="98">
        <f t="shared" ref="N37" si="27">SUM(N29:N36)</f>
        <v>8024.2137302753026</v>
      </c>
    </row>
    <row r="39" spans="1:14">
      <c r="A39" t="s">
        <v>67</v>
      </c>
      <c r="C39" s="16">
        <v>11167</v>
      </c>
      <c r="D39" s="16">
        <v>14659.6</v>
      </c>
      <c r="E39" s="16">
        <v>13616.9</v>
      </c>
      <c r="F39" s="16">
        <v>13119.9</v>
      </c>
      <c r="G39" s="16">
        <v>13547.6</v>
      </c>
      <c r="H39" s="16">
        <v>14319.5</v>
      </c>
      <c r="I39" s="90">
        <f>DS!C11</f>
        <v>12818.4</v>
      </c>
      <c r="J39" s="90">
        <f>DS!D11</f>
        <v>12318.4</v>
      </c>
      <c r="K39" s="90">
        <f>DS!E11</f>
        <v>11718.4</v>
      </c>
      <c r="L39" s="90">
        <f>DS!F11</f>
        <v>9968.4</v>
      </c>
      <c r="M39" s="90">
        <f>DS!G11</f>
        <v>8218.4</v>
      </c>
      <c r="N39" s="90">
        <f>DS!H11</f>
        <v>8218.4</v>
      </c>
    </row>
    <row r="40" spans="1:14">
      <c r="A40" t="s">
        <v>68</v>
      </c>
      <c r="D40" s="16">
        <v>7661.7</v>
      </c>
      <c r="E40" s="16">
        <v>7738</v>
      </c>
      <c r="F40" s="16">
        <v>7515.2</v>
      </c>
      <c r="G40" s="16">
        <v>7924.8</v>
      </c>
      <c r="H40" s="16">
        <v>8771.6</v>
      </c>
      <c r="I40" s="16">
        <f t="shared" ref="I40:M40" si="28">H40</f>
        <v>8771.6</v>
      </c>
      <c r="J40" s="16">
        <f t="shared" si="28"/>
        <v>8771.6</v>
      </c>
      <c r="K40" s="16">
        <f t="shared" si="28"/>
        <v>8771.6</v>
      </c>
      <c r="L40" s="16">
        <f t="shared" si="28"/>
        <v>8771.6</v>
      </c>
      <c r="M40" s="16">
        <f t="shared" si="28"/>
        <v>8771.6</v>
      </c>
      <c r="N40" s="16">
        <f t="shared" ref="N40:N42" si="29">M40</f>
        <v>8771.6</v>
      </c>
    </row>
    <row r="41" spans="1:14">
      <c r="A41" t="s">
        <v>69</v>
      </c>
      <c r="C41" s="16">
        <v>6744.4</v>
      </c>
      <c r="D41" s="16">
        <v>6598.5</v>
      </c>
      <c r="E41" s="16">
        <v>6463</v>
      </c>
      <c r="F41" s="16">
        <v>6279.7</v>
      </c>
      <c r="G41" s="16">
        <v>6101.8</v>
      </c>
      <c r="H41" s="16">
        <v>5963.6</v>
      </c>
      <c r="I41" s="16">
        <f t="shared" ref="I41:M41" si="30">H41</f>
        <v>5963.6</v>
      </c>
      <c r="J41" s="16">
        <f t="shared" si="30"/>
        <v>5963.6</v>
      </c>
      <c r="K41" s="16">
        <f t="shared" si="30"/>
        <v>5963.6</v>
      </c>
      <c r="L41" s="16">
        <f t="shared" si="30"/>
        <v>5963.6</v>
      </c>
      <c r="M41" s="16">
        <f t="shared" si="30"/>
        <v>5963.6</v>
      </c>
      <c r="N41" s="16">
        <f t="shared" si="29"/>
        <v>5963.6</v>
      </c>
    </row>
    <row r="42" spans="1:14">
      <c r="A42" t="s">
        <v>70</v>
      </c>
      <c r="C42" s="16">
        <v>1370.5</v>
      </c>
      <c r="D42">
        <v>907.3</v>
      </c>
      <c r="E42">
        <v>737.8</v>
      </c>
      <c r="F42" s="16">
        <v>610.5</v>
      </c>
      <c r="G42">
        <v>513.79999999999995</v>
      </c>
      <c r="H42" s="16">
        <v>656.2</v>
      </c>
      <c r="I42">
        <f t="shared" ref="I42:M42" si="31">H42</f>
        <v>656.2</v>
      </c>
      <c r="J42">
        <f t="shared" si="31"/>
        <v>656.2</v>
      </c>
      <c r="K42">
        <f t="shared" si="31"/>
        <v>656.2</v>
      </c>
      <c r="L42">
        <f t="shared" si="31"/>
        <v>656.2</v>
      </c>
      <c r="M42">
        <f t="shared" si="31"/>
        <v>656.2</v>
      </c>
      <c r="N42">
        <f t="shared" si="29"/>
        <v>656.2</v>
      </c>
    </row>
    <row r="43" spans="1:14">
      <c r="A43" s="95" t="s">
        <v>217</v>
      </c>
      <c r="B43" s="99"/>
      <c r="C43" s="97">
        <f t="shared" ref="C43:M43" si="32">SUM(C39:C42)</f>
        <v>19281.900000000001</v>
      </c>
      <c r="D43" s="97">
        <f t="shared" si="32"/>
        <v>29827.1</v>
      </c>
      <c r="E43" s="97">
        <f t="shared" si="32"/>
        <v>28555.7</v>
      </c>
      <c r="F43" s="97">
        <f t="shared" si="32"/>
        <v>27525.3</v>
      </c>
      <c r="G43" s="97">
        <f t="shared" si="32"/>
        <v>28088</v>
      </c>
      <c r="H43" s="95">
        <f t="shared" si="32"/>
        <v>29710.899999999998</v>
      </c>
      <c r="I43" s="98">
        <f t="shared" si="32"/>
        <v>28209.8</v>
      </c>
      <c r="J43" s="98">
        <f t="shared" si="32"/>
        <v>27709.8</v>
      </c>
      <c r="K43" s="98">
        <f t="shared" si="32"/>
        <v>27109.8</v>
      </c>
      <c r="L43" s="98">
        <f t="shared" si="32"/>
        <v>25359.8</v>
      </c>
      <c r="M43" s="98">
        <f t="shared" si="32"/>
        <v>23609.8</v>
      </c>
      <c r="N43" s="98">
        <f t="shared" ref="N43" si="33">SUM(N39:N42)</f>
        <v>23609.8</v>
      </c>
    </row>
    <row r="45" spans="1:14" ht="15" thickBot="1">
      <c r="A45" s="15" t="s">
        <v>230</v>
      </c>
      <c r="B45" s="14"/>
      <c r="C45" s="18">
        <f>SUM(C37,C43)</f>
        <v>25450.600000000002</v>
      </c>
      <c r="D45" s="18">
        <f t="shared" ref="D45:M45" si="34">SUM(D37,D43)</f>
        <v>37173.899999999994</v>
      </c>
      <c r="E45" s="18">
        <f t="shared" si="34"/>
        <v>36707.1</v>
      </c>
      <c r="F45" s="18">
        <f t="shared" si="34"/>
        <v>36677.1</v>
      </c>
      <c r="G45" s="18">
        <f t="shared" si="34"/>
        <v>37433.300000000003</v>
      </c>
      <c r="H45" s="28">
        <f t="shared" si="34"/>
        <v>38780.899999999994</v>
      </c>
      <c r="I45" s="88">
        <f t="shared" si="34"/>
        <v>37528.793556116507</v>
      </c>
      <c r="J45" s="88">
        <f t="shared" si="34"/>
        <v>36024.809161238882</v>
      </c>
      <c r="K45" s="88">
        <f t="shared" si="34"/>
        <v>35562.172834566278</v>
      </c>
      <c r="L45" s="88">
        <f t="shared" si="34"/>
        <v>35014.389644418494</v>
      </c>
      <c r="M45" s="88">
        <f t="shared" si="34"/>
        <v>33383.579027321633</v>
      </c>
      <c r="N45" s="88">
        <f t="shared" ref="N45" si="35">SUM(N37,N43)</f>
        <v>31634.013730275303</v>
      </c>
    </row>
    <row r="47" spans="1:14">
      <c r="A47" t="s">
        <v>71</v>
      </c>
    </row>
    <row r="48" spans="1:14">
      <c r="A48" t="s">
        <v>79</v>
      </c>
      <c r="C48">
        <v>1.2</v>
      </c>
      <c r="D48">
        <v>1.2</v>
      </c>
      <c r="E48">
        <v>1.2</v>
      </c>
      <c r="F48">
        <v>1.1000000000000001</v>
      </c>
      <c r="G48">
        <v>1.1000000000000001</v>
      </c>
      <c r="H48">
        <v>1.1000000000000001</v>
      </c>
      <c r="I48">
        <f t="shared" ref="I48:M48" si="36">H48</f>
        <v>1.1000000000000001</v>
      </c>
      <c r="J48">
        <f t="shared" si="36"/>
        <v>1.1000000000000001</v>
      </c>
      <c r="K48">
        <f t="shared" si="36"/>
        <v>1.1000000000000001</v>
      </c>
      <c r="L48">
        <f t="shared" si="36"/>
        <v>1.1000000000000001</v>
      </c>
      <c r="M48">
        <f t="shared" si="36"/>
        <v>1.1000000000000001</v>
      </c>
      <c r="N48">
        <f t="shared" ref="N48" si="37">M48</f>
        <v>1.1000000000000001</v>
      </c>
    </row>
    <row r="49" spans="1:14">
      <c r="A49" t="s">
        <v>72</v>
      </c>
    </row>
    <row r="51" spans="1:14">
      <c r="A51" t="s">
        <v>73</v>
      </c>
      <c r="C51">
        <v>41.1</v>
      </c>
      <c r="D51">
        <v>373.9</v>
      </c>
      <c r="E51">
        <v>846.1</v>
      </c>
      <c r="F51">
        <v>205.3</v>
      </c>
      <c r="G51">
        <v>38.1</v>
      </c>
      <c r="H51">
        <v>322.60000000000002</v>
      </c>
      <c r="I51">
        <f t="shared" ref="I51:M51" si="38">H51</f>
        <v>322.60000000000002</v>
      </c>
      <c r="J51">
        <f t="shared" si="38"/>
        <v>322.60000000000002</v>
      </c>
      <c r="K51">
        <f t="shared" si="38"/>
        <v>322.60000000000002</v>
      </c>
      <c r="L51">
        <f t="shared" si="38"/>
        <v>322.60000000000002</v>
      </c>
      <c r="M51">
        <f t="shared" si="38"/>
        <v>322.60000000000002</v>
      </c>
      <c r="N51">
        <f t="shared" ref="N51" si="39">M51</f>
        <v>322.60000000000002</v>
      </c>
    </row>
    <row r="52" spans="1:14">
      <c r="A52" t="s">
        <v>74</v>
      </c>
      <c r="C52" s="16">
        <v>-5771.2</v>
      </c>
      <c r="D52" s="16">
        <v>-7815.6</v>
      </c>
      <c r="E52" s="16">
        <v>-6315.7</v>
      </c>
      <c r="F52" s="16">
        <v>-8449.7999999999993</v>
      </c>
      <c r="G52" s="16">
        <v>-7255.8</v>
      </c>
      <c r="H52" s="16">
        <v>-7343.8</v>
      </c>
      <c r="I52" s="86">
        <f>H52+IS!I29-IS!I32</f>
        <v>-6890.0715412943591</v>
      </c>
      <c r="J52" s="86">
        <f>I52+IS!J29-IS!J32</f>
        <v>-6380.7909875182904</v>
      </c>
      <c r="K52" s="86">
        <f>J52+IS!K29-IS!K32</f>
        <v>-5875.5976039435727</v>
      </c>
      <c r="L52" s="86">
        <f>K52+IS!L29-IS!L32</f>
        <v>-5349.134906847934</v>
      </c>
      <c r="M52" s="86">
        <f>L52+IS!M29-IS!M32</f>
        <v>-4782.0930587835828</v>
      </c>
      <c r="N52" s="86">
        <f>M52+IS!N29-IS!N32</f>
        <v>-3632.2769082373889</v>
      </c>
    </row>
    <row r="53" spans="1:14">
      <c r="A53" t="s">
        <v>75</v>
      </c>
      <c r="C53">
        <v>-503.3</v>
      </c>
      <c r="D53">
        <v>-364.6</v>
      </c>
      <c r="E53">
        <v>147.19999999999999</v>
      </c>
      <c r="F53">
        <v>-463.2</v>
      </c>
      <c r="G53">
        <v>-778.2</v>
      </c>
      <c r="H53">
        <v>-428.8</v>
      </c>
      <c r="I53">
        <f t="shared" ref="I53:M53" si="40">H53</f>
        <v>-428.8</v>
      </c>
      <c r="J53">
        <f t="shared" si="40"/>
        <v>-428.8</v>
      </c>
      <c r="K53">
        <f t="shared" si="40"/>
        <v>-428.8</v>
      </c>
      <c r="L53">
        <f t="shared" si="40"/>
        <v>-428.8</v>
      </c>
      <c r="M53">
        <f t="shared" si="40"/>
        <v>-428.8</v>
      </c>
      <c r="N53">
        <f t="shared" ref="N53" si="41">M53</f>
        <v>-428.8</v>
      </c>
    </row>
    <row r="54" spans="1:14">
      <c r="A54" t="s">
        <v>76</v>
      </c>
      <c r="C54" s="16">
        <f>SUM(C48:C53)</f>
        <v>-6232.2</v>
      </c>
      <c r="D54" s="16">
        <f t="shared" ref="D54:F54" si="42">SUM(D48:D53)</f>
        <v>-7805.1</v>
      </c>
      <c r="E54" s="16">
        <f t="shared" si="42"/>
        <v>-5321.2</v>
      </c>
      <c r="F54" s="16">
        <f t="shared" si="42"/>
        <v>-8706.6</v>
      </c>
      <c r="G54" s="16">
        <f>SUM(G48:G53)</f>
        <v>-7994.8</v>
      </c>
      <c r="H54" s="10">
        <v>-7448.9</v>
      </c>
      <c r="I54" s="16">
        <f t="shared" ref="I54:M54" si="43">SUM(I48:I53)</f>
        <v>-6995.1715412943595</v>
      </c>
      <c r="J54" s="16">
        <f t="shared" si="43"/>
        <v>-6485.8909875182908</v>
      </c>
      <c r="K54" s="16">
        <f t="shared" si="43"/>
        <v>-5980.6976039435731</v>
      </c>
      <c r="L54" s="16">
        <f t="shared" si="43"/>
        <v>-5454.2349068479343</v>
      </c>
      <c r="M54" s="16">
        <f t="shared" si="43"/>
        <v>-4887.1930587835832</v>
      </c>
      <c r="N54" s="16">
        <f t="shared" ref="N54" si="44">SUM(N48:N53)</f>
        <v>-3737.3769082373892</v>
      </c>
    </row>
    <row r="55" spans="1:14">
      <c r="A55" t="s">
        <v>215</v>
      </c>
      <c r="C55">
        <v>1.2</v>
      </c>
      <c r="D55">
        <v>5.7</v>
      </c>
      <c r="E55">
        <v>6.7</v>
      </c>
      <c r="F55">
        <v>7.9</v>
      </c>
      <c r="G55">
        <v>7</v>
      </c>
      <c r="H55">
        <v>7.3</v>
      </c>
      <c r="I55" s="38">
        <f>H55+IS!I28</f>
        <v>8.5899640984920733</v>
      </c>
      <c r="J55" s="38">
        <f>I55+IS!J28</f>
        <v>10.037864528421888</v>
      </c>
      <c r="K55" s="38">
        <f>J55+IS!K28</f>
        <v>11.474145006543502</v>
      </c>
      <c r="L55" s="38">
        <f>K55+IS!L28</f>
        <v>12.97089480351681</v>
      </c>
      <c r="M55" s="38">
        <f>L55+IS!M28</f>
        <v>14.583012386866702</v>
      </c>
      <c r="N55" s="38">
        <f>M55+IS!N28</f>
        <v>17.851975410041749</v>
      </c>
    </row>
    <row r="56" spans="1:14" ht="15" thickBot="1">
      <c r="A56" s="15" t="s">
        <v>231</v>
      </c>
      <c r="B56" s="15"/>
      <c r="C56" s="18">
        <f>SUM(C54:C55)</f>
        <v>-6231</v>
      </c>
      <c r="D56" s="18">
        <f t="shared" ref="D56:F56" si="45">SUM(D54:D55)</f>
        <v>-7799.4000000000005</v>
      </c>
      <c r="E56" s="18">
        <f t="shared" si="45"/>
        <v>-5314.5</v>
      </c>
      <c r="F56" s="18">
        <f t="shared" si="45"/>
        <v>-8698.7000000000007</v>
      </c>
      <c r="G56" s="18">
        <f>SUM(G54:G55)</f>
        <v>-7987.8</v>
      </c>
      <c r="H56" s="15">
        <f>SUM(H54:H55)</f>
        <v>-7441.5999999999995</v>
      </c>
      <c r="I56" s="88">
        <f t="shared" ref="I56:M56" si="46">SUM(I54:I55)</f>
        <v>-6986.5815771958678</v>
      </c>
      <c r="J56" s="88">
        <f t="shared" si="46"/>
        <v>-6475.853122989869</v>
      </c>
      <c r="K56" s="88">
        <f t="shared" si="46"/>
        <v>-5969.2234589370291</v>
      </c>
      <c r="L56" s="88">
        <f t="shared" si="46"/>
        <v>-5441.2640120444175</v>
      </c>
      <c r="M56" s="88">
        <f t="shared" si="46"/>
        <v>-4872.6100463967168</v>
      </c>
      <c r="N56" s="88">
        <f t="shared" ref="N56" si="47">SUM(N54:N55)</f>
        <v>-3719.5249328273476</v>
      </c>
    </row>
    <row r="57" spans="1:14">
      <c r="C57" s="16"/>
      <c r="D57" s="16"/>
      <c r="E57" s="16"/>
      <c r="F57" s="16"/>
      <c r="G57" s="16"/>
      <c r="I57" s="16"/>
      <c r="J57" s="16"/>
      <c r="K57" s="16"/>
      <c r="L57" s="16"/>
      <c r="M57" s="16"/>
      <c r="N57" s="16"/>
    </row>
    <row r="58" spans="1:14" s="14" customFormat="1" ht="15" thickBot="1">
      <c r="A58" s="91" t="s">
        <v>77</v>
      </c>
      <c r="B58" s="92"/>
      <c r="C58" s="93">
        <f>C45+C56</f>
        <v>19219.600000000002</v>
      </c>
      <c r="D58" s="93">
        <f t="shared" ref="D58:M58" si="48">D45+D56</f>
        <v>29374.499999999993</v>
      </c>
      <c r="E58" s="93">
        <f t="shared" si="48"/>
        <v>31392.6</v>
      </c>
      <c r="F58" s="93">
        <f t="shared" si="48"/>
        <v>27978.399999999998</v>
      </c>
      <c r="G58" s="93">
        <f t="shared" si="48"/>
        <v>29445.500000000004</v>
      </c>
      <c r="H58" s="93">
        <f t="shared" si="48"/>
        <v>31339.299999999996</v>
      </c>
      <c r="I58" s="94">
        <f t="shared" si="48"/>
        <v>30542.211978920641</v>
      </c>
      <c r="J58" s="94">
        <f t="shared" si="48"/>
        <v>29548.956038249013</v>
      </c>
      <c r="K58" s="94">
        <f t="shared" si="48"/>
        <v>29592.94937562925</v>
      </c>
      <c r="L58" s="94">
        <f t="shared" si="48"/>
        <v>29573.125632374074</v>
      </c>
      <c r="M58" s="94">
        <f t="shared" si="48"/>
        <v>28510.968980924918</v>
      </c>
      <c r="N58" s="94">
        <f t="shared" ref="N58" si="49">N45+N56</f>
        <v>27914.488797447957</v>
      </c>
    </row>
    <row r="59" spans="1:14" ht="15" thickTop="1"/>
    <row r="61" spans="1:14">
      <c r="A61" s="19" t="s">
        <v>78</v>
      </c>
      <c r="B61" s="19"/>
      <c r="C61" s="6">
        <f t="shared" ref="C61:M61" si="50">C25-C58</f>
        <v>0</v>
      </c>
      <c r="D61" s="6">
        <f t="shared" si="50"/>
        <v>0</v>
      </c>
      <c r="E61" s="6">
        <f t="shared" si="50"/>
        <v>0</v>
      </c>
      <c r="F61" s="6">
        <f t="shared" si="50"/>
        <v>0</v>
      </c>
      <c r="G61" s="6">
        <f t="shared" si="50"/>
        <v>0</v>
      </c>
      <c r="H61" s="116">
        <f t="shared" si="50"/>
        <v>-0.39999999999054126</v>
      </c>
      <c r="I61" s="116">
        <f t="shared" si="50"/>
        <v>-0.40000000000145519</v>
      </c>
      <c r="J61" s="116">
        <f t="shared" si="50"/>
        <v>-0.39999999999417923</v>
      </c>
      <c r="K61" s="116">
        <f t="shared" si="50"/>
        <v>-0.39999999999781721</v>
      </c>
      <c r="L61" s="116">
        <f t="shared" si="50"/>
        <v>-0.39999999999417923</v>
      </c>
      <c r="M61" s="116">
        <f t="shared" si="50"/>
        <v>-0.39999999999417923</v>
      </c>
      <c r="N61" s="116">
        <f t="shared" ref="N61" si="51">N25-N58</f>
        <v>-0.39999999999781721</v>
      </c>
    </row>
    <row r="62" spans="1:14">
      <c r="H62" s="16"/>
      <c r="I62" s="16"/>
    </row>
    <row r="64" spans="1:14">
      <c r="F64" s="16"/>
    </row>
    <row r="65" spans="7:7">
      <c r="G65" s="16"/>
    </row>
  </sheetData>
  <pageMargins left="0.7" right="0.7" top="0.75" bottom="0.75" header="0.3" footer="0.3"/>
  <ignoredErrors>
    <ignoredError sqref="I52:M52" formula="1"/>
    <ignoredError sqref="H56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7A13-D752-4094-9732-8939AE0B3143}">
  <dimension ref="A1:L31"/>
  <sheetViews>
    <sheetView showGridLines="0" zoomScale="70" zoomScaleNormal="70" workbookViewId="0">
      <pane xSplit="2" topLeftCell="C1" activePane="topRight" state="frozen"/>
      <selection pane="topRight" activeCell="X13" sqref="X13"/>
    </sheetView>
  </sheetViews>
  <sheetFormatPr defaultRowHeight="14.5"/>
  <cols>
    <col min="1" max="1" width="48.08984375" customWidth="1"/>
    <col min="2" max="2" width="11.90625" customWidth="1"/>
    <col min="3" max="7" width="13.54296875" customWidth="1"/>
    <col min="8" max="8" width="14.6328125" customWidth="1"/>
  </cols>
  <sheetData>
    <row r="1" spans="1:12">
      <c r="A1" s="76" t="s">
        <v>19</v>
      </c>
      <c r="B1" s="76"/>
    </row>
    <row r="2" spans="1:12">
      <c r="A2" s="59" t="s">
        <v>197</v>
      </c>
      <c r="B2" s="59"/>
    </row>
    <row r="3" spans="1:12">
      <c r="A3" s="2" t="s">
        <v>153</v>
      </c>
      <c r="B3" s="2"/>
      <c r="C3" s="73">
        <v>12</v>
      </c>
      <c r="D3" s="73">
        <v>12</v>
      </c>
      <c r="E3" s="73">
        <v>12</v>
      </c>
      <c r="F3" s="73">
        <v>12</v>
      </c>
      <c r="G3" s="73">
        <v>12</v>
      </c>
      <c r="H3" s="73">
        <v>12</v>
      </c>
    </row>
    <row r="4" spans="1:12">
      <c r="A4" s="60"/>
      <c r="B4" s="60"/>
      <c r="C4" s="74" t="s">
        <v>14</v>
      </c>
      <c r="D4" s="74" t="s">
        <v>15</v>
      </c>
      <c r="E4" s="74" t="s">
        <v>16</v>
      </c>
      <c r="F4" s="74" t="s">
        <v>17</v>
      </c>
      <c r="G4" s="74" t="s">
        <v>18</v>
      </c>
      <c r="H4" s="74" t="s">
        <v>246</v>
      </c>
    </row>
    <row r="5" spans="1:12">
      <c r="A5" s="23" t="s">
        <v>163</v>
      </c>
      <c r="B5" s="23"/>
      <c r="C5" s="62"/>
      <c r="D5" s="62"/>
      <c r="E5" s="62"/>
      <c r="F5" s="62"/>
      <c r="G5" s="62"/>
    </row>
    <row r="6" spans="1:12">
      <c r="A6" s="63" t="s">
        <v>154</v>
      </c>
      <c r="B6" s="63"/>
      <c r="C6" s="101">
        <f>IS!I27</f>
        <v>3466.5942341119494</v>
      </c>
      <c r="D6" s="101">
        <f>IS!J27</f>
        <v>3891.0255625178215</v>
      </c>
      <c r="E6" s="101">
        <f>IS!K27</f>
        <v>3859.7986020263925</v>
      </c>
      <c r="F6" s="101">
        <f>IS!L27</f>
        <v>4022.3012579662022</v>
      </c>
      <c r="G6" s="101">
        <f>IS!M27</f>
        <v>4332.3357027409311</v>
      </c>
      <c r="H6" s="101">
        <f>IS!N27</f>
        <v>8784.8711300653486</v>
      </c>
    </row>
    <row r="7" spans="1:12">
      <c r="A7" s="63" t="s">
        <v>155</v>
      </c>
      <c r="B7" s="63"/>
      <c r="C7" s="101">
        <f>FAS!I9+FAS!I22</f>
        <v>1428.6516828776491</v>
      </c>
      <c r="D7" s="101">
        <f>FAS!J9+FAS!J22</f>
        <v>1431.8571571556374</v>
      </c>
      <c r="E7" s="101">
        <f>FAS!K9+FAS!K22</f>
        <v>1457.1262928315293</v>
      </c>
      <c r="F7" s="101">
        <f>FAS!L9+FAS!L22</f>
        <v>1505.8305078128747</v>
      </c>
      <c r="G7" s="101">
        <f>FAS!M9+FAS!M22</f>
        <v>1611.1823134081485</v>
      </c>
      <c r="H7" s="101">
        <f>FAS!N9+FAS!N22</f>
        <v>1844.4282853808211</v>
      </c>
    </row>
    <row r="8" spans="1:12">
      <c r="A8" s="63" t="s">
        <v>167</v>
      </c>
      <c r="B8" s="63"/>
      <c r="C8" s="101">
        <f>DS!C14</f>
        <v>450.39200000000011</v>
      </c>
      <c r="D8" s="101">
        <f>DS!D14</f>
        <v>389.95700000000011</v>
      </c>
      <c r="E8" s="101">
        <f>DS!E14</f>
        <v>379.66700000000009</v>
      </c>
      <c r="F8" s="101">
        <f>DS!F14</f>
        <v>358.49299999999999</v>
      </c>
      <c r="G8" s="101">
        <f>DS!G14</f>
        <v>290.40800000000002</v>
      </c>
      <c r="H8" s="101">
        <f>DS!H14</f>
        <v>289.55116666666669</v>
      </c>
    </row>
    <row r="9" spans="1:12">
      <c r="A9" s="63" t="s">
        <v>156</v>
      </c>
      <c r="B9" s="63"/>
      <c r="C9" s="62">
        <v>0</v>
      </c>
      <c r="D9" s="62">
        <v>0</v>
      </c>
      <c r="E9" s="62">
        <v>0</v>
      </c>
      <c r="F9" s="62">
        <v>0</v>
      </c>
      <c r="G9" s="62">
        <v>0</v>
      </c>
      <c r="H9" s="62">
        <v>0</v>
      </c>
    </row>
    <row r="10" spans="1:12">
      <c r="A10" s="63" t="s">
        <v>157</v>
      </c>
      <c r="B10" s="63"/>
      <c r="C10" s="62"/>
      <c r="D10" s="62"/>
      <c r="E10" s="62"/>
      <c r="F10" s="62"/>
      <c r="G10" s="62"/>
    </row>
    <row r="11" spans="1:12">
      <c r="A11" s="64" t="s">
        <v>210</v>
      </c>
      <c r="B11" s="64"/>
      <c r="C11" s="102">
        <f>BS!H8-BS!I8</f>
        <v>-37.270553355468564</v>
      </c>
      <c r="D11" s="102">
        <f>BS!I8-BS!J8</f>
        <v>-13.35877537374995</v>
      </c>
      <c r="E11" s="102">
        <f>BS!J8-BS!K8</f>
        <v>-22.612486950701623</v>
      </c>
      <c r="F11" s="102">
        <f>BS!K8-BS!L8</f>
        <v>-43.602995893656725</v>
      </c>
      <c r="G11" s="102">
        <f>BS!L8-BS!M8</f>
        <v>-92.285240776836872</v>
      </c>
      <c r="H11" s="102">
        <f>BS!M8-BS!N8</f>
        <v>-206.27492318829968</v>
      </c>
    </row>
    <row r="12" spans="1:12">
      <c r="A12" s="63" t="s">
        <v>45</v>
      </c>
      <c r="B12" s="63"/>
      <c r="C12" s="102">
        <f>BS!H9-BS!I9</f>
        <v>-330.06416243489934</v>
      </c>
      <c r="D12" s="102">
        <f>BS!I9-BS!J9</f>
        <v>5.2696152446824271</v>
      </c>
      <c r="E12" s="102">
        <f>BS!J9-BS!K9</f>
        <v>-49.415830662064309</v>
      </c>
      <c r="F12" s="102">
        <f>BS!K9-BS!L9</f>
        <v>-69.060046927412259</v>
      </c>
      <c r="G12" s="102">
        <f>BS!L9-BS!M9</f>
        <v>-157.63552771292598</v>
      </c>
      <c r="H12" s="102">
        <f>BS!M9-BS!N9</f>
        <v>-0.57492226095064325</v>
      </c>
    </row>
    <row r="13" spans="1:12">
      <c r="A13" s="63" t="s">
        <v>46</v>
      </c>
      <c r="B13" s="63"/>
      <c r="C13" s="65">
        <f>BS!H10-BS!I10</f>
        <v>0</v>
      </c>
      <c r="D13" s="65">
        <f>BS!I10-BS!J10</f>
        <v>0</v>
      </c>
      <c r="E13" s="65">
        <f>BS!J10-BS!K10</f>
        <v>0</v>
      </c>
      <c r="F13" s="65">
        <f>BS!K10-BS!L10</f>
        <v>0</v>
      </c>
      <c r="G13" s="65">
        <f>BS!L10-BS!M10</f>
        <v>0</v>
      </c>
      <c r="H13" s="65">
        <f>BS!M10-BS!N10</f>
        <v>0</v>
      </c>
    </row>
    <row r="14" spans="1:12">
      <c r="A14" s="63" t="s">
        <v>211</v>
      </c>
      <c r="B14" s="63"/>
      <c r="C14" s="102">
        <f>BS!I29-BS!H29</f>
        <v>-2.1064438834939665</v>
      </c>
      <c r="D14" s="102">
        <f>BS!J29-BS!I29</f>
        <v>-3.9843948776222078</v>
      </c>
      <c r="E14" s="102">
        <f>BS!K29-BS!J29</f>
        <v>37.363673327395418</v>
      </c>
      <c r="F14" s="102">
        <f>BS!L29-BS!K29</f>
        <v>52.216809852218148</v>
      </c>
      <c r="G14" s="102">
        <f>BS!M29-BS!L29</f>
        <v>119.1893829031369</v>
      </c>
      <c r="H14" s="102">
        <f>BS!N29-BS!M29</f>
        <v>0.4347029536691025</v>
      </c>
      <c r="L14" s="59"/>
    </row>
    <row r="15" spans="1:12" ht="15" thickBot="1">
      <c r="A15" s="30" t="s">
        <v>164</v>
      </c>
      <c r="B15" s="30"/>
      <c r="C15" s="103">
        <f t="shared" ref="C15:G15" si="0">SUM(C6:C14)</f>
        <v>4976.1967573157372</v>
      </c>
      <c r="D15" s="103">
        <f t="shared" si="0"/>
        <v>5700.7661646667693</v>
      </c>
      <c r="E15" s="103">
        <f t="shared" si="0"/>
        <v>5661.9272505725503</v>
      </c>
      <c r="F15" s="103">
        <f t="shared" si="0"/>
        <v>5826.178532810226</v>
      </c>
      <c r="G15" s="103">
        <f t="shared" si="0"/>
        <v>6103.1946305624542</v>
      </c>
      <c r="H15" s="103">
        <f t="shared" ref="H15" si="1">SUM(H6:H14)</f>
        <v>10712.435439617257</v>
      </c>
    </row>
    <row r="16" spans="1:12">
      <c r="A16" s="61"/>
      <c r="B16" s="61"/>
      <c r="C16" s="62"/>
      <c r="D16" s="62"/>
      <c r="E16" s="62"/>
      <c r="F16" s="62"/>
      <c r="G16" s="62"/>
    </row>
    <row r="17" spans="1:8">
      <c r="A17" s="23" t="s">
        <v>165</v>
      </c>
      <c r="B17" s="23"/>
      <c r="C17" s="62"/>
      <c r="D17" s="62"/>
      <c r="E17" s="62"/>
      <c r="F17" s="62"/>
      <c r="G17" s="62"/>
    </row>
    <row r="18" spans="1:8">
      <c r="A18" s="63" t="s">
        <v>158</v>
      </c>
      <c r="B18" s="63"/>
      <c r="C18" s="102">
        <f>-FAS!I7</f>
        <v>-760.26856609082097</v>
      </c>
      <c r="D18" s="102">
        <f>-FAS!J7</f>
        <v>-1515.0660866530998</v>
      </c>
      <c r="E18" s="102">
        <f>-FAS!K7</f>
        <v>-1599.7292789637968</v>
      </c>
      <c r="F18" s="102">
        <f>-FAS!L7</f>
        <v>-1783.0785540222132</v>
      </c>
      <c r="G18" s="102">
        <f>-FAS!M7</f>
        <v>-2198.3144100131649</v>
      </c>
      <c r="H18" s="102">
        <f>-FAS!N7</f>
        <v>-3159.496701611808</v>
      </c>
    </row>
    <row r="19" spans="1:8" ht="15" thickBot="1">
      <c r="A19" s="30" t="s">
        <v>159</v>
      </c>
      <c r="B19" s="30"/>
      <c r="C19" s="104">
        <f t="shared" ref="C19:G19" si="2">C18</f>
        <v>-760.26856609082097</v>
      </c>
      <c r="D19" s="104">
        <f t="shared" si="2"/>
        <v>-1515.0660866530998</v>
      </c>
      <c r="E19" s="104">
        <f t="shared" si="2"/>
        <v>-1599.7292789637968</v>
      </c>
      <c r="F19" s="104">
        <f t="shared" si="2"/>
        <v>-1783.0785540222132</v>
      </c>
      <c r="G19" s="104">
        <f t="shared" si="2"/>
        <v>-2198.3144100131649</v>
      </c>
      <c r="H19" s="104">
        <f t="shared" ref="H19" si="3">H18</f>
        <v>-3159.496701611808</v>
      </c>
    </row>
    <row r="20" spans="1:8">
      <c r="A20" s="61"/>
      <c r="B20" s="61"/>
      <c r="C20" s="62"/>
      <c r="D20" s="62"/>
      <c r="E20" s="62"/>
      <c r="F20" s="62"/>
      <c r="G20" s="62"/>
    </row>
    <row r="21" spans="1:8">
      <c r="A21" s="23" t="s">
        <v>166</v>
      </c>
      <c r="B21" s="23"/>
      <c r="C21" s="62"/>
      <c r="D21" s="62"/>
      <c r="E21" s="62"/>
      <c r="F21" s="62"/>
      <c r="G21" s="62"/>
    </row>
    <row r="22" spans="1:8">
      <c r="A22" s="63" t="s">
        <v>168</v>
      </c>
      <c r="B22" s="63"/>
      <c r="C22" s="102">
        <f>-IS!I32</f>
        <v>-3011.5758113078164</v>
      </c>
      <c r="D22" s="102">
        <f>-IS!J32</f>
        <v>-3380.2971083118232</v>
      </c>
      <c r="E22" s="102">
        <f>-IS!K32</f>
        <v>-3353.1689379735531</v>
      </c>
      <c r="F22" s="102">
        <f>-IS!L32</f>
        <v>-3494.3418110735906</v>
      </c>
      <c r="G22" s="102">
        <f>-IS!M32</f>
        <v>-3763.6817370932304</v>
      </c>
      <c r="H22" s="102">
        <f>-IS!N32</f>
        <v>-7631.7860164959802</v>
      </c>
    </row>
    <row r="23" spans="1:8">
      <c r="A23" s="61" t="s">
        <v>167</v>
      </c>
      <c r="B23" s="61"/>
      <c r="C23" s="101">
        <f>-DS!C14</f>
        <v>-450.39200000000011</v>
      </c>
      <c r="D23" s="101">
        <f>-DS!D14</f>
        <v>-389.95700000000011</v>
      </c>
      <c r="E23" s="101">
        <f>-DS!E14</f>
        <v>-379.66700000000009</v>
      </c>
      <c r="F23" s="101">
        <f>-DS!F14</f>
        <v>-358.49299999999999</v>
      </c>
      <c r="G23" s="101">
        <f>-DS!G14</f>
        <v>-290.40800000000002</v>
      </c>
      <c r="H23" s="101">
        <f>-DS!H14</f>
        <v>-289.55116666666669</v>
      </c>
    </row>
    <row r="24" spans="1:8">
      <c r="A24" s="63" t="s">
        <v>160</v>
      </c>
      <c r="B24" s="63"/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</row>
    <row r="25" spans="1:8">
      <c r="A25" s="63" t="s">
        <v>161</v>
      </c>
      <c r="B25" s="63"/>
      <c r="C25" s="102">
        <f>-DS!C7</f>
        <v>-1250</v>
      </c>
      <c r="D25" s="102">
        <f>-DS!D7</f>
        <v>-1500</v>
      </c>
      <c r="E25" s="102">
        <f>-DS!E7</f>
        <v>-500</v>
      </c>
      <c r="F25" s="102">
        <f>-DS!F7</f>
        <v>-600</v>
      </c>
      <c r="G25" s="102">
        <f>-DS!G7</f>
        <v>-1750</v>
      </c>
      <c r="H25" s="102">
        <f>-DS!H7</f>
        <v>-1750</v>
      </c>
    </row>
    <row r="26" spans="1:8" ht="15" thickBot="1">
      <c r="A26" s="30" t="s">
        <v>169</v>
      </c>
      <c r="B26" s="30"/>
      <c r="C26" s="104">
        <f t="shared" ref="C26:G26" si="4">SUM(C22:C25)</f>
        <v>-4711.9678113078171</v>
      </c>
      <c r="D26" s="104">
        <f t="shared" si="4"/>
        <v>-5270.2541083118231</v>
      </c>
      <c r="E26" s="104">
        <f t="shared" si="4"/>
        <v>-4232.835937973553</v>
      </c>
      <c r="F26" s="104">
        <f t="shared" si="4"/>
        <v>-4452.8348110735906</v>
      </c>
      <c r="G26" s="104">
        <f t="shared" si="4"/>
        <v>-5804.0897370932307</v>
      </c>
      <c r="H26" s="104">
        <f t="shared" ref="H26" si="5">SUM(H22:H25)</f>
        <v>-9671.3371831626464</v>
      </c>
    </row>
    <row r="27" spans="1:8">
      <c r="A27" s="23"/>
      <c r="B27" s="23"/>
      <c r="C27" s="67"/>
      <c r="D27" s="67"/>
      <c r="E27" s="67"/>
      <c r="F27" s="67"/>
      <c r="G27" s="67"/>
    </row>
    <row r="28" spans="1:8">
      <c r="A28" s="23" t="s">
        <v>162</v>
      </c>
      <c r="B28" s="23"/>
      <c r="C28" s="105">
        <f t="shared" ref="C28:G28" si="6">C26+C19+C15</f>
        <v>-496.03962008290091</v>
      </c>
      <c r="D28" s="105">
        <f t="shared" si="6"/>
        <v>-1084.5540302981535</v>
      </c>
      <c r="E28" s="105">
        <f t="shared" si="6"/>
        <v>-170.63796636479947</v>
      </c>
      <c r="F28" s="105">
        <f t="shared" si="6"/>
        <v>-409.7348322855778</v>
      </c>
      <c r="G28" s="105">
        <f t="shared" si="6"/>
        <v>-1899.2095165439414</v>
      </c>
      <c r="H28" s="105">
        <f t="shared" ref="H28" si="7">H26+H19+H15</f>
        <v>-2118.3984451571978</v>
      </c>
    </row>
    <row r="29" spans="1:8">
      <c r="A29" s="23" t="s">
        <v>170</v>
      </c>
      <c r="B29" s="23"/>
      <c r="C29" s="101">
        <f>BS!H6</f>
        <v>3286.2</v>
      </c>
      <c r="D29" s="101">
        <f>BS!I6</f>
        <v>2790.1603799170989</v>
      </c>
      <c r="E29" s="101">
        <f>BS!J6</f>
        <v>1705.6063496189454</v>
      </c>
      <c r="F29" s="101">
        <f>BS!K6</f>
        <v>1534.9683832541459</v>
      </c>
      <c r="G29" s="101">
        <f>BS!L6</f>
        <v>1125.2335509685681</v>
      </c>
      <c r="H29" s="101">
        <f>BS!M6</f>
        <v>-773.97596557537327</v>
      </c>
    </row>
    <row r="30" spans="1:8" ht="15" thickBot="1">
      <c r="A30" s="68" t="s">
        <v>171</v>
      </c>
      <c r="B30" s="68"/>
      <c r="C30" s="106">
        <f t="shared" ref="C30:F30" si="8">SUM(C28:C29)</f>
        <v>2790.1603799170989</v>
      </c>
      <c r="D30" s="106">
        <f t="shared" si="8"/>
        <v>1705.6063496189454</v>
      </c>
      <c r="E30" s="106">
        <f t="shared" si="8"/>
        <v>1534.9683832541459</v>
      </c>
      <c r="F30" s="106">
        <f t="shared" si="8"/>
        <v>1125.2335509685681</v>
      </c>
      <c r="G30" s="106">
        <f>SUM(G28:G29)</f>
        <v>-773.97596557537327</v>
      </c>
      <c r="H30" s="106">
        <f t="shared" ref="H30" si="9">SUM(H28:H29)</f>
        <v>-2892.3744107325711</v>
      </c>
    </row>
    <row r="31" spans="1:8" ht="15" thickTop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D386-1CE8-49B0-B735-87335859F26A}">
  <dimension ref="A1:CM91"/>
  <sheetViews>
    <sheetView showGridLines="0" topLeftCell="A22" zoomScale="83" zoomScaleNormal="70" workbookViewId="0">
      <selection activeCell="P24" sqref="P24"/>
    </sheetView>
  </sheetViews>
  <sheetFormatPr defaultRowHeight="14.5"/>
  <cols>
    <col min="1" max="1" width="34.54296875" customWidth="1"/>
    <col min="2" max="8" width="21" customWidth="1"/>
    <col min="9" max="9" width="16.81640625" customWidth="1"/>
    <col min="10" max="10" width="17.453125" customWidth="1"/>
    <col min="11" max="11" width="17.6328125" customWidth="1"/>
    <col min="12" max="12" width="27.08984375" customWidth="1"/>
  </cols>
  <sheetData>
    <row r="1" spans="1:12">
      <c r="A1" s="76" t="s">
        <v>19</v>
      </c>
      <c r="L1" s="111">
        <f>DATE(2025,9,30)</f>
        <v>45930</v>
      </c>
    </row>
    <row r="2" spans="1:12">
      <c r="A2" s="59" t="s">
        <v>197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12">
      <c r="A3" s="44" t="s">
        <v>114</v>
      </c>
      <c r="B3" s="74" t="s">
        <v>14</v>
      </c>
      <c r="C3" s="74" t="s">
        <v>15</v>
      </c>
      <c r="D3" s="74" t="s">
        <v>16</v>
      </c>
      <c r="E3" s="74" t="s">
        <v>17</v>
      </c>
      <c r="F3" s="74" t="s">
        <v>18</v>
      </c>
      <c r="G3" s="74" t="s">
        <v>246</v>
      </c>
    </row>
    <row r="4" spans="1:12">
      <c r="A4" s="6" t="s">
        <v>105</v>
      </c>
      <c r="B4" s="16">
        <f>IS!I19</f>
        <v>4923.7272837280943</v>
      </c>
      <c r="C4" s="16">
        <f>IS!J19</f>
        <v>5435.9832988741618</v>
      </c>
      <c r="D4" s="16">
        <f>IS!K19</f>
        <v>5402.1116114706201</v>
      </c>
      <c r="E4" s="16">
        <f>IS!L19</f>
        <v>5602.4321369953541</v>
      </c>
      <c r="F4" s="16">
        <f>IS!M19</f>
        <v>5933.4332756720905</v>
      </c>
      <c r="G4" s="16">
        <f>IS!N19</f>
        <v>11700.448733822581</v>
      </c>
    </row>
    <row r="5" spans="1:12">
      <c r="A5" s="6" t="s">
        <v>106</v>
      </c>
      <c r="B5" s="9">
        <f>IS!I25</f>
        <v>0.22505378778071905</v>
      </c>
      <c r="C5" s="9">
        <f>IS!J25</f>
        <v>0.22889312658042166</v>
      </c>
      <c r="D5" s="9">
        <f>IS!K25</f>
        <v>0.23149006099318506</v>
      </c>
      <c r="E5" s="9">
        <f>IS!L25</f>
        <v>0.2329618721946341</v>
      </c>
      <c r="F5" s="9">
        <f>IS!M25</f>
        <v>0.232267180971479</v>
      </c>
      <c r="G5" s="9">
        <f>IS!N25</f>
        <v>0.23013320570408777</v>
      </c>
    </row>
    <row r="6" spans="1:12">
      <c r="A6" s="6" t="s">
        <v>121</v>
      </c>
      <c r="B6" s="27">
        <f t="shared" ref="B6:F6" si="0">B4*B5</f>
        <v>1108.1034752022788</v>
      </c>
      <c r="C6" s="27">
        <f t="shared" si="0"/>
        <v>1244.2592133182616</v>
      </c>
      <c r="D6" s="27">
        <f t="shared" si="0"/>
        <v>1250.5351464313271</v>
      </c>
      <c r="E6" s="27">
        <f t="shared" si="0"/>
        <v>1305.1530794778225</v>
      </c>
      <c r="F6" s="27">
        <f t="shared" si="0"/>
        <v>1378.1418204227248</v>
      </c>
      <c r="G6" s="27">
        <f t="shared" ref="G6" si="1">G4*G5</f>
        <v>2692.6617752909251</v>
      </c>
    </row>
    <row r="7" spans="1:12">
      <c r="A7" s="6" t="s">
        <v>107</v>
      </c>
      <c r="B7" s="10">
        <f t="shared" ref="B7:F7" si="2">B4-B6</f>
        <v>3815.6238085258155</v>
      </c>
      <c r="C7" s="10">
        <f t="shared" si="2"/>
        <v>4191.7240855559003</v>
      </c>
      <c r="D7" s="10">
        <f t="shared" si="2"/>
        <v>4151.576465039293</v>
      </c>
      <c r="E7" s="10">
        <f t="shared" si="2"/>
        <v>4297.2790575175313</v>
      </c>
      <c r="F7" s="10">
        <f t="shared" si="2"/>
        <v>4555.2914552493658</v>
      </c>
      <c r="G7" s="10">
        <f t="shared" ref="G7" si="3">G4-G6</f>
        <v>9007.7869585316548</v>
      </c>
    </row>
    <row r="8" spans="1:12">
      <c r="A8" s="6" t="s">
        <v>108</v>
      </c>
      <c r="B8" s="29">
        <f>FAS!I9</f>
        <v>1414.6516828776491</v>
      </c>
      <c r="C8" s="29">
        <f>FAS!J9</f>
        <v>1429.7571571556375</v>
      </c>
      <c r="D8" s="29">
        <f>FAS!K9</f>
        <v>1455.3262928315294</v>
      </c>
      <c r="E8" s="29">
        <f>FAS!L9</f>
        <v>1504.6305078128746</v>
      </c>
      <c r="F8" s="29">
        <f>FAS!M9</f>
        <v>1608.9823134081485</v>
      </c>
      <c r="G8" s="29">
        <f>FAS!N9</f>
        <v>1842.228285380821</v>
      </c>
    </row>
    <row r="9" spans="1:12">
      <c r="A9" s="6" t="s">
        <v>109</v>
      </c>
      <c r="B9" s="10">
        <v>-183.18513378401076</v>
      </c>
      <c r="C9" s="10">
        <v>-201.94395672909513</v>
      </c>
      <c r="D9" s="10">
        <v>-222.66625926569463</v>
      </c>
      <c r="E9" s="10">
        <v>-245.56093562855472</v>
      </c>
      <c r="F9" s="10">
        <v>-270.85927991415338</v>
      </c>
      <c r="G9" s="10">
        <v>-270.85927991415338</v>
      </c>
    </row>
    <row r="10" spans="1:12">
      <c r="A10" s="6" t="s">
        <v>110</v>
      </c>
      <c r="B10" s="10">
        <v>-2432.3410764638174</v>
      </c>
      <c r="C10" s="10">
        <v>-2666.7326038102747</v>
      </c>
      <c r="D10" s="10">
        <v>-2925.3412374850377</v>
      </c>
      <c r="E10" s="10">
        <v>-3210.7188219368127</v>
      </c>
      <c r="F10" s="10">
        <v>-3525.6895784479366</v>
      </c>
      <c r="G10" s="10">
        <v>-3525.6895784479366</v>
      </c>
    </row>
    <row r="11" spans="1:12" ht="15" thickBot="1">
      <c r="A11" s="15" t="s">
        <v>111</v>
      </c>
      <c r="B11" s="28">
        <f t="shared" ref="B11:F11" si="4">SUM(B7:B10)</f>
        <v>2614.7492811556367</v>
      </c>
      <c r="C11" s="28">
        <f t="shared" si="4"/>
        <v>2752.8046821721673</v>
      </c>
      <c r="D11" s="28">
        <f t="shared" si="4"/>
        <v>2458.8952611200903</v>
      </c>
      <c r="E11" s="28">
        <f t="shared" si="4"/>
        <v>2345.6298077650381</v>
      </c>
      <c r="F11" s="28">
        <f t="shared" si="4"/>
        <v>2367.7249102954247</v>
      </c>
      <c r="G11" s="28">
        <f t="shared" ref="G11" si="5">SUM(G7:G10)</f>
        <v>7053.4663855503859</v>
      </c>
    </row>
    <row r="12" spans="1:12">
      <c r="A12" s="6"/>
      <c r="B12" s="42"/>
      <c r="C12" s="42"/>
      <c r="D12" s="42"/>
      <c r="E12" s="42"/>
      <c r="F12" s="42"/>
      <c r="G12" s="42"/>
    </row>
    <row r="15" spans="1:12">
      <c r="A15" s="6" t="s">
        <v>112</v>
      </c>
      <c r="B15" s="33">
        <f>WACC!G4</f>
        <v>4.948057607045591E-2</v>
      </c>
    </row>
    <row r="16" spans="1:12">
      <c r="A16" s="6" t="s">
        <v>113</v>
      </c>
      <c r="B16" s="43">
        <v>2.5000000000000001E-2</v>
      </c>
    </row>
    <row r="17" spans="1:7">
      <c r="A17" s="6" t="s">
        <v>434</v>
      </c>
      <c r="B17" s="10">
        <f t="shared" ref="B17:G17" si="6">-PV($B$15,B2,0,B11,0)</f>
        <v>2491.4699145228369</v>
      </c>
      <c r="C17" s="10">
        <f t="shared" si="6"/>
        <v>2499.3471849351909</v>
      </c>
      <c r="D17" s="10">
        <f t="shared" si="6"/>
        <v>2127.2415878994034</v>
      </c>
      <c r="E17" s="10">
        <f t="shared" si="6"/>
        <v>1933.5786936187924</v>
      </c>
      <c r="F17" s="10">
        <f t="shared" si="6"/>
        <v>1859.7699161281851</v>
      </c>
      <c r="G17" s="10">
        <f t="shared" si="6"/>
        <v>5279.0548076929617</v>
      </c>
    </row>
    <row r="18" spans="1:7">
      <c r="A18" s="6" t="s">
        <v>129</v>
      </c>
      <c r="B18" s="10">
        <f t="shared" ref="B18:G18" si="7">1/(1+$B$15)^B2</f>
        <v>0.95285231837665363</v>
      </c>
      <c r="C18" s="10">
        <f t="shared" si="7"/>
        <v>0.90792754063576364</v>
      </c>
      <c r="D18" s="10">
        <f t="shared" si="7"/>
        <v>0.86512086201280081</v>
      </c>
      <c r="E18" s="10">
        <f t="shared" si="7"/>
        <v>0.82433241904490628</v>
      </c>
      <c r="F18" s="10">
        <f t="shared" si="7"/>
        <v>0.78546705659997418</v>
      </c>
      <c r="G18" s="10">
        <f t="shared" si="7"/>
        <v>0.74843410588977144</v>
      </c>
    </row>
    <row r="19" spans="1:7">
      <c r="B19" s="10">
        <f>B11*B18</f>
        <v>2491.4699145228369</v>
      </c>
      <c r="C19" s="10">
        <f t="shared" ref="C19:G19" si="8">C11*C18</f>
        <v>2499.3471849351909</v>
      </c>
      <c r="D19" s="10">
        <f t="shared" si="8"/>
        <v>2127.2415878994034</v>
      </c>
      <c r="E19" s="10">
        <f t="shared" si="8"/>
        <v>1933.5786936187924</v>
      </c>
      <c r="F19" s="10">
        <f t="shared" si="8"/>
        <v>1859.7699161281851</v>
      </c>
      <c r="G19" s="10">
        <f t="shared" si="8"/>
        <v>5279.0548076929608</v>
      </c>
    </row>
    <row r="20" spans="1:7">
      <c r="A20" s="6" t="s">
        <v>435</v>
      </c>
      <c r="B20" s="42">
        <f>SUM(B17:G17)</f>
        <v>16190.462104797371</v>
      </c>
    </row>
    <row r="21" spans="1:7">
      <c r="A21" s="6"/>
      <c r="E21" t="s">
        <v>480</v>
      </c>
      <c r="F21">
        <f>16.5</f>
        <v>16.5</v>
      </c>
    </row>
    <row r="22" spans="1:7">
      <c r="A22" s="6"/>
      <c r="E22" t="s">
        <v>481</v>
      </c>
    </row>
    <row r="23" spans="1:7">
      <c r="A23" s="6"/>
      <c r="E23" s="6"/>
    </row>
    <row r="24" spans="1:7">
      <c r="A24" s="23"/>
      <c r="B24" s="17"/>
      <c r="E24" s="23"/>
    </row>
    <row r="25" spans="1:7">
      <c r="A25" s="392" t="s">
        <v>707</v>
      </c>
      <c r="B25" s="121"/>
      <c r="E25" s="23"/>
    </row>
    <row r="26" spans="1:7">
      <c r="A26" s="23"/>
      <c r="B26" s="17"/>
      <c r="E26" s="23"/>
    </row>
    <row r="27" spans="1:7">
      <c r="A27" s="71" t="s">
        <v>130</v>
      </c>
      <c r="B27" s="71" t="s">
        <v>432</v>
      </c>
      <c r="C27" s="71"/>
      <c r="D27" s="71"/>
      <c r="E27" s="71"/>
      <c r="F27" s="71" t="s">
        <v>433</v>
      </c>
    </row>
    <row r="28" spans="1:7">
      <c r="A28" t="s">
        <v>423</v>
      </c>
      <c r="B28" s="10">
        <f>G17*(1+B16)/B15-B16</f>
        <v>109356.64801408257</v>
      </c>
      <c r="E28" t="s">
        <v>476</v>
      </c>
      <c r="F28" s="10">
        <f>IS!N19*FCFF!F21</f>
        <v>193057.40410807257</v>
      </c>
      <c r="G28" t="s">
        <v>475</v>
      </c>
    </row>
    <row r="29" spans="1:7">
      <c r="A29" t="s">
        <v>424</v>
      </c>
      <c r="B29" s="10">
        <f>B28*G18</f>
        <v>81846.245079522341</v>
      </c>
      <c r="F29" s="10">
        <f>F28*G18</f>
        <v>144490.74562902559</v>
      </c>
      <c r="G29" t="s">
        <v>474</v>
      </c>
    </row>
    <row r="30" spans="1:7" ht="15" thickBot="1">
      <c r="A30" s="15" t="s">
        <v>414</v>
      </c>
      <c r="B30" s="28">
        <f>$B$20+B29</f>
        <v>98036.707184319705</v>
      </c>
      <c r="C30" s="14"/>
      <c r="D30" s="14"/>
      <c r="E30" s="14"/>
      <c r="F30" s="28">
        <f>F29+B20</f>
        <v>160681.20773382296</v>
      </c>
      <c r="G30" t="s">
        <v>477</v>
      </c>
    </row>
    <row r="31" spans="1:7">
      <c r="A31" s="125" t="s">
        <v>415</v>
      </c>
    </row>
    <row r="32" spans="1:7">
      <c r="A32" s="46" t="s">
        <v>425</v>
      </c>
      <c r="B32">
        <v>0</v>
      </c>
      <c r="E32" s="23"/>
      <c r="F32">
        <v>0</v>
      </c>
    </row>
    <row r="33" spans="1:91">
      <c r="A33" t="s">
        <v>426</v>
      </c>
      <c r="B33">
        <v>0</v>
      </c>
      <c r="E33" s="23"/>
      <c r="F33">
        <v>0</v>
      </c>
    </row>
    <row r="34" spans="1:91">
      <c r="A34" s="46" t="s">
        <v>427</v>
      </c>
      <c r="B34">
        <v>0</v>
      </c>
      <c r="E34" s="23"/>
      <c r="F34">
        <v>0</v>
      </c>
    </row>
    <row r="35" spans="1:91" s="14" customFormat="1" ht="15" thickBot="1">
      <c r="A35" s="15" t="s">
        <v>416</v>
      </c>
      <c r="B35" s="28">
        <f>SUM(B30:B34)</f>
        <v>98036.707184319705</v>
      </c>
      <c r="E35" s="15"/>
      <c r="F35" s="28">
        <f>SUM(F30:F34)</f>
        <v>160681.20773382296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</row>
    <row r="36" spans="1:91">
      <c r="A36" s="75" t="s">
        <v>428</v>
      </c>
    </row>
    <row r="37" spans="1:91">
      <c r="A37" t="s">
        <v>436</v>
      </c>
      <c r="B37" s="16">
        <f>BS!H35+BS!H36+BS!H39</f>
        <v>15568.4</v>
      </c>
      <c r="F37" s="16">
        <f>B37</f>
        <v>15568.4</v>
      </c>
    </row>
    <row r="38" spans="1:91">
      <c r="A38" t="s">
        <v>439</v>
      </c>
      <c r="B38">
        <f>BS!H55</f>
        <v>7.3</v>
      </c>
      <c r="F38">
        <f>B38</f>
        <v>7.3</v>
      </c>
    </row>
    <row r="39" spans="1:91">
      <c r="A39" t="s">
        <v>437</v>
      </c>
      <c r="B39" s="16">
        <f>BS!H6</f>
        <v>3286.2</v>
      </c>
      <c r="F39" s="16">
        <f>B39</f>
        <v>3286.2</v>
      </c>
    </row>
    <row r="40" spans="1:91" s="14" customFormat="1" ht="15" thickBot="1">
      <c r="A40" s="15" t="s">
        <v>457</v>
      </c>
      <c r="B40" s="18">
        <f>B35-B37+B38+B39</f>
        <v>85761.80718431971</v>
      </c>
      <c r="E40" s="15"/>
      <c r="F40" s="18">
        <f>F35-F37+F38+F39</f>
        <v>148406.30773382296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</row>
    <row r="42" spans="1:91">
      <c r="A42" t="s">
        <v>438</v>
      </c>
      <c r="B42" s="16">
        <f>IS!H36</f>
        <v>1137.3</v>
      </c>
      <c r="F42" s="16">
        <f>B42</f>
        <v>1137.3</v>
      </c>
    </row>
    <row r="44" spans="1:91" s="14" customFormat="1" ht="15" thickBot="1">
      <c r="A44" s="15" t="s">
        <v>429</v>
      </c>
      <c r="B44" s="28">
        <f>B40/B42</f>
        <v>75.408253920970466</v>
      </c>
      <c r="E44" s="15"/>
      <c r="F44" s="28">
        <f>F40/F42</f>
        <v>130.49002702349685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</row>
    <row r="47" spans="1:91">
      <c r="A47" s="125" t="s">
        <v>711</v>
      </c>
      <c r="B47" s="36" t="str">
        <f>IF(B51&lt;B44, "BUY", IF(B51&gt;B44, "SELL", "NEUTRAL"))</f>
        <v>SELL</v>
      </c>
    </row>
    <row r="50" spans="1:11">
      <c r="B50" s="24"/>
      <c r="C50" s="24"/>
      <c r="D50" s="24"/>
    </row>
    <row r="51" spans="1:11">
      <c r="A51" t="s">
        <v>440</v>
      </c>
      <c r="B51">
        <f>112.55</f>
        <v>112.55</v>
      </c>
    </row>
    <row r="52" spans="1:11">
      <c r="A52" s="24" t="s">
        <v>430</v>
      </c>
      <c r="B52" s="130">
        <f>B51*B42</f>
        <v>128003.11499999999</v>
      </c>
      <c r="C52" s="24"/>
    </row>
    <row r="53" spans="1:11">
      <c r="A53" s="24" t="s">
        <v>431</v>
      </c>
      <c r="B53" s="130">
        <f>B37</f>
        <v>15568.4</v>
      </c>
      <c r="C53" s="130"/>
    </row>
    <row r="54" spans="1:11">
      <c r="A54" s="24" t="s">
        <v>419</v>
      </c>
      <c r="B54" s="131">
        <f>B53/SUM(B52:B53)</f>
        <v>0.10843655163769778</v>
      </c>
      <c r="C54" s="129"/>
    </row>
    <row r="55" spans="1:11">
      <c r="A55" s="24" t="s">
        <v>420</v>
      </c>
      <c r="B55" s="131">
        <f>1-B54</f>
        <v>0.89156344836230228</v>
      </c>
      <c r="C55" s="129"/>
    </row>
    <row r="63" spans="1:11">
      <c r="A63" s="10"/>
      <c r="B63" s="26"/>
      <c r="C63" s="33"/>
      <c r="D63" s="33"/>
      <c r="E63" s="33"/>
      <c r="F63" s="33"/>
      <c r="G63" s="33"/>
      <c r="H63" s="33"/>
    </row>
    <row r="64" spans="1:11">
      <c r="A64" s="393"/>
      <c r="B64" s="64"/>
      <c r="C64" s="64"/>
      <c r="D64" s="64"/>
      <c r="E64" s="64"/>
      <c r="F64" s="64"/>
      <c r="G64" s="64"/>
      <c r="H64" s="64"/>
      <c r="I64" s="64"/>
      <c r="J64" s="64"/>
      <c r="K64" s="64"/>
    </row>
    <row r="65" spans="1:11">
      <c r="A65" s="403"/>
      <c r="B65" s="410"/>
      <c r="C65" s="414" t="s">
        <v>708</v>
      </c>
      <c r="D65" s="414"/>
      <c r="E65" s="414"/>
      <c r="F65" s="414"/>
      <c r="G65" s="414"/>
      <c r="H65" s="414"/>
      <c r="I65" s="414"/>
      <c r="J65" s="415"/>
      <c r="K65" s="415"/>
    </row>
    <row r="66" spans="1:11">
      <c r="A66" s="403"/>
      <c r="B66" s="407"/>
      <c r="C66" s="408"/>
      <c r="D66" s="408"/>
      <c r="E66" s="408"/>
      <c r="F66" s="411" t="s">
        <v>710</v>
      </c>
      <c r="G66" s="408"/>
      <c r="H66" s="408"/>
      <c r="I66" s="408"/>
      <c r="J66" s="409"/>
      <c r="K66" s="409"/>
    </row>
    <row r="67" spans="1:11">
      <c r="A67" s="406"/>
      <c r="B67" s="405">
        <f>B44</f>
        <v>75.408253920970466</v>
      </c>
      <c r="C67" s="394">
        <v>0.01</v>
      </c>
      <c r="D67" s="394">
        <f t="shared" ref="D67:I67" si="9">C67+0.5%</f>
        <v>1.4999999999999999E-2</v>
      </c>
      <c r="E67" s="394">
        <f t="shared" si="9"/>
        <v>0.02</v>
      </c>
      <c r="F67" s="394">
        <f t="shared" si="9"/>
        <v>2.5000000000000001E-2</v>
      </c>
      <c r="G67" s="394">
        <f t="shared" si="9"/>
        <v>3.0000000000000002E-2</v>
      </c>
      <c r="H67" s="394">
        <f t="shared" si="9"/>
        <v>3.5000000000000003E-2</v>
      </c>
      <c r="I67" s="394">
        <f t="shared" si="9"/>
        <v>0.04</v>
      </c>
      <c r="J67" s="396"/>
      <c r="K67" s="396"/>
    </row>
    <row r="68" spans="1:11">
      <c r="A68" s="416" t="s">
        <v>112</v>
      </c>
      <c r="B68" s="397">
        <v>2.9499999999999998E-2</v>
      </c>
      <c r="C68" s="395">
        <f t="dataTable" ref="C68:I74" dt2D="1" dtr="1" r1="B16" r2="B15"/>
        <v>154.35042959691739</v>
      </c>
      <c r="D68" s="395">
        <v>155.09200817554995</v>
      </c>
      <c r="E68" s="395">
        <v>155.83358675418259</v>
      </c>
      <c r="F68" s="395">
        <v>156.5751653328152</v>
      </c>
      <c r="G68" s="395">
        <v>157.31674391144782</v>
      </c>
      <c r="H68" s="395">
        <v>158.0583224900804</v>
      </c>
      <c r="I68" s="395">
        <v>158.79990106871298</v>
      </c>
      <c r="J68" s="395"/>
      <c r="K68" s="395"/>
    </row>
    <row r="69" spans="1:11">
      <c r="A69" s="416"/>
      <c r="B69" s="397">
        <f t="shared" ref="B69:B74" si="10">B68+0.5%</f>
        <v>3.4499999999999996E-2</v>
      </c>
      <c r="C69" s="395">
        <v>125.11662630345184</v>
      </c>
      <c r="D69" s="395">
        <v>125.71491380093921</v>
      </c>
      <c r="E69" s="395">
        <v>126.31320129842666</v>
      </c>
      <c r="F69" s="395">
        <v>126.91148879591405</v>
      </c>
      <c r="G69" s="395">
        <v>127.50977629340146</v>
      </c>
      <c r="H69" s="395">
        <v>128.10806379088882</v>
      </c>
      <c r="I69" s="395">
        <v>128.70635128837625</v>
      </c>
      <c r="J69" s="395"/>
      <c r="K69" s="395"/>
    </row>
    <row r="70" spans="1:11">
      <c r="A70" s="416"/>
      <c r="B70" s="397">
        <f t="shared" si="10"/>
        <v>3.9499999999999993E-2</v>
      </c>
      <c r="C70" s="395">
        <v>103.60346027214541</v>
      </c>
      <c r="D70" s="395">
        <v>104.0966380256765</v>
      </c>
      <c r="E70" s="395">
        <v>104.58981577920761</v>
      </c>
      <c r="F70" s="395">
        <v>105.08299353273868</v>
      </c>
      <c r="G70" s="395">
        <v>105.57617128626977</v>
      </c>
      <c r="H70" s="395">
        <v>106.06934903980085</v>
      </c>
      <c r="I70" s="395">
        <v>106.56252679333194</v>
      </c>
      <c r="J70" s="395"/>
      <c r="K70" s="395"/>
    </row>
    <row r="71" spans="1:11">
      <c r="A71" s="416"/>
      <c r="B71" s="397">
        <f t="shared" si="10"/>
        <v>4.4499999999999991E-2</v>
      </c>
      <c r="C71" s="395">
        <v>87.188596598126509</v>
      </c>
      <c r="D71" s="395">
        <v>87.601865442204513</v>
      </c>
      <c r="E71" s="395">
        <v>88.015134286282532</v>
      </c>
      <c r="F71" s="395">
        <v>88.428403130360564</v>
      </c>
      <c r="G71" s="395">
        <v>88.841671974438611</v>
      </c>
      <c r="H71" s="395">
        <v>89.254940818516616</v>
      </c>
      <c r="I71" s="395">
        <v>89.668209662594663</v>
      </c>
      <c r="J71" s="395"/>
      <c r="K71" s="395"/>
    </row>
    <row r="72" spans="1:11">
      <c r="A72" s="416"/>
      <c r="B72" s="397">
        <f t="shared" si="10"/>
        <v>4.9499999999999988E-2</v>
      </c>
      <c r="C72" s="395">
        <v>74.310525538166772</v>
      </c>
      <c r="D72" s="395">
        <v>74.661357360646065</v>
      </c>
      <c r="E72" s="395">
        <v>75.012189183125358</v>
      </c>
      <c r="F72" s="395">
        <v>75.363021005604651</v>
      </c>
      <c r="G72" s="395">
        <v>75.713852828083944</v>
      </c>
      <c r="H72" s="395">
        <v>76.064684650563237</v>
      </c>
      <c r="I72" s="395">
        <v>76.41551647304253</v>
      </c>
      <c r="J72" s="395"/>
      <c r="K72" s="395"/>
    </row>
    <row r="73" spans="1:11">
      <c r="A73" s="416"/>
      <c r="B73" s="397">
        <f t="shared" si="10"/>
        <v>5.4499999999999986E-2</v>
      </c>
      <c r="C73" s="395">
        <v>63.981856270644009</v>
      </c>
      <c r="D73" s="395">
        <v>64.282836134336804</v>
      </c>
      <c r="E73" s="395">
        <v>64.583815998029607</v>
      </c>
      <c r="F73" s="395">
        <v>64.884795861722381</v>
      </c>
      <c r="G73" s="395">
        <v>65.185775725415184</v>
      </c>
      <c r="H73" s="395">
        <v>65.486755589107972</v>
      </c>
      <c r="I73" s="395">
        <v>65.787735452800774</v>
      </c>
      <c r="J73" s="395"/>
      <c r="K73" s="395"/>
    </row>
    <row r="74" spans="1:11">
      <c r="A74" s="416"/>
      <c r="B74" s="398">
        <f t="shared" si="10"/>
        <v>5.9499999999999983E-2</v>
      </c>
      <c r="C74" s="399">
        <v>55.548015246719707</v>
      </c>
      <c r="D74" s="399">
        <v>55.808488950667851</v>
      </c>
      <c r="E74" s="399">
        <v>56.068962654616016</v>
      </c>
      <c r="F74" s="399">
        <v>56.329436358564159</v>
      </c>
      <c r="G74" s="399">
        <v>56.589910062512331</v>
      </c>
      <c r="H74" s="399">
        <v>56.850383766460475</v>
      </c>
      <c r="I74" s="399">
        <v>57.110857470408639</v>
      </c>
      <c r="J74" s="395"/>
      <c r="K74" s="395"/>
    </row>
    <row r="80" spans="1:11">
      <c r="A80" s="404"/>
      <c r="B80" s="410"/>
      <c r="C80" s="414" t="s">
        <v>709</v>
      </c>
      <c r="D80" s="414"/>
      <c r="E80" s="414"/>
      <c r="F80" s="414"/>
      <c r="G80" s="414"/>
      <c r="H80" s="414"/>
      <c r="I80" s="414"/>
      <c r="J80" s="415"/>
      <c r="K80" s="415"/>
    </row>
    <row r="81" spans="1:11">
      <c r="A81" s="404"/>
      <c r="B81" s="410"/>
      <c r="C81" s="408"/>
      <c r="D81" s="408"/>
      <c r="E81" s="408"/>
      <c r="F81" s="411" t="s">
        <v>433</v>
      </c>
      <c r="G81" s="408"/>
      <c r="H81" s="408"/>
      <c r="I81" s="408"/>
      <c r="J81" s="409"/>
      <c r="K81" s="409"/>
    </row>
    <row r="82" spans="1:11">
      <c r="A82" s="406"/>
      <c r="B82" s="405">
        <f>F44</f>
        <v>130.49002702349685</v>
      </c>
      <c r="C82" s="402">
        <v>14.5</v>
      </c>
      <c r="D82" s="402">
        <f>14.5+0.5</f>
        <v>15</v>
      </c>
      <c r="E82" s="402">
        <f>D82+0.5</f>
        <v>15.5</v>
      </c>
      <c r="F82" s="402">
        <f t="shared" ref="F82:I82" si="11">E82+0.5</f>
        <v>16</v>
      </c>
      <c r="G82" s="402">
        <f t="shared" si="11"/>
        <v>16.5</v>
      </c>
      <c r="H82" s="402">
        <f t="shared" si="11"/>
        <v>17</v>
      </c>
      <c r="I82" s="402">
        <f t="shared" si="11"/>
        <v>17.5</v>
      </c>
      <c r="J82" s="396"/>
      <c r="K82" s="396"/>
    </row>
    <row r="83" spans="1:11">
      <c r="A83" s="416" t="s">
        <v>112</v>
      </c>
      <c r="B83" s="400">
        <v>2.9499999999999998E-2</v>
      </c>
      <c r="C83" s="395">
        <f t="dataTable" ref="C83:I91" dt2D="1" dtr="1" r1="F21" r2="B15" ca="1"/>
        <v>129.84686688560936</v>
      </c>
      <c r="D83" s="395">
        <v>134.16742028906765</v>
      </c>
      <c r="E83" s="395">
        <v>138.487973692526</v>
      </c>
      <c r="F83" s="395">
        <v>142.80852709598429</v>
      </c>
      <c r="G83" s="395">
        <v>147.12908049944258</v>
      </c>
      <c r="H83" s="395">
        <v>151.4496339029009</v>
      </c>
      <c r="I83" s="395">
        <v>155.77018730635919</v>
      </c>
      <c r="J83" s="395"/>
      <c r="K83" s="395"/>
    </row>
    <row r="84" spans="1:11">
      <c r="A84" s="416"/>
      <c r="B84" s="400">
        <f>B83+0.5%</f>
        <v>3.4499999999999996E-2</v>
      </c>
      <c r="C84" s="395">
        <v>125.9679807391276</v>
      </c>
      <c r="D84" s="395">
        <v>130.16474440451088</v>
      </c>
      <c r="E84" s="395">
        <v>134.3615080698942</v>
      </c>
      <c r="F84" s="395">
        <v>138.55827173527749</v>
      </c>
      <c r="G84" s="395">
        <v>142.75503540066077</v>
      </c>
      <c r="H84" s="395">
        <v>146.95179906604406</v>
      </c>
      <c r="I84" s="395">
        <v>151.14856273142735</v>
      </c>
      <c r="J84" s="395"/>
      <c r="K84" s="395"/>
    </row>
    <row r="85" spans="1:11">
      <c r="A85" s="416"/>
      <c r="B85" s="400">
        <f t="shared" ref="B85:B91" si="12">B84+0.5%</f>
        <v>3.9499999999999993E-2</v>
      </c>
      <c r="C85" s="395">
        <v>122.21652781040403</v>
      </c>
      <c r="D85" s="395">
        <v>126.2936199022533</v>
      </c>
      <c r="E85" s="395">
        <v>130.37071199410258</v>
      </c>
      <c r="F85" s="395">
        <v>134.44780408595184</v>
      </c>
      <c r="G85" s="395">
        <v>138.52489617780111</v>
      </c>
      <c r="H85" s="395">
        <v>142.60198826965038</v>
      </c>
      <c r="I85" s="395">
        <v>146.67908036149964</v>
      </c>
      <c r="J85" s="395"/>
      <c r="K85" s="395"/>
    </row>
    <row r="86" spans="1:11">
      <c r="A86" s="416"/>
      <c r="B86" s="400">
        <f t="shared" si="12"/>
        <v>4.4499999999999991E-2</v>
      </c>
      <c r="C86" s="395">
        <v>118.58771568866767</v>
      </c>
      <c r="D86" s="395">
        <v>122.54909854135023</v>
      </c>
      <c r="E86" s="395">
        <v>126.51048139403279</v>
      </c>
      <c r="F86" s="395">
        <v>130.47186424671537</v>
      </c>
      <c r="G86" s="395">
        <v>134.4332470993979</v>
      </c>
      <c r="H86" s="395">
        <v>138.39462995208046</v>
      </c>
      <c r="I86" s="395">
        <v>142.356012804763</v>
      </c>
      <c r="J86" s="395"/>
      <c r="K86" s="395"/>
    </row>
    <row r="87" spans="1:11">
      <c r="A87" s="416"/>
      <c r="B87" s="400">
        <f t="shared" si="12"/>
        <v>4.9499999999999988E-2</v>
      </c>
      <c r="C87" s="395">
        <v>115.07695427240523</v>
      </c>
      <c r="D87" s="395">
        <v>118.9264409924651</v>
      </c>
      <c r="E87" s="395">
        <v>122.775927712525</v>
      </c>
      <c r="F87" s="395">
        <v>126.62541443258488</v>
      </c>
      <c r="G87" s="395">
        <v>130.47490115264475</v>
      </c>
      <c r="H87" s="395">
        <v>134.32438787270465</v>
      </c>
      <c r="I87" s="395">
        <v>138.17387459276452</v>
      </c>
      <c r="J87" s="395"/>
      <c r="K87" s="395"/>
    </row>
    <row r="88" spans="1:11">
      <c r="A88" s="416"/>
      <c r="B88" s="400">
        <f t="shared" si="12"/>
        <v>5.4499999999999986E-2</v>
      </c>
      <c r="C88" s="395">
        <v>111.67984631287847</v>
      </c>
      <c r="D88" s="395">
        <v>115.42110707203034</v>
      </c>
      <c r="E88" s="395">
        <v>119.16236783118227</v>
      </c>
      <c r="F88" s="395">
        <v>122.90362859033415</v>
      </c>
      <c r="G88" s="395">
        <v>126.64488934948605</v>
      </c>
      <c r="H88" s="395">
        <v>130.38615010863793</v>
      </c>
      <c r="I88" s="395">
        <v>134.12741086778985</v>
      </c>
      <c r="J88" s="395"/>
      <c r="K88" s="395"/>
    </row>
    <row r="89" spans="1:11">
      <c r="A89" s="416"/>
      <c r="B89" s="400">
        <f t="shared" si="12"/>
        <v>5.9499999999999983E-2</v>
      </c>
      <c r="C89" s="395">
        <v>108.39217844192962</v>
      </c>
      <c r="D89" s="395">
        <v>112.0287464765661</v>
      </c>
      <c r="E89" s="395">
        <v>115.66531451120258</v>
      </c>
      <c r="F89" s="395">
        <v>119.30188254583906</v>
      </c>
      <c r="G89" s="395">
        <v>122.93845058047555</v>
      </c>
      <c r="H89" s="395">
        <v>126.57501861511203</v>
      </c>
      <c r="I89" s="395">
        <v>130.21158664974851</v>
      </c>
      <c r="J89" s="395"/>
      <c r="K89" s="395"/>
    </row>
    <row r="90" spans="1:11">
      <c r="A90" s="416"/>
      <c r="B90" s="400">
        <f t="shared" si="12"/>
        <v>6.4499999999999988E-2</v>
      </c>
      <c r="C90" s="395">
        <v>105.20991265713798</v>
      </c>
      <c r="D90" s="395">
        <v>108.74518998933635</v>
      </c>
      <c r="E90" s="395">
        <v>112.28046732153476</v>
      </c>
      <c r="F90" s="395">
        <v>115.81574465373311</v>
      </c>
      <c r="G90" s="395">
        <v>119.35102198593148</v>
      </c>
      <c r="H90" s="395">
        <v>122.88629931812987</v>
      </c>
      <c r="I90" s="395">
        <v>126.42157665032825</v>
      </c>
      <c r="J90" s="395"/>
      <c r="K90" s="395"/>
    </row>
    <row r="91" spans="1:11">
      <c r="A91" s="416"/>
      <c r="B91" s="401">
        <f t="shared" si="12"/>
        <v>6.9499999999999992E-2</v>
      </c>
      <c r="C91" s="399">
        <v>102.12917823899954</v>
      </c>
      <c r="D91" s="399">
        <v>105.56644113318329</v>
      </c>
      <c r="E91" s="399">
        <v>109.00370402736704</v>
      </c>
      <c r="F91" s="399">
        <v>112.4409669215508</v>
      </c>
      <c r="G91" s="399">
        <v>115.87822981573453</v>
      </c>
      <c r="H91" s="399">
        <v>119.31549270991829</v>
      </c>
      <c r="I91" s="399">
        <v>122.75275560410202</v>
      </c>
      <c r="J91" s="395"/>
      <c r="K91" s="395"/>
    </row>
  </sheetData>
  <mergeCells count="4">
    <mergeCell ref="C65:K65"/>
    <mergeCell ref="A68:A74"/>
    <mergeCell ref="C80:K80"/>
    <mergeCell ref="A83:A91"/>
  </mergeCells>
  <conditionalFormatting sqref="B67:I74">
    <cfRule type="colorScale" priority="2">
      <colorScale>
        <cfvo type="min"/>
        <cfvo type="max"/>
        <color rgb="FFFF7128"/>
        <color rgb="FFFFEF9C"/>
      </colorScale>
    </cfRule>
    <cfRule type="colorScale" priority="3">
      <colorScale>
        <cfvo type="min"/>
        <cfvo type="max"/>
        <color rgb="FF095712"/>
        <color rgb="FFFFEF9C"/>
      </colorScale>
    </cfRule>
  </conditionalFormatting>
  <conditionalFormatting sqref="B82:I91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207A-8BAE-4FC1-ADB3-A126787523F6}">
  <dimension ref="A1:J62"/>
  <sheetViews>
    <sheetView showGridLines="0" tabSelected="1" zoomScale="82" zoomScaleNormal="70" workbookViewId="0">
      <selection activeCell="G22" sqref="G22"/>
    </sheetView>
  </sheetViews>
  <sheetFormatPr defaultRowHeight="14.5"/>
  <cols>
    <col min="1" max="1" width="46.90625" customWidth="1"/>
    <col min="2" max="2" width="16.54296875" customWidth="1"/>
    <col min="3" max="4" width="11.453125" customWidth="1"/>
    <col min="5" max="5" width="26.81640625" customWidth="1"/>
    <col min="6" max="6" width="12.08984375" customWidth="1"/>
    <col min="7" max="7" width="28.54296875" customWidth="1"/>
    <col min="8" max="8" width="35.36328125" customWidth="1"/>
    <col min="9" max="9" width="15.08984375" customWidth="1"/>
    <col min="10" max="10" width="9.54296875" customWidth="1"/>
  </cols>
  <sheetData>
    <row r="1" spans="1:10" ht="15" thickBot="1"/>
    <row r="2" spans="1:10">
      <c r="A2" s="6" t="s">
        <v>140</v>
      </c>
      <c r="E2" s="180" t="s">
        <v>421</v>
      </c>
      <c r="F2" s="181"/>
      <c r="G2" s="182"/>
      <c r="H2" s="6"/>
    </row>
    <row r="3" spans="1:10" ht="15" thickBot="1">
      <c r="A3" s="6"/>
      <c r="E3" s="183"/>
      <c r="G3" s="184"/>
      <c r="H3" s="6"/>
      <c r="I3" s="33"/>
    </row>
    <row r="4" spans="1:10" ht="15" thickBot="1">
      <c r="A4" s="108" t="s">
        <v>245</v>
      </c>
      <c r="E4" s="189" t="s">
        <v>112</v>
      </c>
      <c r="F4" s="190"/>
      <c r="G4" s="191">
        <f>G6*B16*(1-G5)+G7*B40</f>
        <v>4.948057607045591E-2</v>
      </c>
      <c r="H4" s="6"/>
      <c r="I4" s="110"/>
    </row>
    <row r="5" spans="1:10">
      <c r="A5" s="6"/>
      <c r="E5" s="192" t="s">
        <v>422</v>
      </c>
      <c r="G5" s="185">
        <f>FCFF!B5</f>
        <v>0.22505378778071905</v>
      </c>
      <c r="H5" s="6"/>
      <c r="I5" s="33"/>
    </row>
    <row r="6" spans="1:10">
      <c r="A6" s="6" t="s">
        <v>115</v>
      </c>
      <c r="E6" s="192" t="s">
        <v>419</v>
      </c>
      <c r="G6" s="186">
        <f>FCFF!B54</f>
        <v>0.10843655163769778</v>
      </c>
      <c r="H6" s="6"/>
      <c r="I6" s="10"/>
      <c r="J6" s="9"/>
    </row>
    <row r="7" spans="1:10" ht="15" thickBot="1">
      <c r="E7" s="193" t="s">
        <v>420</v>
      </c>
      <c r="F7" s="187"/>
      <c r="G7" s="188">
        <f>FCFF!B55</f>
        <v>0.89156344836230228</v>
      </c>
      <c r="H7" s="6"/>
      <c r="I7" s="45"/>
    </row>
    <row r="8" spans="1:10">
      <c r="A8" t="s">
        <v>133</v>
      </c>
    </row>
    <row r="9" spans="1:10">
      <c r="A9" t="s">
        <v>134</v>
      </c>
      <c r="E9" t="s">
        <v>131</v>
      </c>
      <c r="J9" s="10"/>
    </row>
    <row r="10" spans="1:10">
      <c r="A10" t="s">
        <v>135</v>
      </c>
      <c r="E10" t="s">
        <v>138</v>
      </c>
      <c r="J10" s="29"/>
    </row>
    <row r="11" spans="1:10">
      <c r="E11" t="s">
        <v>712</v>
      </c>
      <c r="H11" s="6"/>
      <c r="J11" s="29"/>
    </row>
    <row r="12" spans="1:10">
      <c r="E12" t="s">
        <v>139</v>
      </c>
      <c r="H12" s="6"/>
      <c r="I12" s="33"/>
    </row>
    <row r="13" spans="1:10">
      <c r="A13" s="6" t="s">
        <v>239</v>
      </c>
      <c r="B13" s="36" t="s">
        <v>137</v>
      </c>
      <c r="E13" t="s">
        <v>713</v>
      </c>
      <c r="H13" s="122"/>
    </row>
    <row r="14" spans="1:10">
      <c r="A14" s="6" t="s">
        <v>240</v>
      </c>
      <c r="B14" s="45">
        <v>1.47E-2</v>
      </c>
      <c r="E14" t="s">
        <v>132</v>
      </c>
      <c r="H14" s="123"/>
    </row>
    <row r="15" spans="1:10">
      <c r="A15" s="6" t="s">
        <v>244</v>
      </c>
      <c r="B15" s="45">
        <v>4.5699999999999998E-2</v>
      </c>
      <c r="H15" s="123"/>
    </row>
    <row r="16" spans="1:10" ht="15" thickBot="1">
      <c r="A16" s="15" t="s">
        <v>136</v>
      </c>
      <c r="B16" s="107">
        <f>B15+B14</f>
        <v>6.0399999999999995E-2</v>
      </c>
      <c r="E16" s="194" t="s">
        <v>485</v>
      </c>
      <c r="H16" s="123"/>
    </row>
    <row r="17" spans="1:8">
      <c r="A17" s="6"/>
      <c r="B17" s="45"/>
      <c r="H17" s="122"/>
    </row>
    <row r="18" spans="1:8">
      <c r="A18" s="6"/>
      <c r="B18" s="45"/>
    </row>
    <row r="19" spans="1:8">
      <c r="A19" s="6"/>
      <c r="B19" s="45"/>
      <c r="H19" s="6"/>
    </row>
    <row r="20" spans="1:8">
      <c r="A20" s="6"/>
      <c r="B20" s="45"/>
    </row>
    <row r="21" spans="1:8">
      <c r="A21" s="108" t="s">
        <v>152</v>
      </c>
    </row>
    <row r="22" spans="1:8">
      <c r="A22" s="6"/>
      <c r="H22" s="6"/>
    </row>
    <row r="23" spans="1:8" ht="15" thickBot="1">
      <c r="A23" s="15" t="s">
        <v>214</v>
      </c>
      <c r="B23" s="109">
        <f>B26/SUM(B27:B28)</f>
        <v>3.609876416330516E-2</v>
      </c>
      <c r="C23" s="9"/>
    </row>
    <row r="25" spans="1:8">
      <c r="A25" t="s">
        <v>133</v>
      </c>
    </row>
    <row r="26" spans="1:8">
      <c r="A26" t="s">
        <v>237</v>
      </c>
      <c r="B26" s="10">
        <v>562</v>
      </c>
      <c r="C26" s="10"/>
    </row>
    <row r="27" spans="1:8">
      <c r="A27" t="s">
        <v>238</v>
      </c>
      <c r="B27" s="29">
        <f>BS!H39</f>
        <v>14319.5</v>
      </c>
      <c r="C27" s="29"/>
    </row>
    <row r="28" spans="1:8">
      <c r="A28" t="s">
        <v>236</v>
      </c>
      <c r="B28" s="29">
        <f>BS!H36+BS!H35</f>
        <v>1248.9000000000001</v>
      </c>
      <c r="C28" s="29"/>
    </row>
    <row r="29" spans="1:8">
      <c r="B29" s="29"/>
      <c r="C29" s="29"/>
    </row>
    <row r="30" spans="1:8">
      <c r="B30" s="29"/>
      <c r="C30" s="29"/>
    </row>
    <row r="33" spans="1:2">
      <c r="A33" s="6" t="s">
        <v>417</v>
      </c>
    </row>
    <row r="35" spans="1:2">
      <c r="A35" s="6" t="s">
        <v>418</v>
      </c>
    </row>
    <row r="36" spans="1:2">
      <c r="A36" s="6"/>
      <c r="B36" s="33"/>
    </row>
    <row r="37" spans="1:2">
      <c r="A37" s="6" t="s">
        <v>484</v>
      </c>
      <c r="B37" s="176">
        <v>4.5999999999999999E-2</v>
      </c>
    </row>
    <row r="38" spans="1:2">
      <c r="A38" s="6" t="s">
        <v>243</v>
      </c>
      <c r="B38" s="177">
        <f>B15</f>
        <v>4.5699999999999998E-2</v>
      </c>
    </row>
    <row r="39" spans="1:2">
      <c r="A39" s="6" t="s">
        <v>241</v>
      </c>
      <c r="B39" s="442">
        <f>'Regression Beta'!B9</f>
        <v>1.0370343578191175</v>
      </c>
    </row>
    <row r="40" spans="1:2" ht="15" thickBot="1">
      <c r="A40" s="15" t="s">
        <v>242</v>
      </c>
      <c r="B40" s="178">
        <f>(B38+B39)*B37</f>
        <v>4.9805780459679407E-2</v>
      </c>
    </row>
    <row r="41" spans="1:2">
      <c r="A41" s="6"/>
      <c r="B41" s="124"/>
    </row>
    <row r="42" spans="1:2">
      <c r="A42" s="6"/>
      <c r="B42" s="124"/>
    </row>
    <row r="43" spans="1:2">
      <c r="A43" s="6"/>
      <c r="B43" s="124"/>
    </row>
    <row r="44" spans="1:2">
      <c r="A44" s="6"/>
      <c r="B44" s="124"/>
    </row>
    <row r="45" spans="1:2">
      <c r="A45" s="6"/>
      <c r="B45" s="124"/>
    </row>
    <row r="46" spans="1:2">
      <c r="B46" s="124"/>
    </row>
    <row r="47" spans="1:2">
      <c r="B47" s="179"/>
    </row>
    <row r="48" spans="1:2">
      <c r="A48" s="6"/>
      <c r="B48" s="179"/>
    </row>
    <row r="53" spans="1:4">
      <c r="A53" s="6"/>
    </row>
    <row r="54" spans="1:4">
      <c r="A54" s="6"/>
    </row>
    <row r="55" spans="1:4">
      <c r="A55" s="6"/>
      <c r="B55" s="33"/>
    </row>
    <row r="56" spans="1:4">
      <c r="A56" s="6"/>
    </row>
    <row r="57" spans="1:4">
      <c r="A57" s="6"/>
      <c r="C57" s="125"/>
    </row>
    <row r="58" spans="1:4">
      <c r="A58" s="6"/>
      <c r="B58" s="26"/>
    </row>
    <row r="59" spans="1:4">
      <c r="B59" s="26"/>
      <c r="C59" s="123"/>
      <c r="D59" s="126"/>
    </row>
    <row r="60" spans="1:4">
      <c r="C60" s="123"/>
      <c r="D60" s="127"/>
    </row>
    <row r="61" spans="1:4">
      <c r="C61" s="123"/>
      <c r="D61" s="126"/>
    </row>
    <row r="62" spans="1:4">
      <c r="C62" s="123"/>
      <c r="D62" s="1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2F3B-E56E-4766-A86F-4357A9131EB2}">
  <dimension ref="A1:AG284"/>
  <sheetViews>
    <sheetView showGridLines="0" zoomScale="90" workbookViewId="0">
      <selection activeCell="B9" sqref="B9"/>
    </sheetView>
  </sheetViews>
  <sheetFormatPr defaultRowHeight="14.5"/>
  <cols>
    <col min="1" max="1" width="14.08984375" customWidth="1"/>
    <col min="2" max="2" width="12.6328125" customWidth="1"/>
    <col min="3" max="3" width="18.26953125" customWidth="1"/>
    <col min="4" max="5" width="17.26953125" customWidth="1"/>
    <col min="6" max="6" width="14.7265625" customWidth="1"/>
    <col min="7" max="8" width="11.7265625" customWidth="1"/>
    <col min="9" max="10" width="17.26953125" customWidth="1"/>
    <col min="11" max="11" width="13.7265625" customWidth="1"/>
    <col min="12" max="13" width="13.36328125" customWidth="1"/>
    <col min="14" max="15" width="17.90625" customWidth="1"/>
    <col min="16" max="16" width="14.26953125" customWidth="1"/>
    <col min="17" max="18" width="13.6328125" customWidth="1"/>
    <col min="19" max="20" width="14.54296875" customWidth="1"/>
    <col min="21" max="21" width="12.26953125" customWidth="1"/>
    <col min="22" max="22" width="13.26953125" customWidth="1"/>
    <col min="23" max="23" width="13.453125" customWidth="1"/>
    <col min="24" max="25" width="16.1796875" customWidth="1"/>
    <col min="26" max="28" width="11.90625" customWidth="1"/>
    <col min="29" max="30" width="15.81640625" customWidth="1"/>
    <col min="31" max="32" width="13.7265625" customWidth="1"/>
    <col min="33" max="33" width="12.6328125" customWidth="1"/>
  </cols>
  <sheetData>
    <row r="1" spans="1:7">
      <c r="A1" s="6" t="s">
        <v>99</v>
      </c>
    </row>
    <row r="2" spans="1:7">
      <c r="A2" t="s">
        <v>116</v>
      </c>
    </row>
    <row r="3" spans="1:7">
      <c r="A3" t="s">
        <v>117</v>
      </c>
    </row>
    <row r="4" spans="1:7">
      <c r="A4" t="s">
        <v>118</v>
      </c>
    </row>
    <row r="5" spans="1:7">
      <c r="A5" t="s">
        <v>119</v>
      </c>
    </row>
    <row r="6" spans="1:7">
      <c r="A6" t="s">
        <v>150</v>
      </c>
    </row>
    <row r="8" spans="1:7">
      <c r="A8" s="71" t="s">
        <v>145</v>
      </c>
      <c r="E8" s="6" t="s">
        <v>255</v>
      </c>
    </row>
    <row r="9" spans="1:7">
      <c r="A9" s="6" t="s">
        <v>146</v>
      </c>
      <c r="B9" s="120">
        <f>C284</f>
        <v>1.0370343578191175</v>
      </c>
      <c r="C9" s="6"/>
      <c r="E9" s="6" t="s">
        <v>254</v>
      </c>
    </row>
    <row r="10" spans="1:7">
      <c r="A10" s="6"/>
      <c r="C10" s="70"/>
    </row>
    <row r="12" spans="1:7">
      <c r="A12" s="71" t="s">
        <v>122</v>
      </c>
      <c r="B12" s="78"/>
      <c r="G12" t="s">
        <v>123</v>
      </c>
    </row>
    <row r="13" spans="1:7">
      <c r="A13" s="6" t="s">
        <v>128</v>
      </c>
      <c r="C13" s="6" t="s">
        <v>146</v>
      </c>
      <c r="D13" s="19"/>
      <c r="E13" s="6"/>
    </row>
    <row r="14" spans="1:7">
      <c r="A14" t="s">
        <v>124</v>
      </c>
      <c r="C14" s="119">
        <f>M284</f>
        <v>1.1375857465739556</v>
      </c>
      <c r="D14" s="69"/>
    </row>
    <row r="15" spans="1:7">
      <c r="A15" t="s">
        <v>125</v>
      </c>
      <c r="C15" s="119">
        <f>R284</f>
        <v>1.0450647153098402</v>
      </c>
      <c r="D15" s="69"/>
      <c r="E15" s="10"/>
    </row>
    <row r="16" spans="1:7">
      <c r="A16" t="s">
        <v>126</v>
      </c>
      <c r="C16" s="119">
        <f>W284</f>
        <v>1.5678190772792249</v>
      </c>
      <c r="D16" s="69"/>
    </row>
    <row r="17" spans="1:33">
      <c r="A17" t="s">
        <v>127</v>
      </c>
      <c r="C17" s="119">
        <f>AB284</f>
        <v>0.73236730709335318</v>
      </c>
      <c r="D17" s="69"/>
      <c r="E17" s="10"/>
      <c r="F17" s="6"/>
    </row>
    <row r="18" spans="1:33">
      <c r="A18" t="s">
        <v>252</v>
      </c>
      <c r="C18" s="119">
        <f>AG110</f>
        <v>2.2083894985507748</v>
      </c>
      <c r="D18" s="46"/>
    </row>
    <row r="20" spans="1:33">
      <c r="K20" s="52"/>
      <c r="L20" s="53"/>
      <c r="M20" s="54"/>
    </row>
    <row r="21" spans="1:33">
      <c r="A21" s="51"/>
      <c r="B21" s="48" t="s">
        <v>145</v>
      </c>
      <c r="C21" s="51"/>
      <c r="F21" s="51"/>
      <c r="G21" s="48" t="s">
        <v>144</v>
      </c>
      <c r="H21" s="51"/>
      <c r="K21" s="50"/>
      <c r="L21" s="48" t="s">
        <v>147</v>
      </c>
      <c r="M21" s="51"/>
      <c r="P21" s="58"/>
      <c r="Q21" s="48" t="s">
        <v>148</v>
      </c>
      <c r="R21" s="58"/>
      <c r="U21" s="58"/>
      <c r="V21" s="48" t="s">
        <v>149</v>
      </c>
      <c r="W21" s="58"/>
      <c r="Z21" s="57"/>
      <c r="AA21" s="48" t="s">
        <v>151</v>
      </c>
      <c r="AB21" s="57"/>
      <c r="AE21" s="57"/>
      <c r="AF21" s="48" t="s">
        <v>253</v>
      </c>
      <c r="AG21" s="57"/>
    </row>
    <row r="22" spans="1:33">
      <c r="A22" s="6" t="s">
        <v>141</v>
      </c>
      <c r="B22" s="6" t="s">
        <v>142</v>
      </c>
      <c r="C22" s="6" t="s">
        <v>143</v>
      </c>
      <c r="D22" s="6"/>
      <c r="E22" s="6"/>
      <c r="F22" s="6" t="s">
        <v>141</v>
      </c>
      <c r="G22" s="6" t="s">
        <v>142</v>
      </c>
      <c r="H22" t="s">
        <v>143</v>
      </c>
      <c r="J22" s="6"/>
      <c r="K22" s="56" t="s">
        <v>141</v>
      </c>
      <c r="L22" s="55" t="s">
        <v>142</v>
      </c>
      <c r="M22" t="s">
        <v>143</v>
      </c>
      <c r="N22" s="6"/>
      <c r="O22" s="6"/>
      <c r="P22" t="s">
        <v>141</v>
      </c>
      <c r="Q22" s="46" t="s">
        <v>142</v>
      </c>
      <c r="R22" t="s">
        <v>143</v>
      </c>
      <c r="U22" t="s">
        <v>141</v>
      </c>
      <c r="V22" t="s">
        <v>142</v>
      </c>
      <c r="W22" t="s">
        <v>143</v>
      </c>
      <c r="Z22" t="s">
        <v>141</v>
      </c>
      <c r="AA22" t="s">
        <v>142</v>
      </c>
      <c r="AB22" t="s">
        <v>143</v>
      </c>
      <c r="AE22" t="s">
        <v>141</v>
      </c>
      <c r="AF22" t="s">
        <v>142</v>
      </c>
      <c r="AG22" t="s">
        <v>143</v>
      </c>
    </row>
    <row r="23" spans="1:33">
      <c r="A23" s="117">
        <v>45902</v>
      </c>
      <c r="B23">
        <v>112.55</v>
      </c>
      <c r="C23" s="119">
        <f>B23/B24-1</f>
        <v>3.1194295900178748E-3</v>
      </c>
      <c r="F23" s="47">
        <v>45902</v>
      </c>
      <c r="G23" s="16">
        <v>6114.63</v>
      </c>
      <c r="H23" s="119">
        <f>Table2[[#This Row],[Price]]/G24-1</f>
        <v>1.4709616179250373E-2</v>
      </c>
      <c r="J23" s="46"/>
      <c r="K23" s="117">
        <v>45902</v>
      </c>
      <c r="L23">
        <v>57.08</v>
      </c>
      <c r="M23" s="119">
        <f>Table5[[#This Row],[Price]]/L24-1</f>
        <v>-3.3176182992842307E-3</v>
      </c>
      <c r="N23" s="16"/>
      <c r="O23" s="8"/>
      <c r="P23" s="47">
        <v>45902</v>
      </c>
      <c r="Q23">
        <v>147.91</v>
      </c>
      <c r="R23" s="119">
        <f>Table6[[#This Row],[Price]]/Q24-1</f>
        <v>3.0300919476177191E-2</v>
      </c>
      <c r="U23" s="47">
        <v>45902</v>
      </c>
      <c r="V23">
        <v>191.19</v>
      </c>
      <c r="W23" s="119">
        <f>Table8[[#This Row],[Price]]/V24-1</f>
        <v>-3.057499239428052E-2</v>
      </c>
      <c r="Z23" s="47">
        <v>45902</v>
      </c>
      <c r="AA23">
        <v>476.66</v>
      </c>
      <c r="AB23" s="119">
        <f>Table9[[#This Row],[Price]]/AA24-1</f>
        <v>2.1253802973818514E-2</v>
      </c>
      <c r="AE23" s="47">
        <v>45902</v>
      </c>
      <c r="AF23">
        <v>131.07</v>
      </c>
      <c r="AG23" s="119">
        <f>Table10[[#This Row],[Price]]/AF24-1</f>
        <v>-5.2962427745664842E-2</v>
      </c>
    </row>
    <row r="24" spans="1:33">
      <c r="A24" s="117">
        <v>45690</v>
      </c>
      <c r="B24">
        <v>112.2</v>
      </c>
      <c r="C24" s="119">
        <f t="shared" ref="C24:C86" si="0">B24/B25-1</f>
        <v>4.1976225854383209E-2</v>
      </c>
      <c r="F24" s="47">
        <v>45690</v>
      </c>
      <c r="G24" s="16">
        <v>6025.99</v>
      </c>
      <c r="H24" s="119">
        <f>Table2[[#This Row],[Price]]/G25-1</f>
        <v>-2.4070735514929442E-3</v>
      </c>
      <c r="J24" s="46"/>
      <c r="K24" s="117">
        <v>45690</v>
      </c>
      <c r="L24">
        <v>57.27</v>
      </c>
      <c r="M24" s="119">
        <f>Table5[[#This Row],[Price]]/L25-1</f>
        <v>-1.8508997429305896E-2</v>
      </c>
      <c r="N24" s="16"/>
      <c r="O24" s="8"/>
      <c r="P24" s="47">
        <v>45690</v>
      </c>
      <c r="Q24">
        <v>143.56</v>
      </c>
      <c r="R24" s="119">
        <f>Table6[[#This Row],[Price]]/Q25-1</f>
        <v>0.10007662835249054</v>
      </c>
      <c r="U24" s="47">
        <v>45690</v>
      </c>
      <c r="V24">
        <v>197.22</v>
      </c>
      <c r="W24" s="119">
        <f>Table8[[#This Row],[Price]]/V25-1</f>
        <v>1.0141364474492987E-2</v>
      </c>
      <c r="Z24" s="47">
        <v>45690</v>
      </c>
      <c r="AA24">
        <v>466.74</v>
      </c>
      <c r="AB24" s="119">
        <f>Table9[[#This Row],[Price]]/AA25-1</f>
        <v>3.9232276451727888E-2</v>
      </c>
      <c r="AE24" s="47">
        <v>45690</v>
      </c>
      <c r="AF24">
        <v>138.4</v>
      </c>
      <c r="AG24" s="119">
        <f>Table10[[#This Row],[Price]]/AF25-1</f>
        <v>2.4805627545353426E-2</v>
      </c>
    </row>
    <row r="25" spans="1:33">
      <c r="A25" s="117">
        <v>45683</v>
      </c>
      <c r="B25">
        <v>107.68</v>
      </c>
      <c r="C25" s="119">
        <f t="shared" si="0"/>
        <v>8.9768242080761063E-2</v>
      </c>
      <c r="F25" s="47">
        <v>45683</v>
      </c>
      <c r="G25" s="16">
        <v>6040.53</v>
      </c>
      <c r="H25" s="119">
        <f>Table2[[#This Row],[Price]]/G26-1</f>
        <v>-9.9504363047511202E-3</v>
      </c>
      <c r="J25" s="46"/>
      <c r="K25" s="117" t="s">
        <v>256</v>
      </c>
      <c r="L25">
        <v>58.35</v>
      </c>
      <c r="M25" s="119">
        <f>Table5[[#This Row],[Price]]/L26-1</f>
        <v>2.9100529100529071E-2</v>
      </c>
      <c r="N25" s="16"/>
      <c r="O25" s="8"/>
      <c r="P25" s="46" t="s">
        <v>256</v>
      </c>
      <c r="Q25">
        <v>130.5</v>
      </c>
      <c r="R25" s="119">
        <f>Table6[[#This Row],[Price]]/Q26-1</f>
        <v>1.7464525183221724E-2</v>
      </c>
      <c r="U25" s="46" t="s">
        <v>256</v>
      </c>
      <c r="V25">
        <v>195.24</v>
      </c>
      <c r="W25" s="119">
        <f>Table8[[#This Row],[Price]]/V26-1</f>
        <v>4.0669473908640175E-2</v>
      </c>
      <c r="Z25" s="46" t="s">
        <v>256</v>
      </c>
      <c r="AA25">
        <v>449.12</v>
      </c>
      <c r="AB25" s="119">
        <f>Table9[[#This Row],[Price]]/AA26-1</f>
        <v>3.4290583331414215E-2</v>
      </c>
      <c r="AE25" s="46" t="s">
        <v>256</v>
      </c>
      <c r="AF25">
        <v>135.05000000000001</v>
      </c>
      <c r="AG25" s="119">
        <f>Table10[[#This Row],[Price]]/AF26-1</f>
        <v>8.143818065342745E-2</v>
      </c>
    </row>
    <row r="26" spans="1:33">
      <c r="A26" s="117">
        <v>45676</v>
      </c>
      <c r="B26">
        <v>98.81</v>
      </c>
      <c r="C26" s="119">
        <f t="shared" si="0"/>
        <v>3.8683906233575094E-2</v>
      </c>
      <c r="F26" s="47">
        <v>45676</v>
      </c>
      <c r="G26" s="16">
        <v>6101.24</v>
      </c>
      <c r="H26" s="119">
        <f>Table2[[#This Row],[Price]]/G27-1</f>
        <v>1.7439708104177942E-2</v>
      </c>
      <c r="J26" s="47"/>
      <c r="K26" s="117" t="s">
        <v>257</v>
      </c>
      <c r="L26">
        <v>56.7</v>
      </c>
      <c r="M26" s="119">
        <f>Table5[[#This Row],[Price]]/L27-1</f>
        <v>-1.4255910987482578E-2</v>
      </c>
      <c r="N26" s="16"/>
      <c r="O26" s="8"/>
      <c r="P26" s="46" t="s">
        <v>257</v>
      </c>
      <c r="Q26">
        <v>128.26</v>
      </c>
      <c r="R26" s="119">
        <f>Table6[[#This Row],[Price]]/Q27-1</f>
        <v>2.3459942547079393E-2</v>
      </c>
      <c r="U26" s="46" t="s">
        <v>257</v>
      </c>
      <c r="V26">
        <v>187.61</v>
      </c>
      <c r="W26" s="119">
        <f>Table8[[#This Row],[Price]]/V27-1</f>
        <v>3.2242090784044164E-2</v>
      </c>
      <c r="Z26" s="46" t="s">
        <v>257</v>
      </c>
      <c r="AA26">
        <v>434.23</v>
      </c>
      <c r="AB26" s="119">
        <f>Table9[[#This Row],[Price]]/AA27-1</f>
        <v>1.6099216099216163E-2</v>
      </c>
      <c r="AE26" s="46" t="s">
        <v>257</v>
      </c>
      <c r="AF26">
        <v>124.88</v>
      </c>
      <c r="AG26" s="119">
        <f>Table10[[#This Row],[Price]]/AF27-1</f>
        <v>5.6246299585553494E-2</v>
      </c>
    </row>
    <row r="27" spans="1:33">
      <c r="A27" s="117">
        <v>45992</v>
      </c>
      <c r="B27">
        <v>95.13</v>
      </c>
      <c r="C27" s="119">
        <f t="shared" si="0"/>
        <v>3.1219512195121979E-2</v>
      </c>
      <c r="F27" s="47">
        <v>45992</v>
      </c>
      <c r="G27" s="16">
        <v>5996.66</v>
      </c>
      <c r="H27" s="119">
        <f>Table2[[#This Row],[Price]]/G28-1</f>
        <v>2.9109118866525785E-2</v>
      </c>
      <c r="J27" s="47"/>
      <c r="K27" s="117">
        <v>45992</v>
      </c>
      <c r="L27">
        <v>57.52</v>
      </c>
      <c r="M27" s="119">
        <f>Table5[[#This Row],[Price]]/L28-1</f>
        <v>1.8053097345132718E-2</v>
      </c>
      <c r="N27" s="16"/>
      <c r="O27" s="8"/>
      <c r="P27" s="47">
        <v>45992</v>
      </c>
      <c r="Q27">
        <v>125.32</v>
      </c>
      <c r="R27" s="119">
        <f>Table6[[#This Row],[Price]]/Q28-1</f>
        <v>1.6795131845841693E-2</v>
      </c>
      <c r="U27" s="47">
        <v>45992</v>
      </c>
      <c r="V27">
        <v>181.75</v>
      </c>
      <c r="W27" s="119">
        <f>Table8[[#This Row],[Price]]/V28-1</f>
        <v>9.6100433285188913E-3</v>
      </c>
      <c r="Z27" s="47">
        <v>45992</v>
      </c>
      <c r="AA27">
        <v>427.35</v>
      </c>
      <c r="AB27" s="119">
        <f>Table9[[#This Row],[Price]]/AA28-1</f>
        <v>6.2187756319439291E-2</v>
      </c>
      <c r="AE27" s="47">
        <v>45992</v>
      </c>
      <c r="AF27">
        <v>118.23</v>
      </c>
      <c r="AG27" s="119">
        <f>Table10[[#This Row],[Price]]/AF28-1</f>
        <v>2.7015288394718562E-2</v>
      </c>
    </row>
    <row r="28" spans="1:33">
      <c r="A28" s="117">
        <v>45778</v>
      </c>
      <c r="B28">
        <v>92.25</v>
      </c>
      <c r="C28" s="119">
        <f t="shared" si="0"/>
        <v>-3.5644847699286553E-3</v>
      </c>
      <c r="F28" s="47">
        <v>45778</v>
      </c>
      <c r="G28" s="16">
        <v>5827.04</v>
      </c>
      <c r="H28" s="119">
        <f>Table2[[#This Row],[Price]]/G29-1</f>
        <v>-1.9424582707190829E-2</v>
      </c>
      <c r="J28" s="46"/>
      <c r="K28" s="117">
        <v>45778</v>
      </c>
      <c r="L28">
        <v>56.5</v>
      </c>
      <c r="M28" s="119">
        <f>Table5[[#This Row],[Price]]/L29-1</f>
        <v>-5.3601340033500922E-2</v>
      </c>
      <c r="N28" s="16"/>
      <c r="O28" s="8"/>
      <c r="P28" s="47">
        <v>45778</v>
      </c>
      <c r="Q28">
        <v>123.25</v>
      </c>
      <c r="R28" s="119">
        <f>Table6[[#This Row],[Price]]/Q29-1</f>
        <v>-7.6363908872901676E-2</v>
      </c>
      <c r="U28" s="47">
        <v>45778</v>
      </c>
      <c r="V28">
        <v>180.02</v>
      </c>
      <c r="W28" s="119">
        <f>Table8[[#This Row],[Price]]/V29-1</f>
        <v>-4.1018538248455139E-2</v>
      </c>
      <c r="Z28" s="47">
        <v>45778</v>
      </c>
      <c r="AA28">
        <v>402.33</v>
      </c>
      <c r="AB28" s="119">
        <f>Table9[[#This Row],[Price]]/AA29-1</f>
        <v>-8.1606099342585781E-2</v>
      </c>
      <c r="AE28" s="47">
        <v>45778</v>
      </c>
      <c r="AF28">
        <v>115.12</v>
      </c>
      <c r="AG28" s="119">
        <f>Table10[[#This Row],[Price]]/AF29-1</f>
        <v>3.475842891902392E-4</v>
      </c>
    </row>
    <row r="29" spans="1:33">
      <c r="A29" s="117">
        <v>45655</v>
      </c>
      <c r="B29">
        <v>92.58</v>
      </c>
      <c r="C29" s="119">
        <f t="shared" si="0"/>
        <v>3.5772357723578008E-3</v>
      </c>
      <c r="F29" s="47">
        <v>45655</v>
      </c>
      <c r="G29" s="16">
        <v>5942.47</v>
      </c>
      <c r="H29" s="119">
        <f>Table2[[#This Row],[Price]]/G30-1</f>
        <v>-4.7514252600974194E-3</v>
      </c>
      <c r="J29" s="46"/>
      <c r="K29" s="117" t="s">
        <v>258</v>
      </c>
      <c r="L29">
        <v>59.7</v>
      </c>
      <c r="M29" s="119">
        <f>Table5[[#This Row],[Price]]/L30-1</f>
        <v>-1.7769002961500413E-2</v>
      </c>
      <c r="N29" s="16"/>
      <c r="O29" s="8"/>
      <c r="P29" s="46" t="s">
        <v>258</v>
      </c>
      <c r="Q29">
        <v>133.44</v>
      </c>
      <c r="R29" s="119">
        <f>Table6[[#This Row],[Price]]/Q30-1</f>
        <v>-1.3236707831102534E-2</v>
      </c>
      <c r="U29" s="46" t="s">
        <v>258</v>
      </c>
      <c r="V29">
        <v>187.72</v>
      </c>
      <c r="W29" s="119">
        <f>Table8[[#This Row],[Price]]/V30-1</f>
        <v>7.4634822475738716E-4</v>
      </c>
      <c r="Z29" s="46" t="s">
        <v>258</v>
      </c>
      <c r="AA29">
        <v>438.08</v>
      </c>
      <c r="AB29" s="119">
        <f>Table9[[#This Row],[Price]]/AA30-1</f>
        <v>1.9691820678739314E-2</v>
      </c>
      <c r="AE29" s="46" t="s">
        <v>258</v>
      </c>
      <c r="AF29">
        <v>115.08</v>
      </c>
      <c r="AG29" s="119">
        <f>Table10[[#This Row],[Price]]/AF30-1</f>
        <v>6.2079216577772822E-3</v>
      </c>
    </row>
    <row r="30" spans="1:33">
      <c r="A30" s="117">
        <v>45648</v>
      </c>
      <c r="B30">
        <v>92.25</v>
      </c>
      <c r="C30" s="119">
        <f t="shared" si="0"/>
        <v>4.8652949869273598E-2</v>
      </c>
      <c r="F30" s="47">
        <v>45648</v>
      </c>
      <c r="G30" s="16">
        <v>5970.84</v>
      </c>
      <c r="H30" s="119">
        <f>Table2[[#This Row],[Price]]/G31-1</f>
        <v>6.7427097296339777E-3</v>
      </c>
      <c r="J30" s="47"/>
      <c r="K30" s="117" t="s">
        <v>259</v>
      </c>
      <c r="L30">
        <v>60.78</v>
      </c>
      <c r="M30" s="119">
        <f>Table5[[#This Row],[Price]]/L31-1</f>
        <v>-1.7617585259414814E-2</v>
      </c>
      <c r="N30" s="16"/>
      <c r="P30" s="46" t="s">
        <v>259</v>
      </c>
      <c r="Q30">
        <v>135.22999999999999</v>
      </c>
      <c r="R30" s="119">
        <f>Table6[[#This Row],[Price]]/Q31-1</f>
        <v>2.1683288002417367E-2</v>
      </c>
      <c r="U30" s="46" t="s">
        <v>259</v>
      </c>
      <c r="V30">
        <v>187.58</v>
      </c>
      <c r="W30" s="119">
        <f>Table8[[#This Row],[Price]]/V31-1</f>
        <v>-5.3307745615405189E-5</v>
      </c>
      <c r="Z30" s="46" t="s">
        <v>259</v>
      </c>
      <c r="AA30">
        <v>429.62</v>
      </c>
      <c r="AB30" s="119">
        <f>Table9[[#This Row],[Price]]/AA31-1</f>
        <v>8.0717067905580198E-3</v>
      </c>
      <c r="AE30" s="46" t="s">
        <v>259</v>
      </c>
      <c r="AF30">
        <v>114.37</v>
      </c>
      <c r="AG30" s="119">
        <f>Table10[[#This Row],[Price]]/AF31-1</f>
        <v>-3.9311213775724441E-2</v>
      </c>
    </row>
    <row r="31" spans="1:33">
      <c r="A31" s="117">
        <v>45641</v>
      </c>
      <c r="B31">
        <v>87.97</v>
      </c>
      <c r="C31" s="119">
        <f t="shared" si="0"/>
        <v>-9.7002668856497665E-2</v>
      </c>
      <c r="F31" s="47">
        <v>45641</v>
      </c>
      <c r="G31" s="16">
        <v>5930.85</v>
      </c>
      <c r="H31" s="119">
        <f>Table2[[#This Row],[Price]]/G32-1</f>
        <v>-1.9870800136834843E-2</v>
      </c>
      <c r="J31" s="47"/>
      <c r="K31" s="117" t="s">
        <v>260</v>
      </c>
      <c r="L31">
        <v>61.87</v>
      </c>
      <c r="M31" s="119">
        <f>Table5[[#This Row],[Price]]/L32-1</f>
        <v>-4.2111782009599086E-2</v>
      </c>
      <c r="N31" s="16"/>
      <c r="P31" s="46" t="s">
        <v>260</v>
      </c>
      <c r="Q31">
        <v>132.36000000000001</v>
      </c>
      <c r="R31" s="119">
        <f>Table6[[#This Row],[Price]]/Q32-1</f>
        <v>-3.3868613138686054E-2</v>
      </c>
      <c r="U31" s="46" t="s">
        <v>260</v>
      </c>
      <c r="V31">
        <v>187.59</v>
      </c>
      <c r="W31" s="119">
        <f>Table8[[#This Row],[Price]]/V32-1</f>
        <v>0.12538244645749597</v>
      </c>
      <c r="Z31" s="46" t="s">
        <v>260</v>
      </c>
      <c r="AA31">
        <v>426.18</v>
      </c>
      <c r="AB31" s="119">
        <f>Table9[[#This Row],[Price]]/AA32-1</f>
        <v>-5.9558223183352799E-2</v>
      </c>
      <c r="AE31" s="46" t="s">
        <v>260</v>
      </c>
      <c r="AF31">
        <v>119.05</v>
      </c>
      <c r="AG31" s="119">
        <f>Table10[[#This Row],[Price]]/AF32-1</f>
        <v>-4.0306328093510646E-2</v>
      </c>
    </row>
    <row r="32" spans="1:33">
      <c r="A32" s="117">
        <v>45516</v>
      </c>
      <c r="B32">
        <v>97.42</v>
      </c>
      <c r="C32" s="119">
        <f t="shared" si="0"/>
        <v>-2.6870442513235449E-2</v>
      </c>
      <c r="F32" s="47">
        <v>45516</v>
      </c>
      <c r="G32" s="16">
        <v>6051.09</v>
      </c>
      <c r="H32" s="119">
        <f>Table2[[#This Row],[Price]]/G33-1</f>
        <v>-6.4332123206360947E-3</v>
      </c>
      <c r="J32" s="46"/>
      <c r="K32" s="117">
        <v>45516</v>
      </c>
      <c r="L32">
        <v>64.59</v>
      </c>
      <c r="M32" s="119">
        <f>Table5[[#This Row],[Price]]/L33-1</f>
        <v>-1.2385321100917501E-2</v>
      </c>
      <c r="N32" s="16"/>
      <c r="P32" s="47">
        <v>45516</v>
      </c>
      <c r="Q32">
        <v>137</v>
      </c>
      <c r="R32" s="119">
        <f>Table6[[#This Row],[Price]]/Q33-1</f>
        <v>-4.5774903727384686E-3</v>
      </c>
      <c r="U32" s="47">
        <v>45516</v>
      </c>
      <c r="V32">
        <v>166.69</v>
      </c>
      <c r="W32" s="119">
        <f>Table8[[#This Row],[Price]]/V33-1</f>
        <v>-1.8026509572901306E-2</v>
      </c>
      <c r="Z32" s="47">
        <v>45516</v>
      </c>
      <c r="AA32">
        <v>453.17</v>
      </c>
      <c r="AB32" s="119">
        <f>Table9[[#This Row],[Price]]/AA33-1</f>
        <v>-1.3968972344916009E-2</v>
      </c>
      <c r="AE32" s="47">
        <v>45516</v>
      </c>
      <c r="AF32">
        <v>124.05</v>
      </c>
      <c r="AG32" s="119">
        <f>Table10[[#This Row],[Price]]/AF33-1</f>
        <v>-0.17782343584305405</v>
      </c>
    </row>
    <row r="33" spans="1:33">
      <c r="A33" s="117">
        <v>45303</v>
      </c>
      <c r="B33">
        <v>100.11</v>
      </c>
      <c r="C33" s="119">
        <f t="shared" si="0"/>
        <v>-2.2935779816513735E-2</v>
      </c>
      <c r="F33" s="47">
        <v>45303</v>
      </c>
      <c r="G33" s="16">
        <v>6090.27</v>
      </c>
      <c r="H33" s="119">
        <f>Table2[[#This Row],[Price]]/G34-1</f>
        <v>9.5965439842982114E-3</v>
      </c>
      <c r="J33" s="46"/>
      <c r="K33" s="117">
        <v>45303</v>
      </c>
      <c r="L33">
        <v>65.400000000000006</v>
      </c>
      <c r="M33" s="119">
        <f>Table5[[#This Row],[Price]]/L34-1</f>
        <v>6.3068920676202955E-2</v>
      </c>
      <c r="N33" s="16"/>
      <c r="P33" s="47">
        <v>45303</v>
      </c>
      <c r="Q33">
        <v>137.63</v>
      </c>
      <c r="R33" s="119">
        <f>Table6[[#This Row],[Price]]/Q34-1</f>
        <v>-9.428530300849336E-3</v>
      </c>
      <c r="U33" s="47">
        <v>45303</v>
      </c>
      <c r="V33">
        <v>169.75</v>
      </c>
      <c r="W33" s="119">
        <f>Table8[[#This Row],[Price]]/V34-1</f>
        <v>-3.6988710500936106E-2</v>
      </c>
      <c r="Z33" s="47">
        <v>45303</v>
      </c>
      <c r="AA33">
        <v>459.59</v>
      </c>
      <c r="AB33" s="119">
        <f>Table9[[#This Row],[Price]]/AA34-1</f>
        <v>-3.4860034860034861E-2</v>
      </c>
      <c r="AE33" s="47">
        <v>45303</v>
      </c>
      <c r="AF33">
        <v>150.88</v>
      </c>
      <c r="AG33" s="119">
        <f>Table10[[#This Row],[Price]]/AF34-1</f>
        <v>7.0830376153300234E-2</v>
      </c>
    </row>
    <row r="34" spans="1:33">
      <c r="A34" s="117">
        <v>45620</v>
      </c>
      <c r="B34">
        <v>102.46</v>
      </c>
      <c r="C34" s="119">
        <f t="shared" si="0"/>
        <v>-3.9024390243913576E-4</v>
      </c>
      <c r="F34" s="47">
        <v>45620</v>
      </c>
      <c r="G34" s="16">
        <v>6032.38</v>
      </c>
      <c r="H34" s="119">
        <f>Table2[[#This Row],[Price]]/G35-1</f>
        <v>1.0560631493598871E-2</v>
      </c>
      <c r="J34" s="46"/>
      <c r="K34" s="117" t="s">
        <v>261</v>
      </c>
      <c r="L34">
        <v>61.52</v>
      </c>
      <c r="M34" s="119">
        <f>Table5[[#This Row],[Price]]/L35-1</f>
        <v>-7.9019512981776119E-3</v>
      </c>
      <c r="N34" s="16"/>
      <c r="P34" s="46" t="s">
        <v>261</v>
      </c>
      <c r="Q34">
        <v>138.94</v>
      </c>
      <c r="R34" s="119">
        <f>Table6[[#This Row],[Price]]/Q35-1</f>
        <v>2.7130923338507973E-2</v>
      </c>
      <c r="U34" s="46" t="s">
        <v>261</v>
      </c>
      <c r="V34">
        <v>176.27</v>
      </c>
      <c r="W34" s="119">
        <f>Table8[[#This Row],[Price]]/V35-1</f>
        <v>5.1165841731767081E-2</v>
      </c>
      <c r="Z34" s="46" t="s">
        <v>261</v>
      </c>
      <c r="AA34">
        <v>476.19</v>
      </c>
      <c r="AB34" s="119">
        <f>Table9[[#This Row],[Price]]/AA35-1</f>
        <v>5.0380500716885379E-2</v>
      </c>
      <c r="AE34" s="46" t="s">
        <v>261</v>
      </c>
      <c r="AF34">
        <v>140.9</v>
      </c>
      <c r="AG34" s="119">
        <f>Table10[[#This Row],[Price]]/AF35-1</f>
        <v>-2.8275862068965485E-2</v>
      </c>
    </row>
    <row r="35" spans="1:33">
      <c r="A35" s="117">
        <v>45613</v>
      </c>
      <c r="B35">
        <v>102.5</v>
      </c>
      <c r="C35" s="119">
        <f t="shared" si="0"/>
        <v>4.1454988823409922E-2</v>
      </c>
      <c r="F35" s="47">
        <v>45613</v>
      </c>
      <c r="G35" s="16">
        <v>5969.34</v>
      </c>
      <c r="H35" s="119">
        <f>Table2[[#This Row],[Price]]/G36-1</f>
        <v>1.6815941076070429E-2</v>
      </c>
      <c r="J35" s="47"/>
      <c r="K35" s="117" t="s">
        <v>262</v>
      </c>
      <c r="L35">
        <v>62.01</v>
      </c>
      <c r="M35" s="119">
        <f>Table5[[#This Row],[Price]]/L36-1</f>
        <v>5.7649667405764937E-2</v>
      </c>
      <c r="N35" s="16"/>
      <c r="P35" s="46" t="s">
        <v>262</v>
      </c>
      <c r="Q35">
        <v>135.27000000000001</v>
      </c>
      <c r="R35" s="119">
        <f>Table6[[#This Row],[Price]]/Q36-1</f>
        <v>1.257579160116773E-2</v>
      </c>
      <c r="U35" s="46" t="s">
        <v>262</v>
      </c>
      <c r="V35">
        <v>167.69</v>
      </c>
      <c r="W35" s="119">
        <f>Table8[[#This Row],[Price]]/V36-1</f>
        <v>5.4562897229883944E-3</v>
      </c>
      <c r="Z35" s="46" t="s">
        <v>262</v>
      </c>
      <c r="AA35">
        <v>453.35</v>
      </c>
      <c r="AB35" s="119">
        <f>Table9[[#This Row],[Price]]/AA36-1</f>
        <v>5.3249076504890525E-2</v>
      </c>
      <c r="AE35" s="46" t="s">
        <v>262</v>
      </c>
      <c r="AF35">
        <v>145</v>
      </c>
      <c r="AG35" s="119">
        <f>Table10[[#This Row],[Price]]/AF36-1</f>
        <v>2.5604753147545622E-2</v>
      </c>
    </row>
    <row r="36" spans="1:33">
      <c r="A36" s="117">
        <v>45576</v>
      </c>
      <c r="B36">
        <v>98.42</v>
      </c>
      <c r="C36" s="119">
        <f t="shared" si="0"/>
        <v>8.9185033316248052E-3</v>
      </c>
      <c r="F36" s="47">
        <v>45576</v>
      </c>
      <c r="G36" s="16">
        <v>5870.62</v>
      </c>
      <c r="H36" s="119">
        <f>Table2[[#This Row],[Price]]/G37-1</f>
        <v>-2.0835487712532963E-2</v>
      </c>
      <c r="J36" s="46"/>
      <c r="K36" s="117">
        <v>45576</v>
      </c>
      <c r="L36">
        <v>58.63</v>
      </c>
      <c r="M36" s="119">
        <f>Table5[[#This Row],[Price]]/L37-1</f>
        <v>-3.0607039619112708E-3</v>
      </c>
      <c r="N36" s="16"/>
      <c r="P36" s="47">
        <v>45576</v>
      </c>
      <c r="Q36">
        <v>133.59</v>
      </c>
      <c r="R36" s="119">
        <f>Table6[[#This Row],[Price]]/Q37-1</f>
        <v>-2.6382916697033743E-2</v>
      </c>
      <c r="U36" s="47">
        <v>45576</v>
      </c>
      <c r="V36">
        <v>166.78</v>
      </c>
      <c r="W36" s="119">
        <f>Table8[[#This Row],[Price]]/V37-1</f>
        <v>-9.8551412966041418E-3</v>
      </c>
      <c r="Z36" s="47">
        <v>45576</v>
      </c>
      <c r="AA36">
        <v>430.43</v>
      </c>
      <c r="AB36" s="119">
        <f>Table9[[#This Row],[Price]]/AA37-1</f>
        <v>-6.3733060709546985E-2</v>
      </c>
      <c r="AE36" s="47">
        <v>45576</v>
      </c>
      <c r="AF36">
        <v>141.38</v>
      </c>
      <c r="AG36" s="119">
        <f>Table10[[#This Row],[Price]]/AF37-1</f>
        <v>-3.9538043478260843E-2</v>
      </c>
    </row>
    <row r="37" spans="1:33">
      <c r="A37" s="117">
        <v>45362</v>
      </c>
      <c r="B37">
        <v>97.55</v>
      </c>
      <c r="C37" s="119">
        <f t="shared" si="0"/>
        <v>-1.3350864771922821E-2</v>
      </c>
      <c r="F37" s="47">
        <v>45362</v>
      </c>
      <c r="G37" s="16">
        <v>5995.54</v>
      </c>
      <c r="H37" s="119">
        <f>Table2[[#This Row],[Price]]/G38-1</f>
        <v>4.6561234464460144E-2</v>
      </c>
      <c r="J37" s="46"/>
      <c r="K37" s="117">
        <v>45362</v>
      </c>
      <c r="L37">
        <v>58.81</v>
      </c>
      <c r="M37" s="119">
        <f>Table5[[#This Row],[Price]]/L38-1</f>
        <v>3.7549069807134572E-3</v>
      </c>
      <c r="N37" s="16"/>
      <c r="P37" s="47">
        <v>45362</v>
      </c>
      <c r="Q37">
        <v>137.21</v>
      </c>
      <c r="R37" s="119">
        <f>Table6[[#This Row],[Price]]/Q38-1</f>
        <v>3.6799153695028064E-2</v>
      </c>
      <c r="U37" s="47">
        <v>45362</v>
      </c>
      <c r="V37">
        <v>168.44</v>
      </c>
      <c r="W37" s="119">
        <f>Table8[[#This Row],[Price]]/V38-1</f>
        <v>5.5057939242092013E-2</v>
      </c>
      <c r="Z37" s="47">
        <v>45362</v>
      </c>
      <c r="AA37">
        <v>459.73</v>
      </c>
      <c r="AB37" s="119">
        <f>Table9[[#This Row],[Price]]/AA38-1</f>
        <v>7.9609233731770868E-2</v>
      </c>
      <c r="AE37" s="47">
        <v>45362</v>
      </c>
      <c r="AF37">
        <v>147.19999999999999</v>
      </c>
      <c r="AG37" s="119">
        <f>Table10[[#This Row],[Price]]/AF38-1</f>
        <v>0.1191363187105603</v>
      </c>
    </row>
    <row r="38" spans="1:33">
      <c r="A38" s="117">
        <v>45592</v>
      </c>
      <c r="B38">
        <v>98.87</v>
      </c>
      <c r="C38" s="119">
        <f t="shared" si="0"/>
        <v>1.6031240365841137E-2</v>
      </c>
      <c r="F38" s="47">
        <v>45592</v>
      </c>
      <c r="G38" s="16">
        <v>5728.8</v>
      </c>
      <c r="H38" s="119">
        <f>Table2[[#This Row],[Price]]/G39-1</f>
        <v>-1.3656742629284513E-2</v>
      </c>
      <c r="J38" s="46"/>
      <c r="K38" s="117" t="s">
        <v>263</v>
      </c>
      <c r="L38">
        <v>58.59</v>
      </c>
      <c r="M38" s="119">
        <f>Table5[[#This Row],[Price]]/L39-1</f>
        <v>-1.4300134589501967E-2</v>
      </c>
      <c r="N38" s="16"/>
      <c r="P38" s="46" t="s">
        <v>263</v>
      </c>
      <c r="Q38">
        <v>132.34</v>
      </c>
      <c r="R38" s="119">
        <f>Table6[[#This Row],[Price]]/Q39-1</f>
        <v>-5.2615754660251257E-3</v>
      </c>
      <c r="U38" s="46" t="s">
        <v>263</v>
      </c>
      <c r="V38">
        <v>159.65</v>
      </c>
      <c r="W38" s="119">
        <f>Table8[[#This Row],[Price]]/V39-1</f>
        <v>-1.6883441720859649E-3</v>
      </c>
      <c r="Z38" s="46" t="s">
        <v>263</v>
      </c>
      <c r="AA38">
        <v>425.83</v>
      </c>
      <c r="AB38" s="119">
        <f>Table9[[#This Row],[Price]]/AA39-1</f>
        <v>2.9047147241487492E-2</v>
      </c>
      <c r="AE38" s="46" t="s">
        <v>263</v>
      </c>
      <c r="AF38">
        <v>131.53</v>
      </c>
      <c r="AG38" s="119">
        <f>Table10[[#This Row],[Price]]/AF39-1</f>
        <v>-3.3507237857300365E-2</v>
      </c>
    </row>
    <row r="39" spans="1:33">
      <c r="A39" s="117">
        <v>45585</v>
      </c>
      <c r="B39">
        <v>97.31</v>
      </c>
      <c r="C39" s="119">
        <f t="shared" si="0"/>
        <v>4.8533663775298663E-3</v>
      </c>
      <c r="F39" s="47">
        <v>45585</v>
      </c>
      <c r="G39" s="16">
        <v>5808.12</v>
      </c>
      <c r="H39" s="119">
        <f>Table2[[#This Row],[Price]]/G40-1</f>
        <v>-9.6424862780003506E-3</v>
      </c>
      <c r="J39" s="47"/>
      <c r="K39" s="117" t="s">
        <v>264</v>
      </c>
      <c r="L39">
        <v>59.44</v>
      </c>
      <c r="M39" s="119">
        <f>Table5[[#This Row],[Price]]/L40-1</f>
        <v>8.4189257450750787E-4</v>
      </c>
      <c r="N39" s="16"/>
      <c r="P39" s="46" t="s">
        <v>264</v>
      </c>
      <c r="Q39">
        <v>133.04</v>
      </c>
      <c r="R39" s="119">
        <f>Table6[[#This Row],[Price]]/Q40-1</f>
        <v>-9.160646458628241E-3</v>
      </c>
      <c r="U39" s="46" t="s">
        <v>264</v>
      </c>
      <c r="V39">
        <v>159.91999999999999</v>
      </c>
      <c r="W39" s="119">
        <f>Table8[[#This Row],[Price]]/V40-1</f>
        <v>-2.8373534236587949E-2</v>
      </c>
      <c r="Z39" s="46" t="s">
        <v>264</v>
      </c>
      <c r="AA39">
        <v>413.81</v>
      </c>
      <c r="AB39" s="119">
        <f>Table9[[#This Row],[Price]]/AA40-1</f>
        <v>-3.5070537483968822E-2</v>
      </c>
      <c r="AE39" s="46" t="s">
        <v>264</v>
      </c>
      <c r="AF39">
        <v>136.09</v>
      </c>
      <c r="AG39" s="119">
        <f>Table10[[#This Row],[Price]]/AF40-1</f>
        <v>5.5415989360130258E-3</v>
      </c>
    </row>
    <row r="40" spans="1:33">
      <c r="A40" s="117">
        <v>45578</v>
      </c>
      <c r="B40">
        <v>96.84</v>
      </c>
      <c r="C40" s="119">
        <f t="shared" si="0"/>
        <v>1.3500784929356469E-2</v>
      </c>
      <c r="F40" s="47">
        <v>45578</v>
      </c>
      <c r="G40" s="16">
        <v>5864.67</v>
      </c>
      <c r="H40" s="119">
        <f>Table2[[#This Row],[Price]]/G41-1</f>
        <v>8.5364993817744761E-3</v>
      </c>
      <c r="J40" s="47"/>
      <c r="K40" s="117" t="s">
        <v>265</v>
      </c>
      <c r="L40">
        <v>59.39</v>
      </c>
      <c r="M40" s="119">
        <f>Table5[[#This Row],[Price]]/L41-1</f>
        <v>1.261722080136396E-2</v>
      </c>
      <c r="N40" s="16"/>
      <c r="P40" s="46" t="s">
        <v>265</v>
      </c>
      <c r="Q40">
        <v>134.27000000000001</v>
      </c>
      <c r="R40" s="119">
        <f>Table6[[#This Row],[Price]]/Q41-1</f>
        <v>1.8653932248917648E-3</v>
      </c>
      <c r="U40" s="46" t="s">
        <v>265</v>
      </c>
      <c r="V40">
        <v>164.59</v>
      </c>
      <c r="W40" s="119">
        <f>Table8[[#This Row],[Price]]/V41-1</f>
        <v>5.0216947422154101E-2</v>
      </c>
      <c r="Z40" s="46" t="s">
        <v>265</v>
      </c>
      <c r="AA40">
        <v>428.85</v>
      </c>
      <c r="AB40" s="119">
        <f>Table9[[#This Row],[Price]]/AA41-1</f>
        <v>-1.9084413619754326E-3</v>
      </c>
      <c r="AE40" s="46" t="s">
        <v>265</v>
      </c>
      <c r="AF40">
        <v>135.34</v>
      </c>
      <c r="AG40" s="119">
        <f>Table10[[#This Row],[Price]]/AF41-1</f>
        <v>1.2644968200523632E-2</v>
      </c>
    </row>
    <row r="41" spans="1:33">
      <c r="A41" s="117">
        <v>45453</v>
      </c>
      <c r="B41">
        <v>95.55</v>
      </c>
      <c r="C41" s="119">
        <f t="shared" si="0"/>
        <v>-1.066473389935807E-2</v>
      </c>
      <c r="F41" s="47">
        <v>45453</v>
      </c>
      <c r="G41" s="16">
        <v>5815.03</v>
      </c>
      <c r="H41" s="119">
        <f>Table2[[#This Row],[Price]]/G42-1</f>
        <v>1.1121408711770142E-2</v>
      </c>
      <c r="J41" s="46"/>
      <c r="K41" s="117">
        <v>45453</v>
      </c>
      <c r="L41">
        <v>58.65</v>
      </c>
      <c r="M41" s="119">
        <f>Table5[[#This Row],[Price]]/L42-1</f>
        <v>2.6965505165470027E-2</v>
      </c>
      <c r="N41" s="16"/>
      <c r="P41" s="47">
        <v>45453</v>
      </c>
      <c r="Q41">
        <v>134.02000000000001</v>
      </c>
      <c r="R41" s="119">
        <f>Table6[[#This Row],[Price]]/Q42-1</f>
        <v>-1.8671743428278376E-2</v>
      </c>
      <c r="U41" s="47">
        <v>45453</v>
      </c>
      <c r="V41">
        <v>156.72</v>
      </c>
      <c r="W41" s="119">
        <f>Table8[[#This Row],[Price]]/V42-1</f>
        <v>-4.9259888376607663E-2</v>
      </c>
      <c r="Z41" s="47">
        <v>45453</v>
      </c>
      <c r="AA41">
        <v>429.67</v>
      </c>
      <c r="AB41" s="119">
        <f>Table9[[#This Row],[Price]]/AA42-1</f>
        <v>1.0251346076979084E-2</v>
      </c>
      <c r="AE41" s="47">
        <v>45453</v>
      </c>
      <c r="AF41">
        <v>133.65</v>
      </c>
      <c r="AG41" s="119">
        <f>Table10[[#This Row],[Price]]/AF42-1</f>
        <v>5.5687203791469297E-2</v>
      </c>
    </row>
    <row r="42" spans="1:33">
      <c r="A42" s="117">
        <v>45564</v>
      </c>
      <c r="B42">
        <v>96.58</v>
      </c>
      <c r="C42" s="119">
        <f t="shared" si="0"/>
        <v>-8.0115036976170506E-3</v>
      </c>
      <c r="F42" s="47">
        <v>45564</v>
      </c>
      <c r="G42" s="16">
        <v>5751.07</v>
      </c>
      <c r="H42" s="119">
        <f>Table2[[#This Row],[Price]]/G43-1</f>
        <v>2.2481034894399343E-3</v>
      </c>
      <c r="J42" s="46"/>
      <c r="K42" s="117" t="s">
        <v>266</v>
      </c>
      <c r="L42">
        <v>57.11</v>
      </c>
      <c r="M42" s="119">
        <f>Table5[[#This Row],[Price]]/L43-1</f>
        <v>-4.0111614928497463E-3</v>
      </c>
      <c r="N42" s="16"/>
      <c r="P42" s="46" t="s">
        <v>266</v>
      </c>
      <c r="Q42">
        <v>136.57</v>
      </c>
      <c r="R42" s="119">
        <f>Table6[[#This Row],[Price]]/Q43-1</f>
        <v>-2.3942252715837609E-2</v>
      </c>
      <c r="U42" s="46" t="s">
        <v>266</v>
      </c>
      <c r="V42">
        <v>164.84</v>
      </c>
      <c r="W42" s="119">
        <f>Table8[[#This Row],[Price]]/V43-1</f>
        <v>-1.1217083558274887E-2</v>
      </c>
      <c r="Z42" s="46" t="s">
        <v>266</v>
      </c>
      <c r="AA42">
        <v>425.31</v>
      </c>
      <c r="AB42" s="119">
        <f>Table9[[#This Row],[Price]]/AA43-1</f>
        <v>-8.6707223271099698E-3</v>
      </c>
      <c r="AE42" s="46" t="s">
        <v>266</v>
      </c>
      <c r="AF42">
        <v>126.6</v>
      </c>
      <c r="AG42" s="119">
        <f>Table10[[#This Row],[Price]]/AF43-1</f>
        <v>2.2947640594699337E-2</v>
      </c>
    </row>
    <row r="43" spans="1:33">
      <c r="A43" s="117">
        <v>45557</v>
      </c>
      <c r="B43">
        <v>97.36</v>
      </c>
      <c r="C43" s="119">
        <f t="shared" si="0"/>
        <v>1.3638729828214569E-2</v>
      </c>
      <c r="F43" s="47">
        <v>45557</v>
      </c>
      <c r="G43" s="16">
        <v>5738.17</v>
      </c>
      <c r="H43" s="119">
        <f>Table2[[#This Row],[Price]]/G44-1</f>
        <v>6.2463283969451666E-3</v>
      </c>
      <c r="J43" s="47"/>
      <c r="K43" s="117" t="s">
        <v>267</v>
      </c>
      <c r="L43">
        <v>57.34</v>
      </c>
      <c r="M43" s="119">
        <f>Table5[[#This Row],[Price]]/L44-1</f>
        <v>1.9220688450114487E-3</v>
      </c>
      <c r="N43" s="16"/>
      <c r="P43" s="46" t="s">
        <v>267</v>
      </c>
      <c r="Q43">
        <v>139.91999999999999</v>
      </c>
      <c r="R43" s="119">
        <f>Table6[[#This Row],[Price]]/Q44-1</f>
        <v>7.8714054429110947E-2</v>
      </c>
      <c r="U43" s="46" t="s">
        <v>267</v>
      </c>
      <c r="V43">
        <v>166.71</v>
      </c>
      <c r="W43" s="119">
        <f>Table8[[#This Row],[Price]]/V44-1</f>
        <v>-2.0332608567902533E-2</v>
      </c>
      <c r="Z43" s="46" t="s">
        <v>267</v>
      </c>
      <c r="AA43">
        <v>429.03</v>
      </c>
      <c r="AB43" s="119">
        <f>Table9[[#This Row],[Price]]/AA44-1</f>
        <v>3.5254090053568721E-2</v>
      </c>
      <c r="AE43" s="46" t="s">
        <v>267</v>
      </c>
      <c r="AF43">
        <v>123.76</v>
      </c>
      <c r="AG43" s="119">
        <f>Table10[[#This Row],[Price]]/AF44-1</f>
        <v>-3.9055827315785274E-2</v>
      </c>
    </row>
    <row r="44" spans="1:33">
      <c r="A44" s="117">
        <v>45550</v>
      </c>
      <c r="B44">
        <v>96.05</v>
      </c>
      <c r="C44" s="119">
        <f t="shared" si="0"/>
        <v>-2.5565587907071086E-2</v>
      </c>
      <c r="F44" s="47">
        <v>45550</v>
      </c>
      <c r="G44" s="16">
        <v>5702.55</v>
      </c>
      <c r="H44" s="119">
        <f>Table2[[#This Row],[Price]]/G45-1</f>
        <v>1.3602866680175296E-2</v>
      </c>
      <c r="J44" s="47"/>
      <c r="K44" s="117" t="s">
        <v>268</v>
      </c>
      <c r="L44">
        <v>57.23</v>
      </c>
      <c r="M44" s="119">
        <f>Table5[[#This Row],[Price]]/L45-1</f>
        <v>1.9779044903777576E-2</v>
      </c>
      <c r="N44" s="16"/>
      <c r="P44" s="46" t="s">
        <v>268</v>
      </c>
      <c r="Q44">
        <v>129.71</v>
      </c>
      <c r="R44" s="119">
        <f>Table6[[#This Row],[Price]]/Q45-1</f>
        <v>-2.9479985035540612E-2</v>
      </c>
      <c r="U44" s="46" t="s">
        <v>268</v>
      </c>
      <c r="V44">
        <v>170.17</v>
      </c>
      <c r="W44" s="119">
        <f>Table8[[#This Row],[Price]]/V45-1</f>
        <v>6.1903276131045182E-2</v>
      </c>
      <c r="Z44" s="46" t="s">
        <v>268</v>
      </c>
      <c r="AA44">
        <v>414.42</v>
      </c>
      <c r="AB44" s="119">
        <f>Table9[[#This Row],[Price]]/AA45-1</f>
        <v>2.9563748385173394E-2</v>
      </c>
      <c r="AE44" s="46" t="s">
        <v>268</v>
      </c>
      <c r="AF44">
        <v>128.79</v>
      </c>
      <c r="AG44" s="119">
        <f>Table10[[#This Row],[Price]]/AF45-1</f>
        <v>5.126112154109852E-2</v>
      </c>
    </row>
    <row r="45" spans="1:33">
      <c r="A45" s="117">
        <v>45513</v>
      </c>
      <c r="B45">
        <v>98.57</v>
      </c>
      <c r="C45" s="119">
        <f t="shared" si="0"/>
        <v>8.1404278661546758E-2</v>
      </c>
      <c r="F45" s="47">
        <v>45513</v>
      </c>
      <c r="G45" s="16">
        <v>5626.02</v>
      </c>
      <c r="H45" s="119">
        <f>Table2[[#This Row],[Price]]/G46-1</f>
        <v>4.0233561742616164E-2</v>
      </c>
      <c r="J45" s="46"/>
      <c r="K45" s="117">
        <v>45513</v>
      </c>
      <c r="L45">
        <v>56.12</v>
      </c>
      <c r="M45" s="119">
        <f>Table5[[#This Row],[Price]]/L46-1</f>
        <v>4.5454545454545414E-2</v>
      </c>
      <c r="N45" s="16"/>
      <c r="P45" s="47">
        <v>45513</v>
      </c>
      <c r="Q45">
        <v>133.65</v>
      </c>
      <c r="R45" s="119">
        <f>Table6[[#This Row],[Price]]/Q46-1</f>
        <v>-1.6433853738702098E-3</v>
      </c>
      <c r="U45" s="47">
        <v>45513</v>
      </c>
      <c r="V45">
        <v>160.25</v>
      </c>
      <c r="W45" s="119">
        <f>Table8[[#This Row],[Price]]/V46-1</f>
        <v>1.7912723115035112E-2</v>
      </c>
      <c r="Z45" s="47">
        <v>45513</v>
      </c>
      <c r="AA45">
        <v>402.52</v>
      </c>
      <c r="AB45" s="119">
        <f>Table9[[#This Row],[Price]]/AA46-1</f>
        <v>-1.461480085191813E-2</v>
      </c>
      <c r="AE45" s="47">
        <v>45513</v>
      </c>
      <c r="AF45">
        <v>122.51</v>
      </c>
      <c r="AG45" s="119">
        <f>Table10[[#This Row],[Price]]/AF46-1</f>
        <v>5.4938431068630056E-2</v>
      </c>
    </row>
    <row r="46" spans="1:33">
      <c r="A46" s="117">
        <v>45300</v>
      </c>
      <c r="B46">
        <v>91.15</v>
      </c>
      <c r="C46" s="119">
        <f t="shared" si="0"/>
        <v>-3.6163688273236572E-2</v>
      </c>
      <c r="F46" s="47">
        <v>45300</v>
      </c>
      <c r="G46" s="16">
        <v>5408.42</v>
      </c>
      <c r="H46" s="119">
        <f>Table2[[#This Row],[Price]]/G47-1</f>
        <v>-4.2486367820975812E-2</v>
      </c>
      <c r="J46" s="46"/>
      <c r="K46" s="117">
        <v>45300</v>
      </c>
      <c r="L46">
        <v>53.68</v>
      </c>
      <c r="M46" s="119">
        <f>Table5[[#This Row],[Price]]/L47-1</f>
        <v>-4.2796005706134066E-2</v>
      </c>
      <c r="N46" s="16"/>
      <c r="P46" s="47">
        <v>45300</v>
      </c>
      <c r="Q46">
        <v>133.87</v>
      </c>
      <c r="R46" s="119">
        <f>Table6[[#This Row],[Price]]/Q47-1</f>
        <v>-7.7823895641860874E-3</v>
      </c>
      <c r="U46" s="47">
        <v>45300</v>
      </c>
      <c r="V46">
        <v>157.43</v>
      </c>
      <c r="W46" s="119">
        <f>Table8[[#This Row],[Price]]/V47-1</f>
        <v>-4.5526398988302574E-3</v>
      </c>
      <c r="Z46" s="47">
        <v>45300</v>
      </c>
      <c r="AA46">
        <v>408.49</v>
      </c>
      <c r="AB46" s="119">
        <f>Table9[[#This Row],[Price]]/AA47-1</f>
        <v>-1.3809420342338341E-2</v>
      </c>
      <c r="AE46" s="47">
        <v>45300</v>
      </c>
      <c r="AF46">
        <v>116.13</v>
      </c>
      <c r="AG46" s="119">
        <f>Table10[[#This Row],[Price]]/AF47-1</f>
        <v>1.8326902841108383E-2</v>
      </c>
    </row>
    <row r="47" spans="1:33">
      <c r="A47" s="117">
        <v>45529</v>
      </c>
      <c r="B47">
        <v>94.57</v>
      </c>
      <c r="C47" s="119">
        <f t="shared" si="0"/>
        <v>5.8498191874070127E-3</v>
      </c>
      <c r="F47" s="47">
        <v>45529</v>
      </c>
      <c r="G47" s="16">
        <v>5648.4</v>
      </c>
      <c r="H47" s="119">
        <f>Table2[[#This Row],[Price]]/G48-1</f>
        <v>2.4473743524395797E-3</v>
      </c>
      <c r="J47" s="46"/>
      <c r="K47" s="117" t="s">
        <v>269</v>
      </c>
      <c r="L47">
        <v>56.08</v>
      </c>
      <c r="M47" s="119">
        <f>Table5[[#This Row],[Price]]/L48-1</f>
        <v>4.412586110593919E-2</v>
      </c>
      <c r="N47" s="16"/>
      <c r="P47" s="46" t="s">
        <v>269</v>
      </c>
      <c r="Q47">
        <v>134.91999999999999</v>
      </c>
      <c r="R47" s="119">
        <f>Table6[[#This Row],[Price]]/Q48-1</f>
        <v>-4.4273907910272747E-3</v>
      </c>
      <c r="U47" s="46" t="s">
        <v>269</v>
      </c>
      <c r="V47">
        <v>158.15</v>
      </c>
      <c r="W47" s="119">
        <f>Table8[[#This Row],[Price]]/V48-1</f>
        <v>2.6481469461932861E-2</v>
      </c>
      <c r="Z47" s="46" t="s">
        <v>269</v>
      </c>
      <c r="AA47">
        <v>414.21</v>
      </c>
      <c r="AB47" s="119">
        <f>Table9[[#This Row],[Price]]/AA48-1</f>
        <v>-2.6029909706546284E-2</v>
      </c>
      <c r="AE47" s="46" t="s">
        <v>269</v>
      </c>
      <c r="AF47">
        <v>114.04</v>
      </c>
      <c r="AG47" s="119">
        <f>Table10[[#This Row],[Price]]/AF48-1</f>
        <v>-6.5245901639344184E-2</v>
      </c>
    </row>
    <row r="48" spans="1:33">
      <c r="A48" s="117">
        <v>45522</v>
      </c>
      <c r="B48">
        <v>94.02</v>
      </c>
      <c r="C48" s="119">
        <f t="shared" si="0"/>
        <v>-8.3324543824492281E-3</v>
      </c>
      <c r="F48" s="47">
        <v>45522</v>
      </c>
      <c r="G48" s="16">
        <v>5634.61</v>
      </c>
      <c r="H48" s="119">
        <f>Table2[[#This Row],[Price]]/G49-1</f>
        <v>1.4468200027006217E-2</v>
      </c>
      <c r="J48" s="47"/>
      <c r="K48" s="117" t="s">
        <v>270</v>
      </c>
      <c r="L48">
        <v>53.71</v>
      </c>
      <c r="M48" s="119">
        <f>Table5[[#This Row],[Price]]/L49-1</f>
        <v>2.3632551934438695E-2</v>
      </c>
      <c r="N48" s="16"/>
      <c r="P48" s="46" t="s">
        <v>270</v>
      </c>
      <c r="Q48">
        <v>135.52000000000001</v>
      </c>
      <c r="R48" s="119">
        <f>Table6[[#This Row],[Price]]/Q49-1</f>
        <v>-1.3682678311499274E-2</v>
      </c>
      <c r="U48" s="46" t="s">
        <v>270</v>
      </c>
      <c r="V48">
        <v>154.07</v>
      </c>
      <c r="W48" s="119">
        <f>Table8[[#This Row],[Price]]/V49-1</f>
        <v>7.4707031249999778E-2</v>
      </c>
      <c r="Z48" s="46" t="s">
        <v>270</v>
      </c>
      <c r="AA48">
        <v>425.28</v>
      </c>
      <c r="AB48" s="119">
        <f>Table9[[#This Row],[Price]]/AA49-1</f>
        <v>-3.9804926508771654E-2</v>
      </c>
      <c r="AE48" s="46" t="s">
        <v>270</v>
      </c>
      <c r="AF48">
        <v>122</v>
      </c>
      <c r="AG48" s="119">
        <f>Table10[[#This Row],[Price]]/AF49-1</f>
        <v>0.23282134195634607</v>
      </c>
    </row>
    <row r="49" spans="1:33">
      <c r="A49" s="117">
        <v>45604</v>
      </c>
      <c r="B49">
        <v>94.81</v>
      </c>
      <c r="C49" s="119">
        <f t="shared" si="0"/>
        <v>0.26261819150352905</v>
      </c>
      <c r="F49" s="47">
        <v>45604</v>
      </c>
      <c r="G49" s="16">
        <v>5554.25</v>
      </c>
      <c r="H49" s="119">
        <f>Table2[[#This Row],[Price]]/G50-1</f>
        <v>3.9312071494865375E-2</v>
      </c>
      <c r="J49" s="46"/>
      <c r="K49" s="117">
        <v>45604</v>
      </c>
      <c r="L49">
        <v>52.47</v>
      </c>
      <c r="M49" s="119">
        <f>Table5[[#This Row],[Price]]/L50-1</f>
        <v>-5.5445544554455384E-2</v>
      </c>
      <c r="N49" s="16"/>
      <c r="P49" s="47">
        <v>45604</v>
      </c>
      <c r="Q49">
        <v>137.4</v>
      </c>
      <c r="R49" s="119">
        <f>Table6[[#This Row],[Price]]/Q50-1</f>
        <v>4.4593903063090412E-3</v>
      </c>
      <c r="U49" s="47">
        <v>45604</v>
      </c>
      <c r="V49">
        <v>143.36000000000001</v>
      </c>
      <c r="W49" s="119">
        <f>Table8[[#This Row],[Price]]/V50-1</f>
        <v>1.8169112508736873E-3</v>
      </c>
      <c r="Z49" s="47">
        <v>45604</v>
      </c>
      <c r="AA49">
        <v>442.91</v>
      </c>
      <c r="AB49" s="119">
        <f>Table9[[#This Row],[Price]]/AA50-1</f>
        <v>1.0287408759124261E-2</v>
      </c>
      <c r="AE49" s="47">
        <v>45604</v>
      </c>
      <c r="AF49">
        <v>98.96</v>
      </c>
      <c r="AG49" s="119">
        <f>Table10[[#This Row],[Price]]/AF50-1</f>
        <v>9.6023922915051463E-2</v>
      </c>
    </row>
    <row r="50" spans="1:33">
      <c r="A50" s="117">
        <v>45390</v>
      </c>
      <c r="B50">
        <v>75.09</v>
      </c>
      <c r="C50" s="119">
        <f t="shared" si="0"/>
        <v>-1.0411175540326778E-2</v>
      </c>
      <c r="F50" s="47">
        <v>45390</v>
      </c>
      <c r="G50" s="16">
        <v>5344.16</v>
      </c>
      <c r="H50" s="119">
        <f>Table2[[#This Row],[Price]]/G51-1</f>
        <v>-4.4888676083321144E-4</v>
      </c>
      <c r="J50" s="46"/>
      <c r="K50" s="117">
        <v>45390</v>
      </c>
      <c r="L50">
        <v>55.55</v>
      </c>
      <c r="M50" s="119">
        <f>Table5[[#This Row],[Price]]/L51-1</f>
        <v>5.6686322997907546E-2</v>
      </c>
      <c r="N50" s="16"/>
      <c r="P50" s="47">
        <v>45390</v>
      </c>
      <c r="Q50">
        <v>136.79</v>
      </c>
      <c r="R50" s="119">
        <f>Table6[[#This Row],[Price]]/Q51-1</f>
        <v>1.1910045864772734E-2</v>
      </c>
      <c r="U50" s="47">
        <v>45390</v>
      </c>
      <c r="V50">
        <v>143.1</v>
      </c>
      <c r="W50" s="119">
        <f>Table8[[#This Row],[Price]]/V51-1</f>
        <v>-6.4569881274735286E-3</v>
      </c>
      <c r="Z50" s="47">
        <v>45390</v>
      </c>
      <c r="AA50">
        <v>438.4</v>
      </c>
      <c r="AB50" s="119">
        <f>Table9[[#This Row],[Price]]/AA51-1</f>
        <v>2.1911421911421813E-2</v>
      </c>
      <c r="AE50" s="47">
        <v>45390</v>
      </c>
      <c r="AF50">
        <v>90.29</v>
      </c>
      <c r="AG50" s="119">
        <f>Table10[[#This Row],[Price]]/AF51-1</f>
        <v>0.11139832594780907</v>
      </c>
    </row>
    <row r="51" spans="1:33">
      <c r="A51" s="117">
        <v>45501</v>
      </c>
      <c r="B51">
        <v>75.88</v>
      </c>
      <c r="C51" s="119">
        <f t="shared" si="0"/>
        <v>2.4713031735313917E-2</v>
      </c>
      <c r="F51" s="47">
        <v>45501</v>
      </c>
      <c r="G51" s="16">
        <v>5346.56</v>
      </c>
      <c r="H51" s="119">
        <f>Table2[[#This Row],[Price]]/G52-1</f>
        <v>-2.0615119708376817E-2</v>
      </c>
      <c r="J51" s="46"/>
      <c r="K51" s="117" t="s">
        <v>271</v>
      </c>
      <c r="L51">
        <v>52.57</v>
      </c>
      <c r="M51" s="119">
        <f>Table5[[#This Row],[Price]]/L52-1</f>
        <v>5.4986955649207303E-2</v>
      </c>
      <c r="N51" s="16"/>
      <c r="P51" s="46" t="s">
        <v>271</v>
      </c>
      <c r="Q51">
        <v>135.18</v>
      </c>
      <c r="R51" s="119">
        <f>Table6[[#This Row],[Price]]/Q52-1</f>
        <v>5.5681374463100397E-2</v>
      </c>
      <c r="U51" s="46" t="s">
        <v>271</v>
      </c>
      <c r="V51">
        <v>144.03</v>
      </c>
      <c r="W51" s="119">
        <f>Table8[[#This Row],[Price]]/V52-1</f>
        <v>1.237084416953671E-2</v>
      </c>
      <c r="Z51" s="46" t="s">
        <v>271</v>
      </c>
      <c r="AA51">
        <v>429</v>
      </c>
      <c r="AB51" s="119">
        <f>Table9[[#This Row],[Price]]/AA52-1</f>
        <v>2.7667984189723382E-2</v>
      </c>
      <c r="AE51" s="46" t="s">
        <v>271</v>
      </c>
      <c r="AF51">
        <v>81.239999999999995</v>
      </c>
      <c r="AG51" s="119">
        <f>Table10[[#This Row],[Price]]/AF52-1</f>
        <v>1.7535070140280551E-2</v>
      </c>
    </row>
    <row r="52" spans="1:33">
      <c r="A52" s="117">
        <v>45494</v>
      </c>
      <c r="B52">
        <v>74.05</v>
      </c>
      <c r="C52" s="119">
        <f t="shared" si="0"/>
        <v>-6.5850889365459797E-2</v>
      </c>
      <c r="F52" s="47">
        <v>45494</v>
      </c>
      <c r="G52" s="16">
        <v>5459.1</v>
      </c>
      <c r="H52" s="119">
        <f>Table2[[#This Row],[Price]]/G53-1</f>
        <v>-8.3378746594005015E-3</v>
      </c>
      <c r="J52" s="47"/>
      <c r="K52" s="117" t="s">
        <v>272</v>
      </c>
      <c r="L52">
        <v>49.83</v>
      </c>
      <c r="M52" s="119">
        <f>Table5[[#This Row],[Price]]/L53-1</f>
        <v>-6.9293985805005676E-2</v>
      </c>
      <c r="N52" s="16"/>
      <c r="P52" s="46" t="s">
        <v>272</v>
      </c>
      <c r="Q52">
        <v>128.05000000000001</v>
      </c>
      <c r="R52" s="119">
        <f>Table6[[#This Row],[Price]]/Q53-1</f>
        <v>8.8237611281809514E-3</v>
      </c>
      <c r="U52" s="46" t="s">
        <v>272</v>
      </c>
      <c r="V52">
        <v>142.27000000000001</v>
      </c>
      <c r="W52" s="119">
        <f>Table8[[#This Row],[Price]]/V53-1</f>
        <v>-4.1299174016520279E-3</v>
      </c>
      <c r="Z52" s="46" t="s">
        <v>272</v>
      </c>
      <c r="AA52">
        <v>417.45</v>
      </c>
      <c r="AB52" s="119">
        <f>Table9[[#This Row],[Price]]/AA53-1</f>
        <v>3.2857460969393903E-2</v>
      </c>
      <c r="AE52" s="46" t="s">
        <v>272</v>
      </c>
      <c r="AF52">
        <v>79.84</v>
      </c>
      <c r="AG52" s="119">
        <f>Table10[[#This Row],[Price]]/AF53-1</f>
        <v>-1.8752344043004854E-3</v>
      </c>
    </row>
    <row r="53" spans="1:33">
      <c r="A53" s="117">
        <v>45487</v>
      </c>
      <c r="B53">
        <v>79.27</v>
      </c>
      <c r="C53" s="119">
        <f t="shared" si="0"/>
        <v>5.9334491514098531E-2</v>
      </c>
      <c r="F53" s="47">
        <v>45487</v>
      </c>
      <c r="G53" s="16">
        <v>5505</v>
      </c>
      <c r="H53" s="119">
        <f>Table2[[#This Row],[Price]]/G54-1</f>
        <v>-1.965149100234187E-2</v>
      </c>
      <c r="J53" s="47"/>
      <c r="K53" s="117" t="s">
        <v>273</v>
      </c>
      <c r="L53">
        <v>53.54</v>
      </c>
      <c r="M53" s="119">
        <f>Table5[[#This Row],[Price]]/L54-1</f>
        <v>-7.1614357551586627E-2</v>
      </c>
      <c r="N53" s="16"/>
      <c r="P53" s="46" t="s">
        <v>273</v>
      </c>
      <c r="Q53">
        <v>126.93</v>
      </c>
      <c r="R53" s="119">
        <f>Table6[[#This Row],[Price]]/Q54-1</f>
        <v>-3.3356180031985372E-2</v>
      </c>
      <c r="U53" s="46" t="s">
        <v>273</v>
      </c>
      <c r="V53">
        <v>142.86000000000001</v>
      </c>
      <c r="W53" s="119">
        <f>Table8[[#This Row],[Price]]/V54-1</f>
        <v>4.1470443522879652E-3</v>
      </c>
      <c r="Z53" s="46" t="s">
        <v>273</v>
      </c>
      <c r="AA53">
        <v>404.17</v>
      </c>
      <c r="AB53" s="119">
        <f>Table9[[#This Row],[Price]]/AA54-1</f>
        <v>-0.17764710669813621</v>
      </c>
      <c r="AE53" s="46" t="s">
        <v>273</v>
      </c>
      <c r="AF53">
        <v>79.989999999999995</v>
      </c>
      <c r="AG53" s="119">
        <f>Table10[[#This Row],[Price]]/AF54-1</f>
        <v>-5.0563798219584677E-2</v>
      </c>
    </row>
    <row r="54" spans="1:33">
      <c r="A54" s="117">
        <v>45480</v>
      </c>
      <c r="B54">
        <v>74.83</v>
      </c>
      <c r="C54" s="119">
        <f t="shared" si="0"/>
        <v>-1.6042077580539105E-2</v>
      </c>
      <c r="F54" s="47">
        <v>45480</v>
      </c>
      <c r="G54" s="16">
        <v>5615.35</v>
      </c>
      <c r="H54" s="119">
        <f>Table2[[#This Row],[Price]]/G55-1</f>
        <v>8.6506837381157276E-3</v>
      </c>
      <c r="J54" s="46"/>
      <c r="K54" s="117">
        <v>45480</v>
      </c>
      <c r="L54">
        <v>57.67</v>
      </c>
      <c r="M54" s="119">
        <f>Table5[[#This Row],[Price]]/L55-1</f>
        <v>-8.0956175298804722E-2</v>
      </c>
      <c r="N54" s="16"/>
      <c r="P54" s="47">
        <v>45480</v>
      </c>
      <c r="Q54">
        <v>131.31</v>
      </c>
      <c r="R54" s="119">
        <f>Table6[[#This Row],[Price]]/Q55-1</f>
        <v>1.6960966542750811E-2</v>
      </c>
      <c r="U54" s="47">
        <v>45480</v>
      </c>
      <c r="V54">
        <v>142.27000000000001</v>
      </c>
      <c r="W54" s="119">
        <f>Table8[[#This Row],[Price]]/V55-1</f>
        <v>-2.0314006335215407E-2</v>
      </c>
      <c r="Z54" s="47">
        <v>45480</v>
      </c>
      <c r="AA54">
        <v>491.48</v>
      </c>
      <c r="AB54" s="119">
        <f>Table9[[#This Row],[Price]]/AA55-1</f>
        <v>-4.5571466185971854E-3</v>
      </c>
      <c r="AE54" s="47">
        <v>45480</v>
      </c>
      <c r="AF54">
        <v>84.25</v>
      </c>
      <c r="AG54" s="119">
        <f>Table10[[#This Row],[Price]]/AF55-1</f>
        <v>-0.1130645331087482</v>
      </c>
    </row>
    <row r="55" spans="1:33">
      <c r="A55" s="117">
        <v>45473</v>
      </c>
      <c r="B55">
        <v>76.05</v>
      </c>
      <c r="C55" s="119">
        <f t="shared" si="0"/>
        <v>-2.3121387283236983E-2</v>
      </c>
      <c r="F55" s="47">
        <v>45473</v>
      </c>
      <c r="G55" s="16">
        <v>5567.19</v>
      </c>
      <c r="H55" s="119">
        <f>Table2[[#This Row],[Price]]/G56-1</f>
        <v>1.9542238045006988E-2</v>
      </c>
      <c r="J55" s="46"/>
      <c r="K55" s="117" t="s">
        <v>274</v>
      </c>
      <c r="L55">
        <v>62.75</v>
      </c>
      <c r="M55" s="119">
        <f>Table5[[#This Row],[Price]]/L56-1</f>
        <v>1.5961691939345712E-3</v>
      </c>
      <c r="N55" s="16"/>
      <c r="P55" s="46" t="s">
        <v>274</v>
      </c>
      <c r="Q55">
        <v>129.12</v>
      </c>
      <c r="R55" s="119">
        <f>Table6[[#This Row],[Price]]/Q56-1</f>
        <v>-2.5215159293371592E-2</v>
      </c>
      <c r="U55" s="46" t="s">
        <v>274</v>
      </c>
      <c r="V55">
        <v>145.22</v>
      </c>
      <c r="W55" s="119">
        <f>Table8[[#This Row],[Price]]/V56-1</f>
        <v>-4.0311921755220692E-2</v>
      </c>
      <c r="Z55" s="46" t="s">
        <v>274</v>
      </c>
      <c r="AA55">
        <v>493.73</v>
      </c>
      <c r="AB55" s="119">
        <f>Table9[[#This Row],[Price]]/AA56-1</f>
        <v>-4.3770456878353015E-2</v>
      </c>
      <c r="AE55" s="46" t="s">
        <v>274</v>
      </c>
      <c r="AF55">
        <v>94.99</v>
      </c>
      <c r="AG55" s="119">
        <f>Table10[[#This Row],[Price]]/AF56-1</f>
        <v>2.4150943396226365E-2</v>
      </c>
    </row>
    <row r="56" spans="1:33">
      <c r="A56" s="117">
        <v>45466</v>
      </c>
      <c r="B56">
        <v>77.849999999999994</v>
      </c>
      <c r="C56" s="119">
        <f t="shared" si="0"/>
        <v>-2.5779001376548649E-2</v>
      </c>
      <c r="F56" s="47">
        <v>45466</v>
      </c>
      <c r="G56" s="16">
        <v>5460.48</v>
      </c>
      <c r="H56" s="119">
        <f>Table2[[#This Row],[Price]]/G57-1</f>
        <v>-7.5760071148589514E-4</v>
      </c>
      <c r="J56" s="47"/>
      <c r="K56" s="117" t="s">
        <v>275</v>
      </c>
      <c r="L56">
        <v>62.65</v>
      </c>
      <c r="M56" s="119">
        <f>Table5[[#This Row],[Price]]/L57-1</f>
        <v>-2.4295281108861477E-2</v>
      </c>
      <c r="N56" s="16"/>
      <c r="P56" s="46" t="s">
        <v>275</v>
      </c>
      <c r="Q56">
        <v>132.46</v>
      </c>
      <c r="R56" s="119">
        <f>Table6[[#This Row],[Price]]/Q57-1</f>
        <v>-1.3627224663042559E-2</v>
      </c>
      <c r="U56" s="46" t="s">
        <v>275</v>
      </c>
      <c r="V56">
        <v>151.32</v>
      </c>
      <c r="W56" s="119">
        <f>Table8[[#This Row],[Price]]/V57-1</f>
        <v>-1.2787056367432159E-2</v>
      </c>
      <c r="Z56" s="46" t="s">
        <v>275</v>
      </c>
      <c r="AA56">
        <v>516.33000000000004</v>
      </c>
      <c r="AB56" s="119">
        <f>Table9[[#This Row],[Price]]/AA57-1</f>
        <v>-1.0539830979437781E-2</v>
      </c>
      <c r="AE56" s="46" t="s">
        <v>275</v>
      </c>
      <c r="AF56">
        <v>92.75</v>
      </c>
      <c r="AG56" s="119">
        <f>Table10[[#This Row],[Price]]/AF57-1</f>
        <v>3.3535266118562834E-3</v>
      </c>
    </row>
    <row r="57" spans="1:33">
      <c r="A57" s="117">
        <v>45459</v>
      </c>
      <c r="B57">
        <v>79.91</v>
      </c>
      <c r="C57" s="119">
        <f t="shared" si="0"/>
        <v>3.264281230382915E-3</v>
      </c>
      <c r="F57" s="47">
        <v>45459</v>
      </c>
      <c r="G57" s="16">
        <v>5464.62</v>
      </c>
      <c r="H57" s="119">
        <f>Table2[[#This Row],[Price]]/G58-1</f>
        <v>6.079240002945685E-3</v>
      </c>
      <c r="J57" s="47"/>
      <c r="K57" s="117" t="s">
        <v>276</v>
      </c>
      <c r="L57">
        <v>64.209999999999994</v>
      </c>
      <c r="M57" s="119">
        <f>Table5[[#This Row],[Price]]/L58-1</f>
        <v>-1.8645881094299432E-2</v>
      </c>
      <c r="N57" s="16"/>
      <c r="P57" s="46" t="s">
        <v>276</v>
      </c>
      <c r="Q57">
        <v>134.29</v>
      </c>
      <c r="R57" s="119">
        <f>Table6[[#This Row],[Price]]/Q58-1</f>
        <v>-1.827618977995471E-2</v>
      </c>
      <c r="U57" s="46" t="s">
        <v>276</v>
      </c>
      <c r="V57">
        <v>153.28</v>
      </c>
      <c r="W57" s="119">
        <f>Table8[[#This Row],[Price]]/V58-1</f>
        <v>3.0246000806559925E-2</v>
      </c>
      <c r="Z57" s="46" t="s">
        <v>276</v>
      </c>
      <c r="AA57">
        <v>521.83000000000004</v>
      </c>
      <c r="AB57" s="119">
        <f>Table9[[#This Row],[Price]]/AA58-1</f>
        <v>8.0550814138602433E-4</v>
      </c>
      <c r="AE57" s="46" t="s">
        <v>276</v>
      </c>
      <c r="AF57">
        <v>92.44</v>
      </c>
      <c r="AG57" s="119">
        <f>Table10[[#This Row],[Price]]/AF58-1</f>
        <v>2.7910597131101778E-2</v>
      </c>
    </row>
    <row r="58" spans="1:33">
      <c r="A58" s="117">
        <v>45541</v>
      </c>
      <c r="B58">
        <v>79.650000000000006</v>
      </c>
      <c r="C58" s="119">
        <f t="shared" si="0"/>
        <v>-2.1859265626918867E-2</v>
      </c>
      <c r="F58" s="47">
        <v>45541</v>
      </c>
      <c r="G58" s="16">
        <v>5431.6</v>
      </c>
      <c r="H58" s="119">
        <f>Table2[[#This Row],[Price]]/G59-1</f>
        <v>1.5823856038631234E-2</v>
      </c>
      <c r="J58" s="46"/>
      <c r="K58" s="117">
        <v>45541</v>
      </c>
      <c r="L58">
        <v>65.430000000000007</v>
      </c>
      <c r="M58" s="119">
        <f>Table5[[#This Row],[Price]]/L59-1</f>
        <v>3.2344588198169877E-2</v>
      </c>
      <c r="N58" s="16"/>
      <c r="P58" s="47">
        <v>45541</v>
      </c>
      <c r="Q58">
        <v>136.79</v>
      </c>
      <c r="R58" s="119">
        <f>Table6[[#This Row],[Price]]/Q59-1</f>
        <v>-2.2719154104451023E-2</v>
      </c>
      <c r="U58" s="47">
        <v>45541</v>
      </c>
      <c r="V58">
        <v>148.78</v>
      </c>
      <c r="W58" s="119">
        <f>Table8[[#This Row],[Price]]/V59-1</f>
        <v>1.6157264036624763E-3</v>
      </c>
      <c r="Z58" s="47">
        <v>45541</v>
      </c>
      <c r="AA58">
        <v>521.41</v>
      </c>
      <c r="AB58" s="119">
        <f>Table9[[#This Row],[Price]]/AA59-1</f>
        <v>1.5305228312725072E-2</v>
      </c>
      <c r="AE58" s="47">
        <v>45541</v>
      </c>
      <c r="AF58">
        <v>89.93</v>
      </c>
      <c r="AG58" s="119">
        <f>Table10[[#This Row],[Price]]/AF59-1</f>
        <v>5.7502351834430865E-2</v>
      </c>
    </row>
    <row r="59" spans="1:33">
      <c r="A59" s="117">
        <v>45328</v>
      </c>
      <c r="B59">
        <v>81.430000000000007</v>
      </c>
      <c r="C59" s="119">
        <f t="shared" si="0"/>
        <v>1.5083520319122412E-2</v>
      </c>
      <c r="F59" s="47">
        <v>45328</v>
      </c>
      <c r="G59" s="16">
        <v>5346.99</v>
      </c>
      <c r="H59" s="119">
        <f>Table2[[#This Row],[Price]]/G60-1</f>
        <v>1.3165299544671605E-2</v>
      </c>
      <c r="J59" s="46"/>
      <c r="K59" s="117">
        <v>45328</v>
      </c>
      <c r="L59">
        <v>63.38</v>
      </c>
      <c r="M59" s="119">
        <f>Table5[[#This Row],[Price]]/L60-1</f>
        <v>1.2621824572615514E-2</v>
      </c>
      <c r="N59" s="16"/>
      <c r="P59" s="47">
        <v>45328</v>
      </c>
      <c r="Q59">
        <v>139.97</v>
      </c>
      <c r="R59" s="119">
        <f>Table6[[#This Row],[Price]]/Q60-1</f>
        <v>1.8482136360328916E-2</v>
      </c>
      <c r="U59" s="47">
        <v>45328</v>
      </c>
      <c r="V59">
        <v>148.54</v>
      </c>
      <c r="W59" s="119">
        <f>Table8[[#This Row],[Price]]/V60-1</f>
        <v>-1.2301349823791385E-2</v>
      </c>
      <c r="Z59" s="47">
        <v>45328</v>
      </c>
      <c r="AA59">
        <v>513.54999999999995</v>
      </c>
      <c r="AB59" s="119">
        <f>Table9[[#This Row],[Price]]/AA60-1</f>
        <v>9.772307208305353E-3</v>
      </c>
      <c r="AE59" s="47">
        <v>45328</v>
      </c>
      <c r="AF59">
        <v>85.04</v>
      </c>
      <c r="AG59" s="119">
        <f>Table10[[#This Row],[Price]]/AF60-1</f>
        <v>-8.1145326850351029E-2</v>
      </c>
    </row>
    <row r="60" spans="1:33">
      <c r="A60" s="117">
        <v>45438</v>
      </c>
      <c r="B60">
        <v>80.22</v>
      </c>
      <c r="C60" s="119">
        <f t="shared" si="0"/>
        <v>1.7116774438949989E-2</v>
      </c>
      <c r="F60" s="47">
        <v>45438</v>
      </c>
      <c r="G60" s="16">
        <v>5277.51</v>
      </c>
      <c r="H60" s="119">
        <f>Table2[[#This Row],[Price]]/G61-1</f>
        <v>-5.1293941998823422E-3</v>
      </c>
      <c r="J60" s="46"/>
      <c r="K60" s="117" t="s">
        <v>277</v>
      </c>
      <c r="L60">
        <v>62.59</v>
      </c>
      <c r="M60" s="119">
        <f>Table5[[#This Row],[Price]]/L61-1</f>
        <v>-6.9808027923210503E-3</v>
      </c>
      <c r="N60" s="16"/>
      <c r="P60" s="46" t="s">
        <v>277</v>
      </c>
      <c r="Q60">
        <v>137.43</v>
      </c>
      <c r="R60" s="119">
        <f>Table6[[#This Row],[Price]]/Q61-1</f>
        <v>-1.59825644751177E-3</v>
      </c>
      <c r="U60" s="46" t="s">
        <v>277</v>
      </c>
      <c r="V60">
        <v>150.38999999999999</v>
      </c>
      <c r="W60" s="119">
        <f>Table8[[#This Row],[Price]]/V61-1</f>
        <v>1.890243902439015E-2</v>
      </c>
      <c r="Z60" s="46" t="s">
        <v>277</v>
      </c>
      <c r="AA60">
        <v>508.58</v>
      </c>
      <c r="AB60" s="119">
        <f>Table9[[#This Row],[Price]]/AA61-1</f>
        <v>1.2784769794487838E-2</v>
      </c>
      <c r="AE60" s="46" t="s">
        <v>277</v>
      </c>
      <c r="AF60">
        <v>92.55</v>
      </c>
      <c r="AG60" s="119">
        <f>Table10[[#This Row],[Price]]/AF61-1</f>
        <v>0.1160014470034969</v>
      </c>
    </row>
    <row r="61" spans="1:33">
      <c r="A61" s="117">
        <v>45431</v>
      </c>
      <c r="B61">
        <v>78.87</v>
      </c>
      <c r="C61" s="119">
        <f t="shared" si="0"/>
        <v>1.3102119460500994E-2</v>
      </c>
      <c r="F61" s="47">
        <v>45431</v>
      </c>
      <c r="G61" s="16">
        <v>5304.72</v>
      </c>
      <c r="H61" s="119">
        <f>Table2[[#This Row],[Price]]/G62-1</f>
        <v>2.7341621301579799E-4</v>
      </c>
      <c r="J61" s="47"/>
      <c r="K61" s="117" t="s">
        <v>278</v>
      </c>
      <c r="L61">
        <v>63.03</v>
      </c>
      <c r="M61" s="119">
        <f>Table5[[#This Row],[Price]]/L62-1</f>
        <v>-1.9293605103469669E-2</v>
      </c>
      <c r="N61" s="16"/>
      <c r="P61" s="46" t="s">
        <v>278</v>
      </c>
      <c r="Q61">
        <v>137.65</v>
      </c>
      <c r="R61" s="119">
        <f>Table6[[#This Row],[Price]]/Q62-1</f>
        <v>-2.8307214457150898E-2</v>
      </c>
      <c r="U61" s="46" t="s">
        <v>278</v>
      </c>
      <c r="V61">
        <v>147.6</v>
      </c>
      <c r="W61" s="119">
        <f>Table8[[#This Row],[Price]]/V62-1</f>
        <v>-4.1558441558441572E-2</v>
      </c>
      <c r="Z61" s="46" t="s">
        <v>278</v>
      </c>
      <c r="AA61">
        <v>502.16</v>
      </c>
      <c r="AB61" s="119">
        <f>Table9[[#This Row],[Price]]/AA62-1</f>
        <v>-2.1187844765413244E-2</v>
      </c>
      <c r="AE61" s="46" t="s">
        <v>278</v>
      </c>
      <c r="AF61">
        <v>82.93</v>
      </c>
      <c r="AG61" s="119">
        <f>Table10[[#This Row],[Price]]/AF62-1</f>
        <v>7.3110766045548781E-2</v>
      </c>
    </row>
    <row r="62" spans="1:33">
      <c r="A62" s="117">
        <v>45631</v>
      </c>
      <c r="B62">
        <v>77.849999999999994</v>
      </c>
      <c r="C62" s="119">
        <f t="shared" si="0"/>
        <v>2.2861647615293634E-2</v>
      </c>
      <c r="F62" s="47">
        <v>45631</v>
      </c>
      <c r="G62" s="16">
        <v>5303.27</v>
      </c>
      <c r="H62" s="119">
        <f>Table2[[#This Row],[Price]]/G63-1</f>
        <v>1.5430775004403818E-2</v>
      </c>
      <c r="J62" s="46"/>
      <c r="K62" s="117">
        <v>45631</v>
      </c>
      <c r="L62">
        <v>64.27</v>
      </c>
      <c r="M62" s="119">
        <f>Table5[[#This Row],[Price]]/L63-1</f>
        <v>-7.8728002469898861E-3</v>
      </c>
      <c r="N62" s="16"/>
      <c r="P62" s="47">
        <v>45631</v>
      </c>
      <c r="Q62">
        <v>141.66</v>
      </c>
      <c r="R62" s="119">
        <f>Table6[[#This Row],[Price]]/Q63-1</f>
        <v>2.9356198227001862E-2</v>
      </c>
      <c r="U62" s="47">
        <v>45631</v>
      </c>
      <c r="V62">
        <v>154</v>
      </c>
      <c r="W62" s="119">
        <f>Table8[[#This Row],[Price]]/V63-1</f>
        <v>3.8785834738617186E-2</v>
      </c>
      <c r="Z62" s="47">
        <v>45631</v>
      </c>
      <c r="AA62">
        <v>513.03</v>
      </c>
      <c r="AB62" s="119">
        <f>Table9[[#This Row],[Price]]/AA63-1</f>
        <v>-1.0835823773257536E-2</v>
      </c>
      <c r="AE62" s="47">
        <v>45631</v>
      </c>
      <c r="AF62">
        <v>77.28</v>
      </c>
      <c r="AG62" s="119">
        <f>Table10[[#This Row],[Price]]/AF63-1</f>
        <v>-2.2638168711268447E-2</v>
      </c>
    </row>
    <row r="63" spans="1:33">
      <c r="A63" s="117">
        <v>45417</v>
      </c>
      <c r="B63">
        <v>76.11</v>
      </c>
      <c r="C63" s="119">
        <f t="shared" si="0"/>
        <v>4.1034058268362816E-2</v>
      </c>
      <c r="F63" s="47">
        <v>45417</v>
      </c>
      <c r="G63" s="16">
        <v>5222.68</v>
      </c>
      <c r="H63" s="119">
        <f>Table2[[#This Row],[Price]]/G64-1</f>
        <v>1.8505047983634393E-2</v>
      </c>
      <c r="J63" s="46"/>
      <c r="K63" s="117">
        <v>45417</v>
      </c>
      <c r="L63">
        <v>64.78</v>
      </c>
      <c r="M63" s="119">
        <f>Table5[[#This Row],[Price]]/L64-1</f>
        <v>2.6461733481223382E-2</v>
      </c>
      <c r="N63" s="16"/>
      <c r="P63" s="47">
        <v>45417</v>
      </c>
      <c r="Q63">
        <v>137.62</v>
      </c>
      <c r="R63" s="119">
        <f>Table6[[#This Row],[Price]]/Q64-1</f>
        <v>2.4415661753759199E-2</v>
      </c>
      <c r="U63" s="47">
        <v>45417</v>
      </c>
      <c r="V63">
        <v>148.25</v>
      </c>
      <c r="W63" s="119">
        <f>Table8[[#This Row],[Price]]/V64-1</f>
        <v>-6.7001675041875597E-3</v>
      </c>
      <c r="Z63" s="47">
        <v>45417</v>
      </c>
      <c r="AA63">
        <v>518.65</v>
      </c>
      <c r="AB63" s="119">
        <f>Table9[[#This Row],[Price]]/AA64-1</f>
        <v>8.3992767289482462E-3</v>
      </c>
      <c r="AE63" s="47">
        <v>45417</v>
      </c>
      <c r="AF63">
        <v>79.069999999999993</v>
      </c>
      <c r="AG63" s="119">
        <f>Table10[[#This Row],[Price]]/AF64-1</f>
        <v>9.5607593182762907E-2</v>
      </c>
    </row>
    <row r="64" spans="1:33">
      <c r="A64" s="117">
        <v>45410</v>
      </c>
      <c r="B64">
        <v>73.11</v>
      </c>
      <c r="C64" s="119">
        <f t="shared" si="0"/>
        <v>-0.17155807365439091</v>
      </c>
      <c r="F64" s="47">
        <v>45410</v>
      </c>
      <c r="G64" s="16">
        <v>5127.79</v>
      </c>
      <c r="H64" s="119">
        <f>Table2[[#This Row],[Price]]/G65-1</f>
        <v>5.4569055443571823E-3</v>
      </c>
      <c r="J64" s="46"/>
      <c r="K64" s="117" t="s">
        <v>279</v>
      </c>
      <c r="L64">
        <v>63.11</v>
      </c>
      <c r="M64" s="119">
        <f>Table5[[#This Row],[Price]]/L65-1</f>
        <v>-9.883903357389423E-3</v>
      </c>
      <c r="N64" s="16"/>
      <c r="P64" s="46" t="s">
        <v>279</v>
      </c>
      <c r="Q64">
        <v>134.34</v>
      </c>
      <c r="R64" s="119">
        <f>Table6[[#This Row],[Price]]/Q65-1</f>
        <v>-5.2408831205473683E-2</v>
      </c>
      <c r="U64" s="46" t="s">
        <v>279</v>
      </c>
      <c r="V64">
        <v>149.25</v>
      </c>
      <c r="W64" s="119">
        <f>Table8[[#This Row],[Price]]/V65-1</f>
        <v>-4.3882126841768065E-2</v>
      </c>
      <c r="Z64" s="46" t="s">
        <v>279</v>
      </c>
      <c r="AA64">
        <v>514.33000000000004</v>
      </c>
      <c r="AB64" s="119">
        <f>Table9[[#This Row],[Price]]/AA65-1</f>
        <v>3.0576872983749892E-2</v>
      </c>
      <c r="AE64" s="46" t="s">
        <v>279</v>
      </c>
      <c r="AF64">
        <v>72.17</v>
      </c>
      <c r="AG64" s="119">
        <f>Table10[[#This Row],[Price]]/AF65-1</f>
        <v>4.3522267206477894E-2</v>
      </c>
    </row>
    <row r="65" spans="1:33">
      <c r="A65" s="117">
        <v>45403</v>
      </c>
      <c r="B65">
        <v>88.25</v>
      </c>
      <c r="C65" s="119">
        <f t="shared" si="0"/>
        <v>7.3051021572880792E-3</v>
      </c>
      <c r="F65" s="47">
        <v>45403</v>
      </c>
      <c r="G65" s="16">
        <v>5099.96</v>
      </c>
      <c r="H65" s="119">
        <f>Table2[[#This Row],[Price]]/G66-1</f>
        <v>2.6721130287907124E-2</v>
      </c>
      <c r="J65" s="47"/>
      <c r="K65" s="117" t="s">
        <v>280</v>
      </c>
      <c r="L65">
        <v>63.74</v>
      </c>
      <c r="M65" s="119">
        <f>Table5[[#This Row],[Price]]/L66-1</f>
        <v>0.11084001394214016</v>
      </c>
      <c r="N65" s="16"/>
      <c r="P65" s="46" t="s">
        <v>280</v>
      </c>
      <c r="Q65">
        <v>141.77000000000001</v>
      </c>
      <c r="R65" s="119">
        <f>Table6[[#This Row],[Price]]/Q66-1</f>
        <v>2.3610108303249167E-2</v>
      </c>
      <c r="U65" s="46" t="s">
        <v>280</v>
      </c>
      <c r="V65">
        <v>156.1</v>
      </c>
      <c r="W65" s="119">
        <f>Table8[[#This Row],[Price]]/V66-1</f>
        <v>2.3606557377049198E-2</v>
      </c>
      <c r="Z65" s="46" t="s">
        <v>280</v>
      </c>
      <c r="AA65">
        <v>499.07</v>
      </c>
      <c r="AB65" s="119">
        <f>Table9[[#This Row],[Price]]/AA66-1</f>
        <v>5.3890824622531808E-2</v>
      </c>
      <c r="AE65" s="46" t="s">
        <v>280</v>
      </c>
      <c r="AF65">
        <v>69.16</v>
      </c>
      <c r="AG65" s="119">
        <f>Table10[[#This Row],[Price]]/AF66-1</f>
        <v>0.15904139433551179</v>
      </c>
    </row>
    <row r="66" spans="1:33">
      <c r="A66" s="117">
        <v>45396</v>
      </c>
      <c r="B66">
        <v>87.61</v>
      </c>
      <c r="C66" s="119">
        <f t="shared" si="0"/>
        <v>3.1676872350447471E-2</v>
      </c>
      <c r="F66" s="47">
        <v>45396</v>
      </c>
      <c r="G66" s="16">
        <v>4967.2299999999996</v>
      </c>
      <c r="H66" s="119">
        <f>Table2[[#This Row],[Price]]/G67-1</f>
        <v>-3.0483603693633787E-2</v>
      </c>
      <c r="J66" s="47"/>
      <c r="K66" s="117" t="s">
        <v>281</v>
      </c>
      <c r="L66">
        <v>57.38</v>
      </c>
      <c r="M66" s="119">
        <f>Table5[[#This Row],[Price]]/L67-1</f>
        <v>-2.9923922231614442E-2</v>
      </c>
      <c r="N66" s="16"/>
      <c r="P66" s="46" t="s">
        <v>281</v>
      </c>
      <c r="Q66">
        <v>138.5</v>
      </c>
      <c r="R66" s="119">
        <f>Table6[[#This Row],[Price]]/Q67-1</f>
        <v>5.079825834542806E-3</v>
      </c>
      <c r="U66" s="46" t="s">
        <v>281</v>
      </c>
      <c r="V66">
        <v>152.5</v>
      </c>
      <c r="W66" s="119">
        <f>Table8[[#This Row],[Price]]/V67-1</f>
        <v>-3.5935968637700322E-3</v>
      </c>
      <c r="Z66" s="46" t="s">
        <v>281</v>
      </c>
      <c r="AA66">
        <v>473.55</v>
      </c>
      <c r="AB66" s="119">
        <f>Table9[[#This Row],[Price]]/AA67-1</f>
        <v>-4.3932082937958028E-2</v>
      </c>
      <c r="AE66" s="46" t="s">
        <v>281</v>
      </c>
      <c r="AF66">
        <v>59.67</v>
      </c>
      <c r="AG66" s="119">
        <f>Table10[[#This Row],[Price]]/AF67-1</f>
        <v>-6.3999999999999946E-2</v>
      </c>
    </row>
    <row r="67" spans="1:33">
      <c r="A67" s="117">
        <v>45477</v>
      </c>
      <c r="B67">
        <v>84.92</v>
      </c>
      <c r="C67" s="119">
        <f t="shared" si="0"/>
        <v>-2.2222222222222143E-2</v>
      </c>
      <c r="F67" s="47">
        <v>45477</v>
      </c>
      <c r="G67" s="16">
        <v>5123.41</v>
      </c>
      <c r="H67" s="119">
        <f>Table2[[#This Row],[Price]]/G68-1</f>
        <v>-1.5550482866223292E-2</v>
      </c>
      <c r="J67" s="46"/>
      <c r="K67" s="117">
        <v>45477</v>
      </c>
      <c r="L67">
        <v>59.15</v>
      </c>
      <c r="M67" s="119">
        <f>Table5[[#This Row],[Price]]/L68-1</f>
        <v>1.7897091722595126E-2</v>
      </c>
      <c r="N67" s="16"/>
      <c r="P67" s="47">
        <v>45477</v>
      </c>
      <c r="Q67">
        <v>137.80000000000001</v>
      </c>
      <c r="R67" s="119">
        <f>Table6[[#This Row],[Price]]/Q68-1</f>
        <v>1.2490815576781999E-2</v>
      </c>
      <c r="U67" s="47">
        <v>45477</v>
      </c>
      <c r="V67">
        <v>153.05000000000001</v>
      </c>
      <c r="W67" s="119">
        <f>Table8[[#This Row],[Price]]/V68-1</f>
        <v>-2.1106491845218955E-2</v>
      </c>
      <c r="Z67" s="47">
        <v>45477</v>
      </c>
      <c r="AA67">
        <v>495.31</v>
      </c>
      <c r="AB67" s="119">
        <f>Table9[[#This Row],[Price]]/AA68-1</f>
        <v>4.2781832927818453E-3</v>
      </c>
      <c r="AE67" s="47">
        <v>45477</v>
      </c>
      <c r="AF67">
        <v>63.75</v>
      </c>
      <c r="AG67" s="119">
        <f>Table10[[#This Row],[Price]]/AF68-1</f>
        <v>-1.392111368909521E-2</v>
      </c>
    </row>
    <row r="68" spans="1:33">
      <c r="A68" s="117">
        <v>45382</v>
      </c>
      <c r="B68">
        <v>86.85</v>
      </c>
      <c r="C68" s="119">
        <f t="shared" si="0"/>
        <v>-4.9677207571944493E-2</v>
      </c>
      <c r="F68" s="47">
        <v>45382</v>
      </c>
      <c r="G68" s="16">
        <v>5204.34</v>
      </c>
      <c r="H68" s="119">
        <f>Table2[[#This Row],[Price]]/G69-1</f>
        <v>-9.5178280853007724E-3</v>
      </c>
      <c r="J68" s="46"/>
      <c r="K68" s="117" t="s">
        <v>282</v>
      </c>
      <c r="L68">
        <v>58.11</v>
      </c>
      <c r="M68" s="119">
        <f>Table5[[#This Row],[Price]]/L69-1</f>
        <v>-5.1599587203299269E-4</v>
      </c>
      <c r="N68" s="16"/>
      <c r="P68" s="46" t="s">
        <v>282</v>
      </c>
      <c r="Q68">
        <v>136.1</v>
      </c>
      <c r="R68" s="119">
        <f>Table6[[#This Row],[Price]]/Q69-1</f>
        <v>-1.8391633609808999E-2</v>
      </c>
      <c r="U68" s="46" t="s">
        <v>282</v>
      </c>
      <c r="V68">
        <v>156.35</v>
      </c>
      <c r="W68" s="119">
        <f>Table8[[#This Row],[Price]]/V69-1</f>
        <v>-6.4612623392162782E-2</v>
      </c>
      <c r="Z68" s="46" t="s">
        <v>282</v>
      </c>
      <c r="AA68">
        <v>493.2</v>
      </c>
      <c r="AB68" s="119">
        <f>Table9[[#This Row],[Price]]/AA69-1</f>
        <v>-7.406214780228626E-3</v>
      </c>
      <c r="AE68" s="46" t="s">
        <v>282</v>
      </c>
      <c r="AF68">
        <v>64.650000000000006</v>
      </c>
      <c r="AG68" s="119">
        <f>Table10[[#This Row],[Price]]/AF69-1</f>
        <v>-7.7087794432548096E-2</v>
      </c>
    </row>
    <row r="69" spans="1:33">
      <c r="A69" s="117">
        <v>45375</v>
      </c>
      <c r="B69">
        <v>91.39</v>
      </c>
      <c r="C69" s="119">
        <f t="shared" si="0"/>
        <v>7.4964171535663038E-3</v>
      </c>
      <c r="F69" s="47">
        <v>45375</v>
      </c>
      <c r="G69" s="16">
        <v>5254.35</v>
      </c>
      <c r="H69" s="119">
        <f>Table2[[#This Row],[Price]]/G70-1</f>
        <v>3.8535166922040176E-3</v>
      </c>
      <c r="J69" s="47"/>
      <c r="K69" s="117" t="s">
        <v>283</v>
      </c>
      <c r="L69">
        <v>58.14</v>
      </c>
      <c r="M69" s="119">
        <f>Table5[[#This Row],[Price]]/L70-1</f>
        <v>8.6745315752949637E-3</v>
      </c>
      <c r="N69" s="16"/>
      <c r="P69" s="46" t="s">
        <v>283</v>
      </c>
      <c r="Q69">
        <v>138.65</v>
      </c>
      <c r="R69" s="119">
        <f>Table6[[#This Row],[Price]]/Q70-1</f>
        <v>1.776407546061809E-2</v>
      </c>
      <c r="U69" s="46" t="s">
        <v>283</v>
      </c>
      <c r="V69">
        <v>167.15</v>
      </c>
      <c r="W69" s="119">
        <f>Table8[[#This Row],[Price]]/V70-1</f>
        <v>1.2355399430682423E-2</v>
      </c>
      <c r="Z69" s="46" t="s">
        <v>283</v>
      </c>
      <c r="AA69">
        <v>496.88</v>
      </c>
      <c r="AB69" s="119">
        <f>Table9[[#This Row],[Price]]/AA70-1</f>
        <v>8.3896863138606559E-2</v>
      </c>
      <c r="AE69" s="46" t="s">
        <v>283</v>
      </c>
      <c r="AF69">
        <v>70.05</v>
      </c>
      <c r="AG69" s="119">
        <f>Table10[[#This Row],[Price]]/AF70-1</f>
        <v>3.075338434373176E-2</v>
      </c>
    </row>
    <row r="70" spans="1:33">
      <c r="A70" s="117">
        <v>45368</v>
      </c>
      <c r="B70">
        <v>90.71</v>
      </c>
      <c r="C70" s="119">
        <f t="shared" si="0"/>
        <v>6.5468264536172605E-3</v>
      </c>
      <c r="F70" s="47">
        <v>45368</v>
      </c>
      <c r="G70" s="16">
        <v>5234.18</v>
      </c>
      <c r="H70" s="119">
        <f>Table2[[#This Row],[Price]]/G71-1</f>
        <v>2.2882145907146434E-2</v>
      </c>
      <c r="J70" s="47"/>
      <c r="K70" s="117" t="s">
        <v>284</v>
      </c>
      <c r="L70">
        <v>57.64</v>
      </c>
      <c r="M70" s="119">
        <f>Table5[[#This Row],[Price]]/L71-1</f>
        <v>4.5528750226736747E-2</v>
      </c>
      <c r="N70" s="16"/>
      <c r="P70" s="46" t="s">
        <v>284</v>
      </c>
      <c r="Q70">
        <v>136.22999999999999</v>
      </c>
      <c r="R70" s="119">
        <f>Table6[[#This Row],[Price]]/Q71-1</f>
        <v>-4.4577608886291475E-3</v>
      </c>
      <c r="U70" s="46" t="s">
        <v>284</v>
      </c>
      <c r="V70">
        <v>165.11</v>
      </c>
      <c r="W70" s="119">
        <f>Table8[[#This Row],[Price]]/V71-1</f>
        <v>-3.9834845312863409E-2</v>
      </c>
      <c r="Z70" s="46" t="s">
        <v>284</v>
      </c>
      <c r="AA70">
        <v>458.42</v>
      </c>
      <c r="AB70" s="119">
        <f>Table9[[#This Row],[Price]]/AA71-1</f>
        <v>3.898282036172418E-2</v>
      </c>
      <c r="AE70" s="46" t="s">
        <v>284</v>
      </c>
      <c r="AF70">
        <v>67.959999999999994</v>
      </c>
      <c r="AG70" s="119">
        <f>Table10[[#This Row],[Price]]/AF71-1</f>
        <v>5.9226932668329235E-2</v>
      </c>
    </row>
    <row r="71" spans="1:33">
      <c r="A71" s="117">
        <v>45568</v>
      </c>
      <c r="B71">
        <v>90.12</v>
      </c>
      <c r="C71" s="119">
        <f t="shared" si="0"/>
        <v>-1.0322864045684166E-2</v>
      </c>
      <c r="F71" s="47">
        <v>45568</v>
      </c>
      <c r="G71" s="16">
        <v>5117.09</v>
      </c>
      <c r="H71" s="119">
        <f>Table2[[#This Row],[Price]]/G72-1</f>
        <v>-1.2881341377014577E-3</v>
      </c>
      <c r="J71" s="46"/>
      <c r="K71" s="117">
        <v>45568</v>
      </c>
      <c r="L71">
        <v>55.13</v>
      </c>
      <c r="M71" s="119">
        <f>Table5[[#This Row],[Price]]/L72-1</f>
        <v>2.6247207743857137E-2</v>
      </c>
      <c r="N71" s="16"/>
      <c r="P71" s="47">
        <v>45568</v>
      </c>
      <c r="Q71">
        <v>136.84</v>
      </c>
      <c r="R71" s="119">
        <f>Table6[[#This Row],[Price]]/Q72-1</f>
        <v>-1.9489825164803687E-2</v>
      </c>
      <c r="U71" s="47">
        <v>45568</v>
      </c>
      <c r="V71">
        <v>171.96</v>
      </c>
      <c r="W71" s="119">
        <f>Table8[[#This Row],[Price]]/V72-1</f>
        <v>2.2731246721454657E-3</v>
      </c>
      <c r="Z71" s="47">
        <v>45568</v>
      </c>
      <c r="AA71">
        <v>441.22</v>
      </c>
      <c r="AB71" s="119">
        <f>Table9[[#This Row],[Price]]/AA72-1</f>
        <v>-8.5166625469089707E-3</v>
      </c>
      <c r="AE71" s="47">
        <v>45568</v>
      </c>
      <c r="AF71">
        <v>64.16</v>
      </c>
      <c r="AG71" s="119">
        <f>Table10[[#This Row],[Price]]/AF72-1</f>
        <v>1.294600568361215E-2</v>
      </c>
    </row>
    <row r="72" spans="1:33">
      <c r="A72" s="117">
        <v>45354</v>
      </c>
      <c r="B72">
        <v>91.06</v>
      </c>
      <c r="C72" s="119">
        <f t="shared" si="0"/>
        <v>-2.2541863460712741E-2</v>
      </c>
      <c r="F72" s="47">
        <v>45354</v>
      </c>
      <c r="G72" s="16">
        <v>5123.6899999999996</v>
      </c>
      <c r="H72" s="119">
        <f>Table2[[#This Row],[Price]]/G73-1</f>
        <v>-2.6065391233931479E-3</v>
      </c>
      <c r="J72" s="46"/>
      <c r="K72" s="117">
        <v>45354</v>
      </c>
      <c r="L72">
        <v>53.72</v>
      </c>
      <c r="M72" s="119">
        <f>Table5[[#This Row],[Price]]/L73-1</f>
        <v>-1.1156563778356166E-3</v>
      </c>
      <c r="N72" s="16"/>
      <c r="P72" s="47">
        <v>45354</v>
      </c>
      <c r="Q72">
        <v>139.56</v>
      </c>
      <c r="R72" s="119">
        <f>Table6[[#This Row],[Price]]/Q73-1</f>
        <v>1.5572696841799072E-2</v>
      </c>
      <c r="U72" s="47">
        <v>45354</v>
      </c>
      <c r="V72">
        <v>171.57</v>
      </c>
      <c r="W72" s="119">
        <f>Table8[[#This Row],[Price]]/V73-1</f>
        <v>1.634654679198988E-3</v>
      </c>
      <c r="Z72" s="47">
        <v>45354</v>
      </c>
      <c r="AA72">
        <v>445.01</v>
      </c>
      <c r="AB72" s="119">
        <f>Table9[[#This Row],[Price]]/AA73-1</f>
        <v>-4.9638888267782288E-3</v>
      </c>
      <c r="AE72" s="47">
        <v>45354</v>
      </c>
      <c r="AF72">
        <v>63.34</v>
      </c>
      <c r="AG72" s="119">
        <f>Table10[[#This Row],[Price]]/AF73-1</f>
        <v>8.6449399656946868E-2</v>
      </c>
    </row>
    <row r="73" spans="1:33">
      <c r="A73" s="117">
        <v>45347</v>
      </c>
      <c r="B73">
        <v>93.16</v>
      </c>
      <c r="C73" s="119">
        <f t="shared" si="0"/>
        <v>-2.57268353900858E-2</v>
      </c>
      <c r="F73" s="47">
        <v>45347</v>
      </c>
      <c r="G73" s="16">
        <v>5137.08</v>
      </c>
      <c r="H73" s="119">
        <f>Table2[[#This Row],[Price]]/G74-1</f>
        <v>9.4875019650997316E-3</v>
      </c>
      <c r="J73" s="46"/>
      <c r="K73" s="117" t="s">
        <v>285</v>
      </c>
      <c r="L73">
        <v>53.78</v>
      </c>
      <c r="M73" s="119">
        <f>Table5[[#This Row],[Price]]/L74-1</f>
        <v>1.6058945777441824E-2</v>
      </c>
      <c r="N73" s="16"/>
      <c r="P73" s="46" t="s">
        <v>285</v>
      </c>
      <c r="Q73">
        <v>137.41999999999999</v>
      </c>
      <c r="R73" s="119">
        <f>Table6[[#This Row],[Price]]/Q74-1</f>
        <v>-6.5066512434933665E-3</v>
      </c>
      <c r="U73" s="46" t="s">
        <v>285</v>
      </c>
      <c r="V73">
        <v>171.29</v>
      </c>
      <c r="W73" s="119">
        <f>Table8[[#This Row],[Price]]/V74-1</f>
        <v>1.0500855406760712E-2</v>
      </c>
      <c r="Z73" s="46" t="s">
        <v>285</v>
      </c>
      <c r="AA73">
        <v>447.23</v>
      </c>
      <c r="AB73" s="119">
        <f>Table9[[#This Row],[Price]]/AA74-1</f>
        <v>3.1315577078289136E-2</v>
      </c>
      <c r="AE73" s="46" t="s">
        <v>285</v>
      </c>
      <c r="AF73">
        <v>58.3</v>
      </c>
      <c r="AG73" s="119">
        <f>Table10[[#This Row],[Price]]/AF74-1</f>
        <v>0.14313725490196072</v>
      </c>
    </row>
    <row r="74" spans="1:33">
      <c r="A74" s="117">
        <v>45340</v>
      </c>
      <c r="B74">
        <v>95.62</v>
      </c>
      <c r="C74" s="119">
        <f t="shared" si="0"/>
        <v>2.5745548165629684E-2</v>
      </c>
      <c r="F74" s="47">
        <v>45340</v>
      </c>
      <c r="G74" s="16">
        <v>5088.8</v>
      </c>
      <c r="H74" s="119">
        <f>Table2[[#This Row],[Price]]/G75-1</f>
        <v>1.6627476990632495E-2</v>
      </c>
      <c r="J74" s="47"/>
      <c r="K74" s="117" t="s">
        <v>286</v>
      </c>
      <c r="L74">
        <v>52.93</v>
      </c>
      <c r="M74" s="119">
        <f>Table5[[#This Row],[Price]]/L75-1</f>
        <v>1.8472195497402311E-2</v>
      </c>
      <c r="N74" s="16"/>
      <c r="P74" s="46" t="s">
        <v>286</v>
      </c>
      <c r="Q74">
        <v>138.32</v>
      </c>
      <c r="R74" s="119">
        <f>Table6[[#This Row],[Price]]/Q75-1</f>
        <v>2.8019323671497398E-2</v>
      </c>
      <c r="U74" s="46" t="s">
        <v>286</v>
      </c>
      <c r="V74">
        <v>169.51</v>
      </c>
      <c r="W74" s="119">
        <f>Table8[[#This Row],[Price]]/V75-1</f>
        <v>4.339529730395153E-2</v>
      </c>
      <c r="Z74" s="46" t="s">
        <v>286</v>
      </c>
      <c r="AA74">
        <v>433.65</v>
      </c>
      <c r="AB74" s="119">
        <f>Table9[[#This Row],[Price]]/AA75-1</f>
        <v>2.7972027972027913E-2</v>
      </c>
      <c r="AE74" s="46" t="s">
        <v>286</v>
      </c>
      <c r="AF74">
        <v>51</v>
      </c>
      <c r="AG74" s="119">
        <f>Table10[[#This Row],[Price]]/AF75-1</f>
        <v>-6.6447007138934699E-2</v>
      </c>
    </row>
    <row r="75" spans="1:33">
      <c r="A75" s="117">
        <v>45598</v>
      </c>
      <c r="B75">
        <v>93.22</v>
      </c>
      <c r="C75" s="119">
        <f t="shared" si="0"/>
        <v>-4.1932168550873561E-2</v>
      </c>
      <c r="F75" s="47">
        <v>45598</v>
      </c>
      <c r="G75" s="16">
        <v>5005.57</v>
      </c>
      <c r="H75" s="119">
        <f>Table2[[#This Row],[Price]]/G76-1</f>
        <v>-4.1857235791119551E-3</v>
      </c>
      <c r="J75" s="46"/>
      <c r="K75" s="117">
        <v>45598</v>
      </c>
      <c r="L75">
        <v>51.97</v>
      </c>
      <c r="M75" s="119">
        <f>Table5[[#This Row],[Price]]/L76-1</f>
        <v>-1.5160128861095412E-2</v>
      </c>
      <c r="N75" s="16"/>
      <c r="P75" s="47">
        <v>45598</v>
      </c>
      <c r="Q75">
        <v>134.55000000000001</v>
      </c>
      <c r="R75" s="119">
        <f>Table6[[#This Row],[Price]]/Q76-1</f>
        <v>3.2854839947800807E-2</v>
      </c>
      <c r="U75" s="47">
        <v>45598</v>
      </c>
      <c r="V75">
        <v>162.46</v>
      </c>
      <c r="W75" s="119">
        <f>Table8[[#This Row],[Price]]/V76-1</f>
        <v>-3.1015149707741774E-2</v>
      </c>
      <c r="Z75" s="47">
        <v>45598</v>
      </c>
      <c r="AA75">
        <v>421.85</v>
      </c>
      <c r="AB75" s="119">
        <f>Table9[[#This Row],[Price]]/AA76-1</f>
        <v>-7.6219153591002842E-3</v>
      </c>
      <c r="AE75" s="47">
        <v>45598</v>
      </c>
      <c r="AF75">
        <v>54.63</v>
      </c>
      <c r="AG75" s="119">
        <f>Table10[[#This Row],[Price]]/AF76-1</f>
        <v>3.3093797276853243E-2</v>
      </c>
    </row>
    <row r="76" spans="1:33">
      <c r="A76" s="117">
        <v>45384</v>
      </c>
      <c r="B76">
        <v>97.3</v>
      </c>
      <c r="C76" s="119">
        <f t="shared" si="0"/>
        <v>4.6349069792450903E-2</v>
      </c>
      <c r="F76" s="47">
        <v>45384</v>
      </c>
      <c r="G76" s="16">
        <v>5026.6099999999997</v>
      </c>
      <c r="H76" s="119">
        <f>Table2[[#This Row],[Price]]/G77-1</f>
        <v>1.3713520522888434E-2</v>
      </c>
      <c r="J76" s="46"/>
      <c r="K76" s="117">
        <v>45384</v>
      </c>
      <c r="L76">
        <v>52.77</v>
      </c>
      <c r="M76" s="119">
        <f>Table5[[#This Row],[Price]]/L77-1</f>
        <v>6.2839879154078737E-2</v>
      </c>
      <c r="N76" s="16"/>
      <c r="P76" s="47">
        <v>45384</v>
      </c>
      <c r="Q76">
        <v>130.27000000000001</v>
      </c>
      <c r="R76" s="119">
        <f>Table6[[#This Row],[Price]]/Q77-1</f>
        <v>1.1805825242718448E-2</v>
      </c>
      <c r="U76" s="47">
        <v>45384</v>
      </c>
      <c r="V76">
        <v>167.66</v>
      </c>
      <c r="W76" s="119">
        <f>Table8[[#This Row],[Price]]/V77-1</f>
        <v>6.8460245015613541E-3</v>
      </c>
      <c r="Z76" s="47">
        <v>45384</v>
      </c>
      <c r="AA76">
        <v>425.09</v>
      </c>
      <c r="AB76" s="119">
        <f>Table9[[#This Row],[Price]]/AA77-1</f>
        <v>7.1790740652986074E-3</v>
      </c>
      <c r="AE76" s="47">
        <v>45384</v>
      </c>
      <c r="AF76">
        <v>52.88</v>
      </c>
      <c r="AG76" s="119">
        <f>Table10[[#This Row],[Price]]/AF77-1</f>
        <v>5.9082715802122987E-2</v>
      </c>
    </row>
    <row r="77" spans="1:33">
      <c r="A77" s="117">
        <v>45319</v>
      </c>
      <c r="B77">
        <v>92.99</v>
      </c>
      <c r="C77" s="119">
        <f t="shared" si="0"/>
        <v>2.0474137931034697E-3</v>
      </c>
      <c r="F77" s="47">
        <v>45319</v>
      </c>
      <c r="G77" s="16">
        <v>4958.6099999999997</v>
      </c>
      <c r="H77" s="119">
        <f>Table2[[#This Row],[Price]]/G78-1</f>
        <v>1.3829567549995092E-2</v>
      </c>
      <c r="J77" s="46"/>
      <c r="K77" s="117" t="s">
        <v>287</v>
      </c>
      <c r="L77">
        <v>49.65</v>
      </c>
      <c r="M77" s="119">
        <f>Table5[[#This Row],[Price]]/L78-1</f>
        <v>6.7053513862024516E-2</v>
      </c>
      <c r="N77" s="16"/>
      <c r="P77" s="46" t="s">
        <v>287</v>
      </c>
      <c r="Q77">
        <v>128.75</v>
      </c>
      <c r="R77" s="119">
        <f>Table6[[#This Row],[Price]]/Q78-1</f>
        <v>-2.6338213649391706E-3</v>
      </c>
      <c r="U77" s="46" t="s">
        <v>287</v>
      </c>
      <c r="V77">
        <v>166.52</v>
      </c>
      <c r="W77" s="119">
        <f>Table8[[#This Row],[Price]]/V78-1</f>
        <v>3.4349959624821347E-2</v>
      </c>
      <c r="Z77" s="46" t="s">
        <v>287</v>
      </c>
      <c r="AA77">
        <v>422.06</v>
      </c>
      <c r="AB77" s="119">
        <f>Table9[[#This Row],[Price]]/AA78-1</f>
        <v>7.0146974613476409E-3</v>
      </c>
      <c r="AE77" s="46" t="s">
        <v>287</v>
      </c>
      <c r="AF77">
        <v>49.93</v>
      </c>
      <c r="AG77" s="119">
        <f>Table10[[#This Row],[Price]]/AF78-1</f>
        <v>9.0174672489083063E-2</v>
      </c>
    </row>
    <row r="78" spans="1:33">
      <c r="A78" s="117">
        <v>45312</v>
      </c>
      <c r="B78">
        <v>92.8</v>
      </c>
      <c r="C78" s="119">
        <f t="shared" si="0"/>
        <v>-1.1293415725548761E-2</v>
      </c>
      <c r="F78" s="47">
        <v>45312</v>
      </c>
      <c r="G78" s="16">
        <v>4890.97</v>
      </c>
      <c r="H78" s="119">
        <f>Table2[[#This Row],[Price]]/G79-1</f>
        <v>1.0570662897923633E-2</v>
      </c>
      <c r="J78" s="47"/>
      <c r="K78" s="117" t="s">
        <v>288</v>
      </c>
      <c r="L78">
        <v>46.53</v>
      </c>
      <c r="M78" s="119">
        <f>Table5[[#This Row],[Price]]/L79-1</f>
        <v>-3.426857999571542E-3</v>
      </c>
      <c r="N78" s="16"/>
      <c r="P78" s="46" t="s">
        <v>288</v>
      </c>
      <c r="Q78">
        <v>129.09</v>
      </c>
      <c r="R78" s="119">
        <f>Table6[[#This Row],[Price]]/Q79-1</f>
        <v>-2.4263038548752891E-2</v>
      </c>
      <c r="U78" s="46" t="s">
        <v>288</v>
      </c>
      <c r="V78">
        <v>160.99</v>
      </c>
      <c r="W78" s="119">
        <f>Table8[[#This Row],[Price]]/V79-1</f>
        <v>1.0989701080130532E-2</v>
      </c>
      <c r="Z78" s="46" t="s">
        <v>288</v>
      </c>
      <c r="AA78">
        <v>419.12</v>
      </c>
      <c r="AB78" s="119">
        <f>Table9[[#This Row],[Price]]/AA79-1</f>
        <v>-1.7925346205215908E-2</v>
      </c>
      <c r="AE78" s="46" t="s">
        <v>288</v>
      </c>
      <c r="AF78">
        <v>45.8</v>
      </c>
      <c r="AG78" s="119">
        <f>Table10[[#This Row],[Price]]/AF79-1</f>
        <v>-9.7297297297297414E-3</v>
      </c>
    </row>
    <row r="79" spans="1:33">
      <c r="A79" s="117">
        <v>45305</v>
      </c>
      <c r="B79">
        <v>93.86</v>
      </c>
      <c r="C79" s="119">
        <f t="shared" si="0"/>
        <v>2.0439225918677861E-2</v>
      </c>
      <c r="F79" s="47">
        <v>45305</v>
      </c>
      <c r="G79" s="16">
        <v>4839.8100000000004</v>
      </c>
      <c r="H79" s="119">
        <f>Table2[[#This Row],[Price]]/G80-1</f>
        <v>1.1701920845849534E-2</v>
      </c>
      <c r="J79" s="47"/>
      <c r="K79" s="117" t="s">
        <v>289</v>
      </c>
      <c r="L79">
        <v>46.69</v>
      </c>
      <c r="M79" s="119">
        <f>Table5[[#This Row],[Price]]/L80-1</f>
        <v>2.750880281690149E-2</v>
      </c>
      <c r="N79" s="16"/>
      <c r="P79" s="46" t="s">
        <v>289</v>
      </c>
      <c r="Q79">
        <v>132.30000000000001</v>
      </c>
      <c r="R79" s="119">
        <f>Table6[[#This Row],[Price]]/Q80-1</f>
        <v>2.4548904205064837E-2</v>
      </c>
      <c r="U79" s="46" t="s">
        <v>289</v>
      </c>
      <c r="V79">
        <v>159.24</v>
      </c>
      <c r="W79" s="119">
        <f>Table8[[#This Row],[Price]]/V80-1</f>
        <v>1.3428371412206541E-2</v>
      </c>
      <c r="Z79" s="46" t="s">
        <v>289</v>
      </c>
      <c r="AA79">
        <v>426.77</v>
      </c>
      <c r="AB79" s="119">
        <f>Table9[[#This Row],[Price]]/AA80-1</f>
        <v>3.761244833454902E-2</v>
      </c>
      <c r="AE79" s="46" t="s">
        <v>289</v>
      </c>
      <c r="AF79">
        <v>46.25</v>
      </c>
      <c r="AG79" s="119">
        <f>Table10[[#This Row],[Price]]/AF80-1</f>
        <v>7.7586206896551602E-2</v>
      </c>
    </row>
    <row r="80" spans="1:33">
      <c r="A80" s="117">
        <v>45474</v>
      </c>
      <c r="B80">
        <v>91.98</v>
      </c>
      <c r="C80" s="119">
        <f t="shared" si="0"/>
        <v>-1.0861382944402531E-2</v>
      </c>
      <c r="F80" s="47">
        <v>45474</v>
      </c>
      <c r="G80" s="16">
        <v>4783.83</v>
      </c>
      <c r="H80" s="119">
        <f>Table2[[#This Row],[Price]]/G81-1</f>
        <v>1.8434229462407803E-2</v>
      </c>
      <c r="J80" s="46"/>
      <c r="K80" s="117">
        <v>45474</v>
      </c>
      <c r="L80">
        <v>45.44</v>
      </c>
      <c r="M80" s="119">
        <f>Table5[[#This Row],[Price]]/L81-1</f>
        <v>2.6660641662900941E-2</v>
      </c>
      <c r="N80" s="16"/>
      <c r="P80" s="47">
        <v>45474</v>
      </c>
      <c r="Q80">
        <v>129.13</v>
      </c>
      <c r="R80" s="119">
        <f>Table6[[#This Row],[Price]]/Q81-1</f>
        <v>6.1555243883433253E-3</v>
      </c>
      <c r="U80" s="47">
        <v>45474</v>
      </c>
      <c r="V80">
        <v>157.13</v>
      </c>
      <c r="W80" s="119">
        <f>Table8[[#This Row],[Price]]/V81-1</f>
        <v>-3.0540473840079074E-2</v>
      </c>
      <c r="Z80" s="47">
        <v>45474</v>
      </c>
      <c r="AA80">
        <v>411.3</v>
      </c>
      <c r="AB80" s="119">
        <f>Table9[[#This Row],[Price]]/AA81-1</f>
        <v>2.8172887033472538E-2</v>
      </c>
      <c r="AE80" s="47">
        <v>45474</v>
      </c>
      <c r="AF80">
        <v>42.92</v>
      </c>
      <c r="AG80" s="119">
        <f>Table10[[#This Row],[Price]]/AF81-1</f>
        <v>4.3013365735115494E-2</v>
      </c>
    </row>
    <row r="81" spans="1:33">
      <c r="A81" s="117">
        <v>45291</v>
      </c>
      <c r="B81">
        <v>92.99</v>
      </c>
      <c r="C81" s="119">
        <f t="shared" si="0"/>
        <v>-3.1455056764920442E-2</v>
      </c>
      <c r="F81" s="47">
        <v>45291</v>
      </c>
      <c r="G81" s="16">
        <v>4697.24</v>
      </c>
      <c r="H81" s="119">
        <f>Table2[[#This Row],[Price]]/G82-1</f>
        <v>-1.5218571731067998E-2</v>
      </c>
      <c r="J81" s="46"/>
      <c r="K81" s="117" t="s">
        <v>290</v>
      </c>
      <c r="L81">
        <v>44.26</v>
      </c>
      <c r="M81" s="119">
        <f>Table5[[#This Row],[Price]]/L82-1</f>
        <v>-3.2356799300393591E-2</v>
      </c>
      <c r="N81" s="16"/>
      <c r="P81" s="46" t="s">
        <v>290</v>
      </c>
      <c r="Q81">
        <v>128.34</v>
      </c>
      <c r="R81" s="119">
        <f>Table6[[#This Row],[Price]]/Q82-1</f>
        <v>-1.7756007959589759E-2</v>
      </c>
      <c r="U81" s="46" t="s">
        <v>290</v>
      </c>
      <c r="V81">
        <v>162.08000000000001</v>
      </c>
      <c r="W81" s="119">
        <f>Table8[[#This Row],[Price]]/V82-1</f>
        <v>-1.351186853317099E-2</v>
      </c>
      <c r="Z81" s="46" t="s">
        <v>290</v>
      </c>
      <c r="AA81">
        <v>400.03</v>
      </c>
      <c r="AB81" s="119">
        <f>Table9[[#This Row],[Price]]/AA82-1</f>
        <v>-2.9595128932877413E-2</v>
      </c>
      <c r="AE81" s="46" t="s">
        <v>290</v>
      </c>
      <c r="AF81">
        <v>41.15</v>
      </c>
      <c r="AG81" s="119">
        <f>Table10[[#This Row],[Price]]/AF82-1</f>
        <v>-4.2577943229408999E-2</v>
      </c>
    </row>
    <row r="82" spans="1:33">
      <c r="A82" s="117">
        <v>45284</v>
      </c>
      <c r="B82">
        <v>96.01</v>
      </c>
      <c r="C82" s="119">
        <f t="shared" si="0"/>
        <v>7.6616288832913604E-3</v>
      </c>
      <c r="F82" s="47">
        <v>45284</v>
      </c>
      <c r="G82" s="16">
        <v>4769.83</v>
      </c>
      <c r="H82" s="119">
        <f>Table2[[#This Row],[Price]]/G83-1</f>
        <v>3.1968838795026766E-3</v>
      </c>
      <c r="J82" s="47"/>
      <c r="K82" s="117" t="s">
        <v>291</v>
      </c>
      <c r="L82">
        <v>45.74</v>
      </c>
      <c r="M82" s="119">
        <f>Table5[[#This Row],[Price]]/L83-1</f>
        <v>-7.5938381427641533E-3</v>
      </c>
      <c r="N82" s="16"/>
      <c r="P82" s="46" t="s">
        <v>291</v>
      </c>
      <c r="Q82">
        <v>130.66</v>
      </c>
      <c r="R82" s="119">
        <f>Table6[[#This Row],[Price]]/Q83-1</f>
        <v>5.076923076922979E-3</v>
      </c>
      <c r="U82" s="46" t="s">
        <v>291</v>
      </c>
      <c r="V82">
        <v>164.3</v>
      </c>
      <c r="W82" s="119">
        <f>Table8[[#This Row],[Price]]/V83-1</f>
        <v>1.5200197726149334E-2</v>
      </c>
      <c r="Z82" s="46" t="s">
        <v>291</v>
      </c>
      <c r="AA82">
        <v>412.23</v>
      </c>
      <c r="AB82" s="119">
        <f>Table9[[#This Row],[Price]]/AA83-1</f>
        <v>5.831544017177448E-3</v>
      </c>
      <c r="AE82" s="46" t="s">
        <v>291</v>
      </c>
      <c r="AF82">
        <v>42.98</v>
      </c>
      <c r="AG82" s="119">
        <f>Table10[[#This Row],[Price]]/AF83-1</f>
        <v>2.5286259541984712E-2</v>
      </c>
    </row>
    <row r="83" spans="1:33">
      <c r="A83" s="117">
        <v>45277</v>
      </c>
      <c r="B83">
        <v>95.28</v>
      </c>
      <c r="C83" s="119">
        <f t="shared" si="0"/>
        <v>-1.5193798449612439E-2</v>
      </c>
      <c r="F83" s="47">
        <v>45277</v>
      </c>
      <c r="G83" s="16">
        <v>4754.63</v>
      </c>
      <c r="H83" s="119">
        <f>Table2[[#This Row],[Price]]/G84-1</f>
        <v>7.5097633280287734E-3</v>
      </c>
      <c r="J83" s="47"/>
      <c r="K83" s="117" t="s">
        <v>292</v>
      </c>
      <c r="L83">
        <v>46.09</v>
      </c>
      <c r="M83" s="119">
        <f>Table5[[#This Row],[Price]]/L84-1</f>
        <v>1.4527845036319764E-2</v>
      </c>
      <c r="N83" s="16"/>
      <c r="P83" s="46" t="s">
        <v>292</v>
      </c>
      <c r="Q83">
        <v>130</v>
      </c>
      <c r="R83" s="119">
        <f>Table6[[#This Row],[Price]]/Q84-1</f>
        <v>1.0572139303482775E-2</v>
      </c>
      <c r="U83" s="46" t="s">
        <v>292</v>
      </c>
      <c r="V83">
        <v>161.84</v>
      </c>
      <c r="W83" s="119">
        <f>Table8[[#This Row],[Price]]/V84-1</f>
        <v>-4.0002461689950808E-3</v>
      </c>
      <c r="Z83" s="46" t="s">
        <v>292</v>
      </c>
      <c r="AA83">
        <v>409.84</v>
      </c>
      <c r="AB83" s="119">
        <f>Table9[[#This Row],[Price]]/AA84-1</f>
        <v>2.4471941007373932E-2</v>
      </c>
      <c r="AE83" s="46" t="s">
        <v>292</v>
      </c>
      <c r="AF83">
        <v>41.92</v>
      </c>
      <c r="AG83" s="119">
        <f>Table10[[#This Row],[Price]]/AF84-1</f>
        <v>4.6953046953047028E-2</v>
      </c>
    </row>
    <row r="84" spans="1:33">
      <c r="A84" s="117">
        <v>45211</v>
      </c>
      <c r="B84">
        <v>96.75</v>
      </c>
      <c r="C84" s="119">
        <f t="shared" si="0"/>
        <v>1.449125349342717E-3</v>
      </c>
      <c r="F84" s="47">
        <v>45211</v>
      </c>
      <c r="G84" s="16">
        <v>4719.1899999999996</v>
      </c>
      <c r="H84" s="119">
        <f>Table2[[#This Row],[Price]]/G85-1</f>
        <v>2.493717924493466E-2</v>
      </c>
      <c r="J84" s="46"/>
      <c r="K84" s="117">
        <v>45211</v>
      </c>
      <c r="L84">
        <v>45.43</v>
      </c>
      <c r="M84" s="119">
        <f>Table5[[#This Row],[Price]]/L85-1</f>
        <v>1.2706197057512192E-2</v>
      </c>
      <c r="N84" s="16"/>
      <c r="P84" s="47">
        <v>45211</v>
      </c>
      <c r="Q84">
        <v>128.63999999999999</v>
      </c>
      <c r="R84" s="119">
        <f>Table6[[#This Row],[Price]]/Q85-1</f>
        <v>3.4582596107447294E-2</v>
      </c>
      <c r="U84" s="47">
        <v>45211</v>
      </c>
      <c r="V84">
        <v>162.49</v>
      </c>
      <c r="W84" s="119">
        <f>Table8[[#This Row],[Price]]/V85-1</f>
        <v>2.2271154451085406E-2</v>
      </c>
      <c r="Z84" s="47">
        <v>45211</v>
      </c>
      <c r="AA84">
        <v>400.05</v>
      </c>
      <c r="AB84" s="119">
        <f>Table9[[#This Row],[Price]]/AA85-1</f>
        <v>1.3041276272474089E-2</v>
      </c>
      <c r="AE84" s="47">
        <v>45211</v>
      </c>
      <c r="AF84">
        <v>40.04</v>
      </c>
      <c r="AG84" s="119">
        <f>Table10[[#This Row],[Price]]/AF85-1</f>
        <v>0.24193548387096775</v>
      </c>
    </row>
    <row r="85" spans="1:33">
      <c r="A85" s="117">
        <v>44997</v>
      </c>
      <c r="B85">
        <v>96.61</v>
      </c>
      <c r="C85" s="119">
        <f t="shared" si="0"/>
        <v>-2.6108870967741948E-2</v>
      </c>
      <c r="F85" s="47">
        <v>44997</v>
      </c>
      <c r="G85" s="16">
        <v>4604.37</v>
      </c>
      <c r="H85" s="119">
        <f>Table2[[#This Row],[Price]]/G86-1</f>
        <v>2.1198660175030248E-3</v>
      </c>
      <c r="J85" s="46"/>
      <c r="K85" s="117">
        <v>44997</v>
      </c>
      <c r="L85">
        <v>44.86</v>
      </c>
      <c r="M85" s="119">
        <f>Table5[[#This Row],[Price]]/L86-1</f>
        <v>4.0286481647269223E-3</v>
      </c>
      <c r="N85" s="16"/>
      <c r="P85" s="47">
        <v>44997</v>
      </c>
      <c r="Q85">
        <v>124.34</v>
      </c>
      <c r="R85" s="119">
        <f>Table6[[#This Row],[Price]]/Q86-1</f>
        <v>-2.3482290112306514E-2</v>
      </c>
      <c r="U85" s="47">
        <v>44997</v>
      </c>
      <c r="V85">
        <v>158.94999999999999</v>
      </c>
      <c r="W85" s="119">
        <f>Table8[[#This Row],[Price]]/V86-1</f>
        <v>-6.0033768995060299E-3</v>
      </c>
      <c r="Z85" s="47">
        <v>44997</v>
      </c>
      <c r="AA85">
        <v>394.9</v>
      </c>
      <c r="AB85" s="119">
        <f>Table9[[#This Row],[Price]]/AA86-1</f>
        <v>-5.7404703157258874E-3</v>
      </c>
      <c r="AE85" s="47">
        <v>44997</v>
      </c>
      <c r="AF85">
        <v>32.24</v>
      </c>
      <c r="AG85" s="119">
        <f>Table10[[#This Row],[Price]]/AF86-1</f>
        <v>-0.10988404196576473</v>
      </c>
    </row>
    <row r="86" spans="1:33">
      <c r="A86" s="117">
        <v>45256</v>
      </c>
      <c r="B86">
        <v>99.2</v>
      </c>
      <c r="C86" s="119">
        <f t="shared" si="0"/>
        <v>-3.483167931504183E-2</v>
      </c>
      <c r="F86" s="47">
        <v>45256</v>
      </c>
      <c r="G86" s="16">
        <v>4594.63</v>
      </c>
      <c r="H86" s="119">
        <f>Table2[[#This Row],[Price]]/G87-1</f>
        <v>7.740155373365365E-3</v>
      </c>
      <c r="J86" s="46"/>
      <c r="K86" s="117" t="s">
        <v>293</v>
      </c>
      <c r="L86">
        <v>44.68</v>
      </c>
      <c r="M86" s="119">
        <f>Table5[[#This Row],[Price]]/L87-1</f>
        <v>6.5330029285874947E-3</v>
      </c>
      <c r="N86" s="16"/>
      <c r="P86" s="46" t="s">
        <v>293</v>
      </c>
      <c r="Q86">
        <v>127.33</v>
      </c>
      <c r="R86" s="119">
        <f>Table6[[#This Row],[Price]]/Q87-1</f>
        <v>-9.1821648120767874E-3</v>
      </c>
      <c r="U86" s="46" t="s">
        <v>293</v>
      </c>
      <c r="V86">
        <v>159.91</v>
      </c>
      <c r="W86" s="119">
        <f>Table8[[#This Row],[Price]]/V87-1</f>
        <v>2.4998397538619432E-2</v>
      </c>
      <c r="Z86" s="46" t="s">
        <v>293</v>
      </c>
      <c r="AA86">
        <v>397.18</v>
      </c>
      <c r="AB86" s="119">
        <f>Table9[[#This Row],[Price]]/AA87-1</f>
        <v>7.2531864333549301E-2</v>
      </c>
      <c r="AE86" s="46" t="s">
        <v>293</v>
      </c>
      <c r="AF86">
        <v>36.22</v>
      </c>
      <c r="AG86" s="119">
        <f>Table10[[#This Row],[Price]]/AF87-1</f>
        <v>5.6901079661511478E-2</v>
      </c>
    </row>
    <row r="87" spans="1:33">
      <c r="A87" s="117">
        <v>45249</v>
      </c>
      <c r="B87">
        <v>102.78</v>
      </c>
      <c r="C87" s="119">
        <f t="shared" ref="C87:C150" si="1">B87/B88-1</f>
        <v>-2.6427962489343537E-2</v>
      </c>
      <c r="F87" s="47">
        <v>45249</v>
      </c>
      <c r="G87" s="16">
        <v>4559.34</v>
      </c>
      <c r="H87" s="119">
        <f>Table2[[#This Row],[Price]]/G88-1</f>
        <v>1.003983145843379E-2</v>
      </c>
      <c r="J87" s="47"/>
      <c r="K87" s="117" t="s">
        <v>294</v>
      </c>
      <c r="L87">
        <v>44.39</v>
      </c>
      <c r="M87" s="119">
        <f>Table5[[#This Row],[Price]]/L88-1</f>
        <v>2.659574468085113E-2</v>
      </c>
      <c r="N87" s="16"/>
      <c r="P87" s="46" t="s">
        <v>294</v>
      </c>
      <c r="Q87">
        <v>128.51</v>
      </c>
      <c r="R87" s="119">
        <f>Table6[[#This Row],[Price]]/Q88-1</f>
        <v>6.6583111389628691E-3</v>
      </c>
      <c r="U87" s="46" t="s">
        <v>294</v>
      </c>
      <c r="V87">
        <v>156.01</v>
      </c>
      <c r="W87" s="119">
        <f>Table8[[#This Row],[Price]]/V88-1</f>
        <v>9.6240215578058397E-4</v>
      </c>
      <c r="Z87" s="46" t="s">
        <v>294</v>
      </c>
      <c r="AA87">
        <v>370.32</v>
      </c>
      <c r="AB87" s="119">
        <f>Table9[[#This Row],[Price]]/AA88-1</f>
        <v>-5.6387949089737877E-3</v>
      </c>
      <c r="AE87" s="46" t="s">
        <v>294</v>
      </c>
      <c r="AF87">
        <v>34.270000000000003</v>
      </c>
      <c r="AG87" s="119">
        <f>Table10[[#This Row],[Price]]/AF88-1</f>
        <v>4.3962485345840907E-3</v>
      </c>
    </row>
    <row r="88" spans="1:33">
      <c r="A88" s="117">
        <v>45271</v>
      </c>
      <c r="B88">
        <v>105.57</v>
      </c>
      <c r="C88" s="119">
        <f t="shared" si="1"/>
        <v>1.1885363749640554E-2</v>
      </c>
      <c r="F88" s="47">
        <v>45271</v>
      </c>
      <c r="G88" s="16">
        <v>4514.0200000000004</v>
      </c>
      <c r="H88" s="119">
        <f>Table2[[#This Row],[Price]]/G89-1</f>
        <v>2.2372509761643844E-2</v>
      </c>
      <c r="J88" s="47"/>
      <c r="K88" s="117">
        <v>45271</v>
      </c>
      <c r="L88">
        <v>43.24</v>
      </c>
      <c r="M88" s="119">
        <f>Table5[[#This Row],[Price]]/L89-1</f>
        <v>1.9570855930205244E-2</v>
      </c>
      <c r="N88" s="16"/>
      <c r="P88" s="47">
        <v>45271</v>
      </c>
      <c r="Q88">
        <v>127.66</v>
      </c>
      <c r="R88" s="119">
        <f>Table6[[#This Row],[Price]]/Q89-1</f>
        <v>1.357681619690343E-2</v>
      </c>
      <c r="U88" s="47">
        <v>45271</v>
      </c>
      <c r="V88">
        <v>155.86000000000001</v>
      </c>
      <c r="W88" s="119">
        <f>Table8[[#This Row],[Price]]/V89-1</f>
        <v>3.837441705529665E-2</v>
      </c>
      <c r="Z88" s="47">
        <v>45271</v>
      </c>
      <c r="AA88">
        <v>372.42</v>
      </c>
      <c r="AB88" s="119">
        <f>Table9[[#This Row],[Price]]/AA89-1</f>
        <v>-1.6089403186177353E-2</v>
      </c>
      <c r="AE88" s="47">
        <v>45271</v>
      </c>
      <c r="AF88">
        <v>34.119999999999997</v>
      </c>
      <c r="AG88" s="119">
        <f>Table10[[#This Row],[Price]]/AF89-1</f>
        <v>9.8165432893466242E-2</v>
      </c>
    </row>
    <row r="89" spans="1:33">
      <c r="A89" s="117">
        <v>45057</v>
      </c>
      <c r="B89">
        <v>104.33</v>
      </c>
      <c r="C89" s="119">
        <f t="shared" si="1"/>
        <v>1.6366293229420181E-2</v>
      </c>
      <c r="F89" s="47">
        <v>45057</v>
      </c>
      <c r="G89" s="16">
        <v>4415.24</v>
      </c>
      <c r="H89" s="119">
        <f>Table2[[#This Row],[Price]]/G90-1</f>
        <v>1.3055429360719906E-2</v>
      </c>
      <c r="J89" s="46"/>
      <c r="K89" s="117">
        <v>45057</v>
      </c>
      <c r="L89">
        <v>42.41</v>
      </c>
      <c r="M89" s="119">
        <f>Table5[[#This Row],[Price]]/L90-1</f>
        <v>3.9206076941925794E-2</v>
      </c>
      <c r="N89" s="16"/>
      <c r="P89" s="47">
        <v>45057</v>
      </c>
      <c r="Q89">
        <v>125.95</v>
      </c>
      <c r="R89" s="119">
        <f>Table6[[#This Row],[Price]]/Q90-1</f>
        <v>-3.0869083425676402E-3</v>
      </c>
      <c r="U89" s="47">
        <v>45057</v>
      </c>
      <c r="V89">
        <v>150.1</v>
      </c>
      <c r="W89" s="119">
        <f>Table8[[#This Row],[Price]]/V90-1</f>
        <v>-4.0475084599562727E-3</v>
      </c>
      <c r="Z89" s="47">
        <v>45057</v>
      </c>
      <c r="AA89">
        <v>378.51</v>
      </c>
      <c r="AB89" s="119">
        <f>Table9[[#This Row],[Price]]/AA90-1</f>
        <v>4.5781068685417425E-2</v>
      </c>
      <c r="AE89" s="47">
        <v>45057</v>
      </c>
      <c r="AF89">
        <v>31.07</v>
      </c>
      <c r="AG89" s="119">
        <f>Table10[[#This Row],[Price]]/AF90-1</f>
        <v>-0.13502227171492209</v>
      </c>
    </row>
    <row r="90" spans="1:33">
      <c r="A90" s="117">
        <v>45228</v>
      </c>
      <c r="B90">
        <v>102.65</v>
      </c>
      <c r="C90" s="119">
        <f t="shared" si="1"/>
        <v>0.11551836557270168</v>
      </c>
      <c r="F90" s="47">
        <v>45228</v>
      </c>
      <c r="G90" s="16">
        <v>4358.34</v>
      </c>
      <c r="H90" s="119">
        <f>Table2[[#This Row],[Price]]/G91-1</f>
        <v>5.852522362576118E-2</v>
      </c>
      <c r="J90" s="46"/>
      <c r="K90" s="117" t="s">
        <v>295</v>
      </c>
      <c r="L90">
        <v>40.81</v>
      </c>
      <c r="M90" s="119">
        <f>Table5[[#This Row],[Price]]/L91-1</f>
        <v>8.105960264900669E-2</v>
      </c>
      <c r="N90" s="16"/>
      <c r="P90" s="46" t="s">
        <v>295</v>
      </c>
      <c r="Q90">
        <v>126.34</v>
      </c>
      <c r="R90" s="119">
        <f>Table6[[#This Row],[Price]]/Q91-1</f>
        <v>5.7769591426657829E-2</v>
      </c>
      <c r="U90" s="46" t="s">
        <v>295</v>
      </c>
      <c r="V90">
        <v>150.71</v>
      </c>
      <c r="W90" s="119">
        <f>Table8[[#This Row],[Price]]/V91-1</f>
        <v>5.7688258825180805E-2</v>
      </c>
      <c r="Z90" s="46" t="s">
        <v>295</v>
      </c>
      <c r="AA90">
        <v>361.94</v>
      </c>
      <c r="AB90" s="119">
        <f>Table9[[#This Row],[Price]]/AA91-1</f>
        <v>6.2654139753376414E-2</v>
      </c>
      <c r="AE90" s="46" t="s">
        <v>295</v>
      </c>
      <c r="AF90">
        <v>35.92</v>
      </c>
      <c r="AG90" s="119">
        <f>Table10[[#This Row],[Price]]/AF91-1</f>
        <v>0.13563073031931716</v>
      </c>
    </row>
    <row r="91" spans="1:33">
      <c r="A91" s="117">
        <v>45221</v>
      </c>
      <c r="B91">
        <v>92.02</v>
      </c>
      <c r="C91" s="119">
        <f t="shared" si="1"/>
        <v>-2.3038539123049206E-2</v>
      </c>
      <c r="F91" s="47">
        <v>45221</v>
      </c>
      <c r="G91" s="16">
        <v>4117.37</v>
      </c>
      <c r="H91" s="119">
        <f>Table2[[#This Row],[Price]]/G92-1</f>
        <v>-2.5280765880080325E-2</v>
      </c>
      <c r="J91" s="47"/>
      <c r="K91" s="117" t="s">
        <v>296</v>
      </c>
      <c r="L91">
        <v>37.75</v>
      </c>
      <c r="M91" s="119">
        <f>Table5[[#This Row],[Price]]/L92-1</f>
        <v>3.0576030576030533E-2</v>
      </c>
      <c r="N91" s="16"/>
      <c r="P91" s="46" t="s">
        <v>296</v>
      </c>
      <c r="Q91">
        <v>119.44</v>
      </c>
      <c r="R91" s="119">
        <f>Table6[[#This Row],[Price]]/Q92-1</f>
        <v>-4.2517715714881499E-3</v>
      </c>
      <c r="U91" s="46" t="s">
        <v>296</v>
      </c>
      <c r="V91">
        <v>142.49</v>
      </c>
      <c r="W91" s="119">
        <f>Table8[[#This Row],[Price]]/V92-1</f>
        <v>1.2938082035970799E-2</v>
      </c>
      <c r="Z91" s="46" t="s">
        <v>296</v>
      </c>
      <c r="AA91">
        <v>340.6</v>
      </c>
      <c r="AB91" s="119">
        <f>Table9[[#This Row],[Price]]/AA92-1</f>
        <v>-2.0391728263683073E-2</v>
      </c>
      <c r="AE91" s="46" t="s">
        <v>296</v>
      </c>
      <c r="AF91">
        <v>31.63</v>
      </c>
      <c r="AG91" s="119">
        <f>Table10[[#This Row],[Price]]/AF92-1</f>
        <v>-4.1515151515151505E-2</v>
      </c>
    </row>
    <row r="92" spans="1:33">
      <c r="A92" s="117">
        <v>45214</v>
      </c>
      <c r="B92">
        <v>94.19</v>
      </c>
      <c r="C92" s="119">
        <f t="shared" si="1"/>
        <v>2.9623961521644038E-2</v>
      </c>
      <c r="F92" s="47">
        <v>45214</v>
      </c>
      <c r="G92" s="16">
        <v>4224.16</v>
      </c>
      <c r="H92" s="119">
        <f>Table2[[#This Row],[Price]]/G93-1</f>
        <v>-2.3942991556872073E-2</v>
      </c>
      <c r="J92" s="47"/>
      <c r="K92" s="117" t="s">
        <v>297</v>
      </c>
      <c r="L92">
        <v>36.630000000000003</v>
      </c>
      <c r="M92" s="119">
        <f>Table5[[#This Row],[Price]]/L93-1</f>
        <v>2.806623631770977E-2</v>
      </c>
      <c r="N92" s="16"/>
      <c r="P92" s="46" t="s">
        <v>297</v>
      </c>
      <c r="Q92">
        <v>119.95</v>
      </c>
      <c r="R92" s="119">
        <f>Table6[[#This Row],[Price]]/Q93-1</f>
        <v>2.6266255989048748E-2</v>
      </c>
      <c r="U92" s="46" t="s">
        <v>297</v>
      </c>
      <c r="V92">
        <v>140.66999999999999</v>
      </c>
      <c r="W92" s="119">
        <f>Table8[[#This Row],[Price]]/V93-1</f>
        <v>4.9776119402984875E-2</v>
      </c>
      <c r="Z92" s="46" t="s">
        <v>297</v>
      </c>
      <c r="AA92">
        <v>347.69</v>
      </c>
      <c r="AB92" s="119">
        <f>Table9[[#This Row],[Price]]/AA93-1</f>
        <v>2.5374124160202349E-3</v>
      </c>
      <c r="AE92" s="46" t="s">
        <v>297</v>
      </c>
      <c r="AF92">
        <v>33</v>
      </c>
      <c r="AG92" s="119">
        <f>Table10[[#This Row],[Price]]/AF93-1</f>
        <v>-4.2245021122511162E-3</v>
      </c>
    </row>
    <row r="93" spans="1:33">
      <c r="A93" s="117">
        <v>45148</v>
      </c>
      <c r="B93">
        <v>91.48</v>
      </c>
      <c r="C93" s="119">
        <f t="shared" si="1"/>
        <v>-1.4754981152396263E-2</v>
      </c>
      <c r="F93" s="47">
        <v>45148</v>
      </c>
      <c r="G93" s="16">
        <v>4327.78</v>
      </c>
      <c r="H93" s="119">
        <f>Table2[[#This Row],[Price]]/G94-1</f>
        <v>4.4748752466055031E-3</v>
      </c>
      <c r="J93" s="46"/>
      <c r="K93" s="117">
        <v>45148</v>
      </c>
      <c r="L93">
        <v>35.630000000000003</v>
      </c>
      <c r="M93" s="119">
        <f>Table5[[#This Row],[Price]]/L94-1</f>
        <v>-2.2496570644718772E-2</v>
      </c>
      <c r="N93" s="16"/>
      <c r="P93" s="47">
        <v>45148</v>
      </c>
      <c r="Q93">
        <v>116.88</v>
      </c>
      <c r="R93" s="119">
        <f>Table6[[#This Row],[Price]]/Q94-1</f>
        <v>-2.1597187343043722E-2</v>
      </c>
      <c r="U93" s="47">
        <v>45148</v>
      </c>
      <c r="V93">
        <v>134</v>
      </c>
      <c r="W93" s="119">
        <f>Table8[[#This Row],[Price]]/V94-1</f>
        <v>-2.1469256608733778E-2</v>
      </c>
      <c r="Z93" s="47">
        <v>45148</v>
      </c>
      <c r="AA93">
        <v>346.81</v>
      </c>
      <c r="AB93" s="119">
        <f>Table9[[#This Row],[Price]]/AA94-1</f>
        <v>1.5370652301206267E-2</v>
      </c>
      <c r="AE93" s="47">
        <v>45148</v>
      </c>
      <c r="AF93">
        <v>33.14</v>
      </c>
      <c r="AG93" s="119">
        <f>Table10[[#This Row],[Price]]/AF94-1</f>
        <v>4.8402404302436031E-2</v>
      </c>
    </row>
    <row r="94" spans="1:33">
      <c r="A94" s="117">
        <v>44936</v>
      </c>
      <c r="B94">
        <v>92.85</v>
      </c>
      <c r="C94" s="119">
        <f t="shared" si="1"/>
        <v>1.731127424126222E-2</v>
      </c>
      <c r="F94" s="47">
        <v>44936</v>
      </c>
      <c r="G94" s="16">
        <v>4308.5</v>
      </c>
      <c r="H94" s="119">
        <f>Table2[[#This Row],[Price]]/G95-1</f>
        <v>4.7690675248655001E-3</v>
      </c>
      <c r="J94" s="46"/>
      <c r="K94" s="117">
        <v>44936</v>
      </c>
      <c r="L94">
        <v>36.450000000000003</v>
      </c>
      <c r="M94" s="119">
        <f>Table5[[#This Row],[Price]]/L95-1</f>
        <v>-5.1855895196506463E-3</v>
      </c>
      <c r="N94" s="16"/>
      <c r="P94" s="47">
        <v>44936</v>
      </c>
      <c r="Q94">
        <v>119.46</v>
      </c>
      <c r="R94" s="119">
        <f>Table6[[#This Row],[Price]]/Q95-1</f>
        <v>-4.3861053305586761E-2</v>
      </c>
      <c r="U94" s="47">
        <v>44936</v>
      </c>
      <c r="V94">
        <v>136.94</v>
      </c>
      <c r="W94" s="119">
        <f>Table8[[#This Row],[Price]]/V95-1</f>
        <v>-4.3848624493785793E-2</v>
      </c>
      <c r="Z94" s="47">
        <v>44936</v>
      </c>
      <c r="AA94">
        <v>341.56</v>
      </c>
      <c r="AB94" s="119">
        <f>Table9[[#This Row],[Price]]/AA95-1</f>
        <v>-9.8286649594762299E-2</v>
      </c>
      <c r="AE94" s="47">
        <v>44936</v>
      </c>
      <c r="AF94">
        <v>31.61</v>
      </c>
      <c r="AG94" s="119">
        <f>Table10[[#This Row],[Price]]/AF95-1</f>
        <v>3.1994776363042821E-2</v>
      </c>
    </row>
    <row r="95" spans="1:33">
      <c r="A95" s="117">
        <v>45193</v>
      </c>
      <c r="B95">
        <v>91.27</v>
      </c>
      <c r="C95" s="119">
        <f t="shared" si="1"/>
        <v>-2.5725875320239178E-2</v>
      </c>
      <c r="F95" s="47">
        <v>45193</v>
      </c>
      <c r="G95" s="16">
        <v>4288.05</v>
      </c>
      <c r="H95" s="119">
        <f>Table2[[#This Row],[Price]]/G96-1</f>
        <v>-7.4096193108429409E-3</v>
      </c>
      <c r="J95" s="46"/>
      <c r="K95" s="117" t="s">
        <v>298</v>
      </c>
      <c r="L95">
        <v>36.64</v>
      </c>
      <c r="M95" s="119">
        <f>Table5[[#This Row],[Price]]/L96-1</f>
        <v>-2.3193814982671257E-2</v>
      </c>
      <c r="N95" s="16"/>
      <c r="P95" s="46" t="s">
        <v>298</v>
      </c>
      <c r="Q95">
        <v>124.94</v>
      </c>
      <c r="R95" s="119">
        <f>Table6[[#This Row],[Price]]/Q96-1</f>
        <v>-4.8000000000003595E-4</v>
      </c>
      <c r="U95" s="46" t="s">
        <v>298</v>
      </c>
      <c r="V95">
        <v>143.22</v>
      </c>
      <c r="W95" s="119">
        <f>Table8[[#This Row],[Price]]/V96-1</f>
        <v>-1.9512195121951237E-3</v>
      </c>
      <c r="Z95" s="46" t="s">
        <v>298</v>
      </c>
      <c r="AA95">
        <v>378.79</v>
      </c>
      <c r="AB95" s="119">
        <f>Table9[[#This Row],[Price]]/AA96-1</f>
        <v>-6.7129933132292763E-3</v>
      </c>
      <c r="AE95" s="46" t="s">
        <v>298</v>
      </c>
      <c r="AF95">
        <v>30.63</v>
      </c>
      <c r="AG95" s="119">
        <f>Table10[[#This Row],[Price]]/AF96-1</f>
        <v>-8.4169634185821129E-3</v>
      </c>
    </row>
    <row r="96" spans="1:33">
      <c r="A96" s="117">
        <v>45186</v>
      </c>
      <c r="B96">
        <v>93.68</v>
      </c>
      <c r="C96" s="119">
        <f t="shared" si="1"/>
        <v>-2.6499012781876718E-2</v>
      </c>
      <c r="F96" s="47">
        <v>45186</v>
      </c>
      <c r="G96" s="16">
        <v>4320.0600000000004</v>
      </c>
      <c r="H96" s="119">
        <f>Table2[[#This Row],[Price]]/G97-1</f>
        <v>-2.9269805317370334E-2</v>
      </c>
      <c r="J96" s="47"/>
      <c r="K96" s="117" t="s">
        <v>299</v>
      </c>
      <c r="L96">
        <v>37.51</v>
      </c>
      <c r="M96" s="119">
        <f>Table5[[#This Row],[Price]]/L97-1</f>
        <v>-1.934640522875819E-2</v>
      </c>
      <c r="N96" s="16"/>
      <c r="P96" s="46" t="s">
        <v>299</v>
      </c>
      <c r="Q96">
        <v>125</v>
      </c>
      <c r="R96" s="119">
        <f>Table6[[#This Row],[Price]]/Q97-1</f>
        <v>-2.3361200093757306E-2</v>
      </c>
      <c r="U96" s="46" t="s">
        <v>299</v>
      </c>
      <c r="V96">
        <v>143.5</v>
      </c>
      <c r="W96" s="119">
        <f>Table8[[#This Row],[Price]]/V97-1</f>
        <v>-4.3715846994535568E-2</v>
      </c>
      <c r="Z96" s="46" t="s">
        <v>299</v>
      </c>
      <c r="AA96">
        <v>381.35</v>
      </c>
      <c r="AB96" s="119">
        <f>Table9[[#This Row],[Price]]/AA97-1</f>
        <v>-1.8353583196046075E-2</v>
      </c>
      <c r="AE96" s="46" t="s">
        <v>299</v>
      </c>
      <c r="AF96">
        <v>30.89</v>
      </c>
      <c r="AG96" s="119">
        <f>Table10[[#This Row],[Price]]/AF97-1</f>
        <v>-0.12789384528514969</v>
      </c>
    </row>
    <row r="97" spans="1:33">
      <c r="A97" s="117">
        <v>45208</v>
      </c>
      <c r="B97">
        <v>96.23</v>
      </c>
      <c r="C97" s="119">
        <f t="shared" si="1"/>
        <v>9.9706129303107627E-3</v>
      </c>
      <c r="F97" s="47">
        <v>45208</v>
      </c>
      <c r="G97" s="16">
        <v>4450.32</v>
      </c>
      <c r="H97" s="119">
        <f>Table2[[#This Row],[Price]]/G98-1</f>
        <v>-1.6085285665251581E-3</v>
      </c>
      <c r="J97" s="46"/>
      <c r="K97" s="117">
        <v>45208</v>
      </c>
      <c r="L97">
        <v>38.25</v>
      </c>
      <c r="M97" s="119">
        <f>Table5[[#This Row],[Price]]/L98-1</f>
        <v>-1.6709511568123392E-2</v>
      </c>
      <c r="N97" s="16"/>
      <c r="P97" s="47">
        <v>45208</v>
      </c>
      <c r="Q97">
        <v>127.99</v>
      </c>
      <c r="R97" s="119">
        <f>Table6[[#This Row],[Price]]/Q98-1</f>
        <v>1.1538765510155535E-2</v>
      </c>
      <c r="U97" s="47">
        <v>45208</v>
      </c>
      <c r="V97">
        <v>150.06</v>
      </c>
      <c r="W97" s="119">
        <f>Table8[[#This Row],[Price]]/V98-1</f>
        <v>4.1488222698073951E-3</v>
      </c>
      <c r="Z97" s="47">
        <v>45208</v>
      </c>
      <c r="AA97">
        <v>388.48</v>
      </c>
      <c r="AB97" s="119">
        <f>Table9[[#This Row],[Price]]/AA98-1</f>
        <v>2.8654774504994762E-3</v>
      </c>
      <c r="AE97" s="47">
        <v>45208</v>
      </c>
      <c r="AF97">
        <v>35.42</v>
      </c>
      <c r="AG97" s="119">
        <f>Table10[[#This Row],[Price]]/AF98-1</f>
        <v>-9.5967330270546158E-2</v>
      </c>
    </row>
    <row r="98" spans="1:33">
      <c r="A98" s="117">
        <v>44994</v>
      </c>
      <c r="B98">
        <v>95.28</v>
      </c>
      <c r="C98" s="119">
        <f t="shared" si="1"/>
        <v>-2.7755102040816326E-2</v>
      </c>
      <c r="F98" s="47">
        <v>44994</v>
      </c>
      <c r="G98" s="16">
        <v>4457.49</v>
      </c>
      <c r="H98" s="119">
        <f>Table2[[#This Row],[Price]]/G99-1</f>
        <v>-1.290588316056851E-2</v>
      </c>
      <c r="J98" s="46"/>
      <c r="K98" s="117">
        <v>44994</v>
      </c>
      <c r="L98">
        <v>38.9</v>
      </c>
      <c r="M98" s="119">
        <f>Table5[[#This Row],[Price]]/L99-1</f>
        <v>3.3531080732522867E-3</v>
      </c>
      <c r="N98" s="16"/>
      <c r="P98" s="47">
        <v>44994</v>
      </c>
      <c r="Q98">
        <v>126.53</v>
      </c>
      <c r="R98" s="119">
        <f>Table6[[#This Row],[Price]]/Q99-1</f>
        <v>-2.3989509410675569E-2</v>
      </c>
      <c r="U98" s="47">
        <v>44994</v>
      </c>
      <c r="V98">
        <v>149.44</v>
      </c>
      <c r="W98" s="119">
        <f>Table8[[#This Row],[Price]]/V99-1</f>
        <v>-3.9341733093340214E-2</v>
      </c>
      <c r="Z98" s="47">
        <v>44994</v>
      </c>
      <c r="AA98">
        <v>387.37</v>
      </c>
      <c r="AB98" s="119">
        <f>Table9[[#This Row],[Price]]/AA99-1</f>
        <v>-9.6384926113411984E-3</v>
      </c>
      <c r="AE98" s="47">
        <v>44994</v>
      </c>
      <c r="AF98">
        <v>39.18</v>
      </c>
      <c r="AG98" s="119">
        <f>Table10[[#This Row],[Price]]/AF99-1</f>
        <v>-0.10588772250114109</v>
      </c>
    </row>
    <row r="99" spans="1:33">
      <c r="A99" s="117">
        <v>45165</v>
      </c>
      <c r="B99">
        <v>98</v>
      </c>
      <c r="C99" s="119">
        <f t="shared" si="1"/>
        <v>2.6392961876832821E-2</v>
      </c>
      <c r="F99" s="47">
        <v>45165</v>
      </c>
      <c r="G99" s="16">
        <v>4515.7700000000004</v>
      </c>
      <c r="H99" s="119">
        <f>Table2[[#This Row],[Price]]/G100-1</f>
        <v>2.4981217556307778E-2</v>
      </c>
      <c r="J99" s="46"/>
      <c r="K99" s="117" t="s">
        <v>300</v>
      </c>
      <c r="L99">
        <v>38.770000000000003</v>
      </c>
      <c r="M99" s="119">
        <f>Table5[[#This Row],[Price]]/L100-1</f>
        <v>3.276505061267998E-2</v>
      </c>
      <c r="N99" s="16"/>
      <c r="P99" s="46" t="s">
        <v>300</v>
      </c>
      <c r="Q99">
        <v>129.63999999999999</v>
      </c>
      <c r="R99" s="119">
        <f>Table6[[#This Row],[Price]]/Q100-1</f>
        <v>-7.7077231385869194E-4</v>
      </c>
      <c r="U99" s="46" t="s">
        <v>300</v>
      </c>
      <c r="V99">
        <v>155.56</v>
      </c>
      <c r="W99" s="119">
        <f>Table8[[#This Row],[Price]]/V100-1</f>
        <v>-2.7565869607026894E-3</v>
      </c>
      <c r="Z99" s="46" t="s">
        <v>300</v>
      </c>
      <c r="AA99">
        <v>391.14</v>
      </c>
      <c r="AB99" s="119">
        <f>Table9[[#This Row],[Price]]/AA100-1</f>
        <v>2.7369195209077324E-2</v>
      </c>
      <c r="AE99" s="46" t="s">
        <v>300</v>
      </c>
      <c r="AF99">
        <v>43.82</v>
      </c>
      <c r="AG99" s="119">
        <f>Table10[[#This Row],[Price]]/AF100-1</f>
        <v>5.2859202306583475E-2</v>
      </c>
    </row>
    <row r="100" spans="1:33">
      <c r="A100" s="117">
        <v>45158</v>
      </c>
      <c r="B100">
        <v>95.48</v>
      </c>
      <c r="C100" s="119">
        <f t="shared" si="1"/>
        <v>-1.7998560115190743E-2</v>
      </c>
      <c r="F100" s="47">
        <v>45158</v>
      </c>
      <c r="G100" s="16">
        <v>4405.71</v>
      </c>
      <c r="H100" s="119">
        <f>Table2[[#This Row],[Price]]/G101-1</f>
        <v>8.2385329918919226E-3</v>
      </c>
      <c r="J100" s="47"/>
      <c r="K100" s="117" t="s">
        <v>301</v>
      </c>
      <c r="L100">
        <v>37.54</v>
      </c>
      <c r="M100" s="119">
        <f>Table5[[#This Row],[Price]]/L101-1</f>
        <v>1.5143320713899566E-2</v>
      </c>
      <c r="N100" s="16"/>
      <c r="P100" s="46" t="s">
        <v>301</v>
      </c>
      <c r="Q100">
        <v>129.74</v>
      </c>
      <c r="R100" s="119">
        <f>Table6[[#This Row],[Price]]/Q101-1</f>
        <v>4.801734820322201E-3</v>
      </c>
      <c r="U100" s="46" t="s">
        <v>301</v>
      </c>
      <c r="V100">
        <v>155.99</v>
      </c>
      <c r="W100" s="119">
        <f>Table8[[#This Row],[Price]]/V101-1</f>
        <v>-1.5649649775982821E-2</v>
      </c>
      <c r="Z100" s="46" t="s">
        <v>301</v>
      </c>
      <c r="AA100">
        <v>380.72</v>
      </c>
      <c r="AB100" s="119">
        <f>Table9[[#This Row],[Price]]/AA101-1</f>
        <v>4.9890452181717837E-3</v>
      </c>
      <c r="AE100" s="46" t="s">
        <v>301</v>
      </c>
      <c r="AF100">
        <v>41.62</v>
      </c>
      <c r="AG100" s="119">
        <f>Table10[[#This Row],[Price]]/AF101-1</f>
        <v>-3.4562746462537763E-2</v>
      </c>
    </row>
    <row r="101" spans="1:33">
      <c r="A101" s="117">
        <v>45151</v>
      </c>
      <c r="B101">
        <v>97.23</v>
      </c>
      <c r="C101" s="119">
        <f t="shared" si="1"/>
        <v>-3.7231409050400899E-2</v>
      </c>
      <c r="F101" s="47">
        <v>45151</v>
      </c>
      <c r="G101" s="16">
        <v>4369.71</v>
      </c>
      <c r="H101" s="119">
        <f>Table2[[#This Row],[Price]]/G102-1</f>
        <v>-2.1133275836964227E-2</v>
      </c>
      <c r="J101" s="47"/>
      <c r="K101" s="117" t="s">
        <v>302</v>
      </c>
      <c r="L101">
        <v>36.979999999999997</v>
      </c>
      <c r="M101" s="119">
        <f>Table5[[#This Row],[Price]]/L102-1</f>
        <v>1.3539128080151119E-3</v>
      </c>
      <c r="N101" s="16"/>
      <c r="P101" s="46" t="s">
        <v>302</v>
      </c>
      <c r="Q101">
        <v>129.12</v>
      </c>
      <c r="R101" s="119">
        <f>Table6[[#This Row],[Price]]/Q102-1</f>
        <v>-3.7853949329359038E-2</v>
      </c>
      <c r="U101" s="46" t="s">
        <v>302</v>
      </c>
      <c r="V101">
        <v>158.47</v>
      </c>
      <c r="W101" s="119">
        <f>Table8[[#This Row],[Price]]/V102-1</f>
        <v>-1.2586453984671953E-2</v>
      </c>
      <c r="Z101" s="46" t="s">
        <v>302</v>
      </c>
      <c r="AA101">
        <v>378.83</v>
      </c>
      <c r="AB101" s="119">
        <f>Table9[[#This Row],[Price]]/AA102-1</f>
        <v>-3.8917218459040614E-2</v>
      </c>
      <c r="AE101" s="46" t="s">
        <v>302</v>
      </c>
      <c r="AF101">
        <v>43.11</v>
      </c>
      <c r="AG101" s="119">
        <f>Table10[[#This Row],[Price]]/AF102-1</f>
        <v>-0.1107673267326732</v>
      </c>
    </row>
    <row r="102" spans="1:33">
      <c r="A102" s="117">
        <v>45085</v>
      </c>
      <c r="B102">
        <v>100.99</v>
      </c>
      <c r="C102" s="119">
        <f t="shared" si="1"/>
        <v>3.0790623758440994E-3</v>
      </c>
      <c r="F102" s="47">
        <v>45085</v>
      </c>
      <c r="G102" s="16">
        <v>4464.05</v>
      </c>
      <c r="H102" s="119">
        <f>Table2[[#This Row],[Price]]/G103-1</f>
        <v>-3.1219085178079142E-3</v>
      </c>
      <c r="J102" s="46"/>
      <c r="K102" s="117">
        <v>45085</v>
      </c>
      <c r="L102">
        <v>36.93</v>
      </c>
      <c r="M102" s="119">
        <f>Table5[[#This Row],[Price]]/L103-1</f>
        <v>-2.3274266067178084E-2</v>
      </c>
      <c r="N102" s="16"/>
      <c r="P102" s="47">
        <v>45085</v>
      </c>
      <c r="Q102">
        <v>134.19999999999999</v>
      </c>
      <c r="R102" s="119">
        <f>Table6[[#This Row],[Price]]/Q103-1</f>
        <v>-1.1164867882397234E-3</v>
      </c>
      <c r="U102" s="47">
        <v>45085</v>
      </c>
      <c r="V102">
        <v>160.49</v>
      </c>
      <c r="W102" s="119">
        <f>Table8[[#This Row],[Price]]/V103-1</f>
        <v>-1.2065250846414188E-2</v>
      </c>
      <c r="Z102" s="47">
        <v>45085</v>
      </c>
      <c r="AA102">
        <v>394.17</v>
      </c>
      <c r="AB102" s="119">
        <f>Table9[[#This Row],[Price]]/AA103-1</f>
        <v>-3.009915014164255E-3</v>
      </c>
      <c r="AE102" s="47">
        <v>45085</v>
      </c>
      <c r="AF102">
        <v>48.48</v>
      </c>
      <c r="AG102" s="119">
        <f>Table10[[#This Row],[Price]]/AF103-1</f>
        <v>-9.281437125748504E-2</v>
      </c>
    </row>
    <row r="103" spans="1:33">
      <c r="A103" s="117">
        <v>45137</v>
      </c>
      <c r="B103">
        <v>100.68</v>
      </c>
      <c r="C103" s="119">
        <f t="shared" si="1"/>
        <v>-5.6296296296295401E-3</v>
      </c>
      <c r="F103" s="47">
        <v>45137</v>
      </c>
      <c r="G103" s="16">
        <v>4478.03</v>
      </c>
      <c r="H103" s="119">
        <f>Table2[[#This Row],[Price]]/G104-1</f>
        <v>-2.2740019597444872E-2</v>
      </c>
      <c r="J103" s="46"/>
      <c r="K103" s="117" t="s">
        <v>303</v>
      </c>
      <c r="L103">
        <v>37.81</v>
      </c>
      <c r="M103" s="119">
        <f>Table5[[#This Row],[Price]]/L104-1</f>
        <v>-1.1503267973856146E-2</v>
      </c>
      <c r="N103" s="16"/>
      <c r="P103" s="46" t="s">
        <v>303</v>
      </c>
      <c r="Q103">
        <v>134.35</v>
      </c>
      <c r="R103" s="119">
        <f>Table6[[#This Row],[Price]]/Q104-1</f>
        <v>-1.891339272674164E-2</v>
      </c>
      <c r="U103" s="46" t="s">
        <v>303</v>
      </c>
      <c r="V103">
        <v>162.44999999999999</v>
      </c>
      <c r="W103" s="119">
        <f>Table8[[#This Row],[Price]]/V104-1</f>
        <v>-3.0265042979942813E-2</v>
      </c>
      <c r="Z103" s="46" t="s">
        <v>303</v>
      </c>
      <c r="AA103">
        <v>395.36</v>
      </c>
      <c r="AB103" s="119">
        <f>Table9[[#This Row],[Price]]/AA104-1</f>
        <v>-1.3769706645380131E-2</v>
      </c>
      <c r="AE103" s="46" t="s">
        <v>303</v>
      </c>
      <c r="AF103">
        <v>53.44</v>
      </c>
      <c r="AG103" s="119">
        <f>Table10[[#This Row],[Price]]/AF104-1</f>
        <v>1.0017010017010053E-2</v>
      </c>
    </row>
    <row r="104" spans="1:33">
      <c r="A104" s="117">
        <v>45130</v>
      </c>
      <c r="B104">
        <v>101.25</v>
      </c>
      <c r="C104" s="119">
        <f t="shared" si="1"/>
        <v>-1.5269402839914403E-2</v>
      </c>
      <c r="F104" s="47">
        <v>45130</v>
      </c>
      <c r="G104" s="16">
        <v>4582.2299999999996</v>
      </c>
      <c r="H104" s="119">
        <f>Table2[[#This Row],[Price]]/G105-1</f>
        <v>1.0116084773187151E-2</v>
      </c>
      <c r="J104" s="47"/>
      <c r="K104" s="117" t="s">
        <v>304</v>
      </c>
      <c r="L104">
        <v>38.25</v>
      </c>
      <c r="M104" s="119">
        <f>Table5[[#This Row],[Price]]/L105-1</f>
        <v>-8.8851834206765012E-2</v>
      </c>
      <c r="N104" s="16"/>
      <c r="P104" s="46" t="s">
        <v>304</v>
      </c>
      <c r="Q104">
        <v>136.94</v>
      </c>
      <c r="R104" s="119">
        <f>Table6[[#This Row],[Price]]/Q105-1</f>
        <v>-4.362367311327553E-3</v>
      </c>
      <c r="U104" s="46" t="s">
        <v>304</v>
      </c>
      <c r="V104">
        <v>167.52</v>
      </c>
      <c r="W104" s="119">
        <f>Table8[[#This Row],[Price]]/V105-1</f>
        <v>-1.6728297235428791E-2</v>
      </c>
      <c r="Z104" s="46" t="s">
        <v>304</v>
      </c>
      <c r="AA104">
        <v>400.88</v>
      </c>
      <c r="AB104" s="119">
        <f>Table9[[#This Row],[Price]]/AA105-1</f>
        <v>4.005811540058124E-2</v>
      </c>
      <c r="AE104" s="46" t="s">
        <v>304</v>
      </c>
      <c r="AF104">
        <v>52.91</v>
      </c>
      <c r="AG104" s="119">
        <f>Table10[[#This Row],[Price]]/AF105-1</f>
        <v>8.4665846658466437E-2</v>
      </c>
    </row>
    <row r="105" spans="1:33">
      <c r="A105" s="117">
        <v>45123</v>
      </c>
      <c r="B105">
        <v>102.82</v>
      </c>
      <c r="C105" s="119">
        <f t="shared" si="1"/>
        <v>1.1908276744414747E-2</v>
      </c>
      <c r="F105" s="47">
        <v>45123</v>
      </c>
      <c r="G105" s="16">
        <v>4536.34</v>
      </c>
      <c r="H105" s="119">
        <f>Table2[[#This Row],[Price]]/G106-1</f>
        <v>6.8628451953425262E-3</v>
      </c>
      <c r="J105" s="47"/>
      <c r="K105" s="117" t="s">
        <v>305</v>
      </c>
      <c r="L105">
        <v>41.98</v>
      </c>
      <c r="M105" s="119">
        <f>Table5[[#This Row],[Price]]/L106-1</f>
        <v>2.0914396887159459E-2</v>
      </c>
      <c r="N105" s="16"/>
      <c r="P105" s="46" t="s">
        <v>305</v>
      </c>
      <c r="Q105">
        <v>137.54</v>
      </c>
      <c r="R105" s="119">
        <f>Table6[[#This Row],[Price]]/Q106-1</f>
        <v>1.4606078489229679E-2</v>
      </c>
      <c r="U105" s="46" t="s">
        <v>305</v>
      </c>
      <c r="V105">
        <v>170.37</v>
      </c>
      <c r="W105" s="119">
        <f>Table8[[#This Row],[Price]]/V106-1</f>
        <v>1.749880554228378E-2</v>
      </c>
      <c r="Z105" s="46" t="s">
        <v>305</v>
      </c>
      <c r="AA105">
        <v>385.44</v>
      </c>
      <c r="AB105" s="119">
        <f>Table9[[#This Row],[Price]]/AA106-1</f>
        <v>2.027764779285457E-3</v>
      </c>
      <c r="AE105" s="46" t="s">
        <v>305</v>
      </c>
      <c r="AF105">
        <v>48.78</v>
      </c>
      <c r="AG105" s="119">
        <f>Table10[[#This Row],[Price]]/AF106-1</f>
        <v>2.328508495909376E-2</v>
      </c>
    </row>
    <row r="106" spans="1:33">
      <c r="A106" s="117">
        <v>45176</v>
      </c>
      <c r="B106">
        <v>101.61</v>
      </c>
      <c r="C106" s="119">
        <f t="shared" si="1"/>
        <v>5.7886517438833884E-2</v>
      </c>
      <c r="F106" s="47">
        <v>45176</v>
      </c>
      <c r="G106" s="16">
        <v>4505.42</v>
      </c>
      <c r="H106" s="119">
        <f>Table2[[#This Row],[Price]]/G107-1</f>
        <v>2.4203503108696456E-2</v>
      </c>
      <c r="J106" s="46"/>
      <c r="K106" s="117">
        <v>45176</v>
      </c>
      <c r="L106">
        <v>41.12</v>
      </c>
      <c r="M106" s="119">
        <f>Table5[[#This Row],[Price]]/L107-1</f>
        <v>-1.0348977135980708E-2</v>
      </c>
      <c r="N106" s="16"/>
      <c r="P106" s="47">
        <v>45176</v>
      </c>
      <c r="Q106">
        <v>135.56</v>
      </c>
      <c r="R106" s="119">
        <f>Table6[[#This Row],[Price]]/Q107-1</f>
        <v>1.5811165230423585E-2</v>
      </c>
      <c r="U106" s="47">
        <v>45176</v>
      </c>
      <c r="V106">
        <v>167.44</v>
      </c>
      <c r="W106" s="119">
        <f>Table8[[#This Row],[Price]]/V107-1</f>
        <v>2.4411134903640219E-2</v>
      </c>
      <c r="Z106" s="47">
        <v>45176</v>
      </c>
      <c r="AA106">
        <v>384.66</v>
      </c>
      <c r="AB106" s="119">
        <f>Table9[[#This Row],[Price]]/AA107-1</f>
        <v>0.12579021306485605</v>
      </c>
      <c r="AE106" s="47">
        <v>45176</v>
      </c>
      <c r="AF106">
        <v>47.67</v>
      </c>
      <c r="AG106" s="119">
        <f>Table10[[#This Row],[Price]]/AF107-1</f>
        <v>0.20318021201413439</v>
      </c>
    </row>
    <row r="107" spans="1:33">
      <c r="A107" s="117">
        <v>44964</v>
      </c>
      <c r="B107">
        <v>96.05</v>
      </c>
      <c r="C107" s="119">
        <f t="shared" si="1"/>
        <v>-3.038562487381391E-2</v>
      </c>
      <c r="F107" s="47">
        <v>44964</v>
      </c>
      <c r="G107" s="16">
        <v>4398.95</v>
      </c>
      <c r="H107" s="119">
        <f>Table2[[#This Row],[Price]]/G108-1</f>
        <v>-1.1556316539261924E-2</v>
      </c>
      <c r="J107" s="46"/>
      <c r="K107" s="117">
        <v>44964</v>
      </c>
      <c r="L107">
        <v>41.55</v>
      </c>
      <c r="M107" s="119">
        <f>Table5[[#This Row],[Price]]/L108-1</f>
        <v>-2.8751753155680349E-2</v>
      </c>
      <c r="N107" s="16"/>
      <c r="P107" s="47">
        <v>44964</v>
      </c>
      <c r="Q107">
        <v>133.44999999999999</v>
      </c>
      <c r="R107" s="119">
        <f>Table6[[#This Row],[Price]]/Q108-1</f>
        <v>-3.6809815950920366E-2</v>
      </c>
      <c r="U107" s="47">
        <v>44964</v>
      </c>
      <c r="V107">
        <v>163.44999999999999</v>
      </c>
      <c r="W107" s="119">
        <f>Table8[[#This Row],[Price]]/V108-1</f>
        <v>-2.172611922432377E-2</v>
      </c>
      <c r="Z107" s="47">
        <v>44964</v>
      </c>
      <c r="AA107">
        <v>341.68</v>
      </c>
      <c r="AB107" s="119">
        <f>Table9[[#This Row],[Price]]/AA108-1</f>
        <v>1.3917326923647666E-2</v>
      </c>
      <c r="AE107" s="47">
        <v>44964</v>
      </c>
      <c r="AF107">
        <v>39.619999999999997</v>
      </c>
      <c r="AG107" s="119">
        <f>Table10[[#This Row],[Price]]/AF108-1</f>
        <v>-3.2478632478632585E-2</v>
      </c>
    </row>
    <row r="108" spans="1:33">
      <c r="A108" s="117">
        <v>45102</v>
      </c>
      <c r="B108">
        <v>99.06</v>
      </c>
      <c r="C108" s="119">
        <f t="shared" si="1"/>
        <v>7.3215375228798951E-3</v>
      </c>
      <c r="F108" s="47">
        <v>45102</v>
      </c>
      <c r="G108" s="16">
        <v>4450.38</v>
      </c>
      <c r="H108" s="119">
        <f>Table2[[#This Row],[Price]]/G109-1</f>
        <v>2.3468779968401687E-2</v>
      </c>
      <c r="J108" s="46"/>
      <c r="K108" s="117" t="s">
        <v>306</v>
      </c>
      <c r="L108">
        <v>42.78</v>
      </c>
      <c r="M108" s="119">
        <f>Table5[[#This Row],[Price]]/L109-1</f>
        <v>4.6733545387815045E-2</v>
      </c>
      <c r="N108" s="16"/>
      <c r="P108" s="46" t="s">
        <v>306</v>
      </c>
      <c r="Q108">
        <v>138.55000000000001</v>
      </c>
      <c r="R108" s="119">
        <f>Table6[[#This Row],[Price]]/Q109-1</f>
        <v>2.1755162241888115E-2</v>
      </c>
      <c r="U108" s="46" t="s">
        <v>306</v>
      </c>
      <c r="V108">
        <v>167.08</v>
      </c>
      <c r="W108" s="119">
        <f>Table8[[#This Row],[Price]]/V109-1</f>
        <v>3.5833849969001852E-2</v>
      </c>
      <c r="Z108" s="46" t="s">
        <v>306</v>
      </c>
      <c r="AA108">
        <v>336.99</v>
      </c>
      <c r="AB108" s="119">
        <f>Table9[[#This Row],[Price]]/AA109-1</f>
        <v>6.3663910106685151E-2</v>
      </c>
      <c r="AE108" s="46" t="s">
        <v>306</v>
      </c>
      <c r="AF108">
        <v>40.950000000000003</v>
      </c>
      <c r="AG108" s="119">
        <f>Table10[[#This Row],[Price]]/AF109-1</f>
        <v>1.9925280199252882E-2</v>
      </c>
    </row>
    <row r="109" spans="1:33">
      <c r="A109" s="117">
        <v>45095</v>
      </c>
      <c r="B109">
        <v>98.34</v>
      </c>
      <c r="C109" s="119">
        <f t="shared" si="1"/>
        <v>-3.4652007460488909E-2</v>
      </c>
      <c r="F109" s="47">
        <v>45095</v>
      </c>
      <c r="G109" s="16">
        <v>4348.33</v>
      </c>
      <c r="H109" s="119">
        <f>Table2[[#This Row],[Price]]/G110-1</f>
        <v>-1.389244805072587E-2</v>
      </c>
      <c r="J109" s="47"/>
      <c r="K109" s="117" t="s">
        <v>307</v>
      </c>
      <c r="L109">
        <v>40.869999999999997</v>
      </c>
      <c r="M109" s="119">
        <f>Table5[[#This Row],[Price]]/L110-1</f>
        <v>5.1647811116577458E-3</v>
      </c>
      <c r="N109" s="16"/>
      <c r="P109" s="46" t="s">
        <v>307</v>
      </c>
      <c r="Q109">
        <v>135.6</v>
      </c>
      <c r="R109" s="119">
        <f>Table6[[#This Row],[Price]]/Q110-1</f>
        <v>-2.1503824505700764E-2</v>
      </c>
      <c r="U109" s="46" t="s">
        <v>307</v>
      </c>
      <c r="V109">
        <v>161.30000000000001</v>
      </c>
      <c r="W109" s="119">
        <f>Table8[[#This Row],[Price]]/V110-1</f>
        <v>-2.83717848322389E-2</v>
      </c>
      <c r="Z109" s="46" t="s">
        <v>307</v>
      </c>
      <c r="AA109">
        <v>316.82</v>
      </c>
      <c r="AB109" s="119">
        <f>Table9[[#This Row],[Price]]/AA110-1</f>
        <v>-4.402401858724847E-2</v>
      </c>
      <c r="AE109" s="46" t="s">
        <v>307</v>
      </c>
      <c r="AF109">
        <v>40.15</v>
      </c>
    </row>
    <row r="110" spans="1:33">
      <c r="A110" s="117">
        <v>45236</v>
      </c>
      <c r="B110">
        <v>101.87</v>
      </c>
      <c r="C110" s="119">
        <f t="shared" si="1"/>
        <v>3.9914250714577548E-2</v>
      </c>
      <c r="F110" s="47">
        <v>45236</v>
      </c>
      <c r="G110" s="16">
        <v>4409.59</v>
      </c>
      <c r="H110" s="119">
        <f>Table2[[#This Row],[Price]]/G111-1</f>
        <v>2.5757991653601264E-2</v>
      </c>
      <c r="J110" s="46"/>
      <c r="K110" s="117">
        <v>45236</v>
      </c>
      <c r="L110">
        <v>40.659999999999997</v>
      </c>
      <c r="M110" s="119">
        <f>Table5[[#This Row],[Price]]/L111-1</f>
        <v>-3.6755697133057375E-3</v>
      </c>
      <c r="N110" s="16"/>
      <c r="P110" s="47">
        <v>45236</v>
      </c>
      <c r="Q110">
        <v>138.58000000000001</v>
      </c>
      <c r="R110" s="119">
        <f>Table6[[#This Row],[Price]]/Q111-1</f>
        <v>3.8519184652278327E-2</v>
      </c>
      <c r="U110" s="47">
        <v>45236</v>
      </c>
      <c r="V110">
        <v>166.01</v>
      </c>
      <c r="W110" s="119">
        <f>Table8[[#This Row],[Price]]/V111-1</f>
        <v>2.5322710147612781E-2</v>
      </c>
      <c r="Z110" s="47">
        <v>45236</v>
      </c>
      <c r="AA110">
        <v>331.41</v>
      </c>
      <c r="AB110" s="119">
        <f>Table9[[#This Row],[Price]]/AA111-1</f>
        <v>0.11185292045492679</v>
      </c>
      <c r="AE110" s="118" t="s">
        <v>146</v>
      </c>
      <c r="AG110" s="120">
        <f>SLOPE(AG23:AG108,H23:H108)</f>
        <v>2.2083894985507748</v>
      </c>
    </row>
    <row r="111" spans="1:33">
      <c r="A111" s="117">
        <v>45022</v>
      </c>
      <c r="B111">
        <v>97.96</v>
      </c>
      <c r="C111" s="119">
        <f t="shared" si="1"/>
        <v>-1.5477386934673376E-2</v>
      </c>
      <c r="F111" s="47">
        <v>45022</v>
      </c>
      <c r="G111" s="16">
        <v>4298.8599999999997</v>
      </c>
      <c r="H111" s="119">
        <f>Table2[[#This Row],[Price]]/G112-1</f>
        <v>3.8506714739734438E-3</v>
      </c>
      <c r="J111" s="46"/>
      <c r="K111" s="117">
        <v>45022</v>
      </c>
      <c r="L111">
        <v>40.81</v>
      </c>
      <c r="M111" s="119">
        <f>Table5[[#This Row],[Price]]/L112-1</f>
        <v>-1.0426770126091167E-2</v>
      </c>
      <c r="N111" s="16"/>
      <c r="P111" s="47">
        <v>45022</v>
      </c>
      <c r="Q111">
        <v>133.44</v>
      </c>
      <c r="R111" s="119">
        <f>Table6[[#This Row],[Price]]/Q112-1</f>
        <v>-8.1022820188805245E-3</v>
      </c>
      <c r="U111" s="47">
        <v>45022</v>
      </c>
      <c r="V111">
        <v>161.91</v>
      </c>
      <c r="W111" s="119">
        <f>Table8[[#This Row],[Price]]/V112-1</f>
        <v>-1.2984637893196704E-2</v>
      </c>
      <c r="Z111" s="47">
        <v>45022</v>
      </c>
      <c r="AA111">
        <v>298.07</v>
      </c>
      <c r="AB111" s="119">
        <f>Table9[[#This Row],[Price]]/AA112-1</f>
        <v>-1.6887100498037544E-2</v>
      </c>
    </row>
    <row r="112" spans="1:33">
      <c r="A112" s="117">
        <v>45074</v>
      </c>
      <c r="B112">
        <v>99.5</v>
      </c>
      <c r="C112" s="119">
        <f t="shared" si="1"/>
        <v>9.8447173449711656E-3</v>
      </c>
      <c r="F112" s="47">
        <v>45074</v>
      </c>
      <c r="G112" s="16">
        <v>4282.37</v>
      </c>
      <c r="H112" s="119">
        <f>Table2[[#This Row],[Price]]/G113-1</f>
        <v>1.8290551546207956E-2</v>
      </c>
      <c r="J112" s="46"/>
      <c r="K112" s="117" t="s">
        <v>308</v>
      </c>
      <c r="L112">
        <v>41.24</v>
      </c>
      <c r="M112" s="119">
        <f>Table5[[#This Row],[Price]]/L113-1</f>
        <v>-4.3457267020763357E-3</v>
      </c>
      <c r="N112" s="16"/>
      <c r="P112" s="46" t="s">
        <v>308</v>
      </c>
      <c r="Q112">
        <v>134.53</v>
      </c>
      <c r="R112" s="119">
        <f>Table6[[#This Row],[Price]]/Q113-1</f>
        <v>3.5961805020791493E-2</v>
      </c>
      <c r="U112" s="46" t="s">
        <v>308</v>
      </c>
      <c r="V112">
        <v>164.04</v>
      </c>
      <c r="W112" s="119">
        <f>Table8[[#This Row],[Price]]/V113-1</f>
        <v>1.7113095238095122E-2</v>
      </c>
      <c r="Z112" s="46" t="s">
        <v>308</v>
      </c>
      <c r="AA112">
        <v>303.19</v>
      </c>
      <c r="AB112" s="119">
        <f>Table9[[#This Row],[Price]]/AA113-1</f>
        <v>1.1206350265150267E-2</v>
      </c>
    </row>
    <row r="113" spans="1:28">
      <c r="A113" s="117">
        <v>45067</v>
      </c>
      <c r="B113">
        <v>98.53</v>
      </c>
      <c r="C113" s="119">
        <f t="shared" si="1"/>
        <v>-6.6154866837266679E-2</v>
      </c>
      <c r="F113" s="47">
        <v>45067</v>
      </c>
      <c r="G113" s="16">
        <v>4205.45</v>
      </c>
      <c r="H113" s="119">
        <f>Table2[[#This Row],[Price]]/G114-1</f>
        <v>3.2132786893068754E-3</v>
      </c>
      <c r="J113" s="47"/>
      <c r="K113" s="117" t="s">
        <v>309</v>
      </c>
      <c r="L113">
        <v>41.42</v>
      </c>
      <c r="M113" s="119">
        <f>Table5[[#This Row],[Price]]/L114-1</f>
        <v>-1.6619183285849881E-2</v>
      </c>
      <c r="N113" s="16"/>
      <c r="P113" s="46" t="s">
        <v>309</v>
      </c>
      <c r="Q113">
        <v>129.86000000000001</v>
      </c>
      <c r="R113" s="119">
        <f>Table6[[#This Row],[Price]]/Q114-1</f>
        <v>-6.0890945906855509E-2</v>
      </c>
      <c r="U113" s="46" t="s">
        <v>309</v>
      </c>
      <c r="V113">
        <v>161.28</v>
      </c>
      <c r="W113" s="119">
        <f>Table8[[#This Row],[Price]]/V114-1</f>
        <v>-8.0540239142556924E-4</v>
      </c>
      <c r="Z113" s="46" t="s">
        <v>309</v>
      </c>
      <c r="AA113">
        <v>299.83</v>
      </c>
      <c r="AB113" s="119">
        <f>Table9[[#This Row],[Price]]/AA114-1</f>
        <v>-4.0421173910260455E-2</v>
      </c>
    </row>
    <row r="114" spans="1:28">
      <c r="A114" s="117">
        <v>45060</v>
      </c>
      <c r="B114">
        <v>105.51</v>
      </c>
      <c r="C114" s="119">
        <f t="shared" si="1"/>
        <v>-5.7482095740670758E-3</v>
      </c>
      <c r="F114" s="47">
        <v>45060</v>
      </c>
      <c r="G114" s="16">
        <v>4191.9799999999996</v>
      </c>
      <c r="H114" s="119">
        <f>Table2[[#This Row],[Price]]/G115-1</f>
        <v>1.6464278093538454E-2</v>
      </c>
      <c r="J114" s="47"/>
      <c r="K114" s="117" t="s">
        <v>310</v>
      </c>
      <c r="L114">
        <v>42.12</v>
      </c>
      <c r="M114" s="119">
        <f>Table5[[#This Row],[Price]]/L115-1</f>
        <v>2.9577120508433197E-2</v>
      </c>
      <c r="N114" s="16"/>
      <c r="P114" s="46" t="s">
        <v>310</v>
      </c>
      <c r="Q114">
        <v>138.28</v>
      </c>
      <c r="R114" s="119">
        <f>Table6[[#This Row],[Price]]/Q115-1</f>
        <v>-1.6605299256370332E-3</v>
      </c>
      <c r="U114" s="46" t="s">
        <v>310</v>
      </c>
      <c r="V114">
        <v>161.41</v>
      </c>
      <c r="W114" s="119">
        <f>Table8[[#This Row],[Price]]/V115-1</f>
        <v>8.6570178391113917E-2</v>
      </c>
      <c r="Z114" s="46" t="s">
        <v>310</v>
      </c>
      <c r="AA114">
        <v>312.45999999999998</v>
      </c>
      <c r="AB114" s="119">
        <f>Table9[[#This Row],[Price]]/AA115-1</f>
        <v>1.5865791013720099E-2</v>
      </c>
    </row>
    <row r="115" spans="1:28">
      <c r="A115" s="117">
        <v>45112</v>
      </c>
      <c r="B115">
        <v>106.12</v>
      </c>
      <c r="C115" s="119">
        <f t="shared" si="1"/>
        <v>-1.0166962037123306E-2</v>
      </c>
      <c r="F115" s="47">
        <v>45112</v>
      </c>
      <c r="G115" s="16">
        <v>4124.08</v>
      </c>
      <c r="H115" s="119">
        <f>Table2[[#This Row],[Price]]/G116-1</f>
        <v>-2.9422786340284057E-3</v>
      </c>
      <c r="J115" s="46"/>
      <c r="K115" s="117">
        <v>45112</v>
      </c>
      <c r="L115">
        <v>40.909999999999997</v>
      </c>
      <c r="M115" s="119">
        <f>Table5[[#This Row],[Price]]/L116-1</f>
        <v>8.6291913214988636E-3</v>
      </c>
      <c r="N115" s="16"/>
      <c r="P115" s="47">
        <v>45112</v>
      </c>
      <c r="Q115">
        <v>138.51</v>
      </c>
      <c r="R115" s="119">
        <f>Table6[[#This Row],[Price]]/Q116-1</f>
        <v>7.4187213615535264E-3</v>
      </c>
      <c r="U115" s="47">
        <v>45112</v>
      </c>
      <c r="V115">
        <v>148.55000000000001</v>
      </c>
      <c r="W115" s="119">
        <f>Table8[[#This Row],[Price]]/V116-1</f>
        <v>-2.9655758050819769E-2</v>
      </c>
      <c r="Z115" s="47">
        <v>45112</v>
      </c>
      <c r="AA115">
        <v>307.58</v>
      </c>
      <c r="AB115" s="119">
        <f>Table9[[#This Row],[Price]]/AA116-1</f>
        <v>-1.134646909453263E-2</v>
      </c>
    </row>
    <row r="116" spans="1:28">
      <c r="A116" s="117">
        <v>45046</v>
      </c>
      <c r="B116">
        <v>107.21</v>
      </c>
      <c r="C116" s="119">
        <f t="shared" si="1"/>
        <v>-6.1947676962114007E-2</v>
      </c>
      <c r="F116" s="47">
        <v>45046</v>
      </c>
      <c r="G116" s="16">
        <v>4136.25</v>
      </c>
      <c r="H116" s="119">
        <f>Table2[[#This Row],[Price]]/G117-1</f>
        <v>-7.9698187783607821E-3</v>
      </c>
      <c r="J116" s="46"/>
      <c r="K116" s="117" t="s">
        <v>311</v>
      </c>
      <c r="L116">
        <v>40.56</v>
      </c>
      <c r="M116" s="119">
        <f>Table5[[#This Row],[Price]]/L117-1</f>
        <v>-1.9105199516324056E-2</v>
      </c>
      <c r="N116" s="16"/>
      <c r="P116" s="46" t="s">
        <v>311</v>
      </c>
      <c r="Q116">
        <v>137.49</v>
      </c>
      <c r="R116" s="119">
        <f>Table6[[#This Row],[Price]]/Q117-1</f>
        <v>-2.1980367050789651E-2</v>
      </c>
      <c r="U116" s="46" t="s">
        <v>311</v>
      </c>
      <c r="V116">
        <v>153.09</v>
      </c>
      <c r="W116" s="119">
        <f>Table8[[#This Row],[Price]]/V117-1</f>
        <v>7.6350951095898179E-3</v>
      </c>
      <c r="Z116" s="46" t="s">
        <v>311</v>
      </c>
      <c r="AA116">
        <v>311.11</v>
      </c>
      <c r="AB116" s="119">
        <f>Table9[[#This Row],[Price]]/AA117-1</f>
        <v>-2.0033388981636091E-2</v>
      </c>
    </row>
    <row r="117" spans="1:28">
      <c r="A117" s="117">
        <v>45039</v>
      </c>
      <c r="B117">
        <v>114.29</v>
      </c>
      <c r="C117" s="119">
        <f t="shared" si="1"/>
        <v>5.6382290415010639E-2</v>
      </c>
      <c r="F117" s="47">
        <v>45039</v>
      </c>
      <c r="G117" s="16">
        <v>4169.4799999999996</v>
      </c>
      <c r="H117" s="119">
        <f>Table2[[#This Row],[Price]]/G118-1</f>
        <v>8.6996071145171161E-3</v>
      </c>
      <c r="J117" s="47"/>
      <c r="K117" s="117" t="s">
        <v>312</v>
      </c>
      <c r="L117">
        <v>41.35</v>
      </c>
      <c r="M117" s="119">
        <f>Table5[[#This Row],[Price]]/L118-1</f>
        <v>0.14861111111111125</v>
      </c>
      <c r="N117" s="16"/>
      <c r="P117" s="46" t="s">
        <v>312</v>
      </c>
      <c r="Q117">
        <v>140.58000000000001</v>
      </c>
      <c r="R117" s="119">
        <f>Table6[[#This Row],[Price]]/Q118-1</f>
        <v>1.626545217957065E-2</v>
      </c>
      <c r="U117" s="46" t="s">
        <v>312</v>
      </c>
      <c r="V117">
        <v>151.93</v>
      </c>
      <c r="W117" s="119">
        <f>Table8[[#This Row],[Price]]/V118-1</f>
        <v>5.2683569311828826E-4</v>
      </c>
      <c r="Z117" s="46" t="s">
        <v>312</v>
      </c>
      <c r="AA117">
        <v>317.47000000000003</v>
      </c>
      <c r="AB117" s="119">
        <f>Table9[[#This Row],[Price]]/AA118-1</f>
        <v>-3.9483238533220222E-2</v>
      </c>
    </row>
    <row r="118" spans="1:28">
      <c r="A118" s="117">
        <v>45032</v>
      </c>
      <c r="B118">
        <v>108.19</v>
      </c>
      <c r="C118" s="119">
        <f t="shared" si="1"/>
        <v>6.6995440588071276E-3</v>
      </c>
      <c r="F118" s="47">
        <v>45032</v>
      </c>
      <c r="G118" s="16">
        <v>4133.5200000000004</v>
      </c>
      <c r="H118" s="119">
        <f>Table2[[#This Row],[Price]]/G119-1</f>
        <v>-9.9573670014785343E-4</v>
      </c>
      <c r="J118" s="47"/>
      <c r="K118" s="117" t="s">
        <v>313</v>
      </c>
      <c r="L118">
        <v>36</v>
      </c>
      <c r="M118" s="119">
        <f>Table5[[#This Row],[Price]]/L119-1</f>
        <v>3.5375323554788451E-2</v>
      </c>
      <c r="N118" s="16"/>
      <c r="P118" s="46" t="s">
        <v>313</v>
      </c>
      <c r="Q118">
        <v>138.33000000000001</v>
      </c>
      <c r="R118" s="119">
        <f>Table6[[#This Row],[Price]]/Q119-1</f>
        <v>2.5578291814946752E-2</v>
      </c>
      <c r="U118" s="46" t="s">
        <v>313</v>
      </c>
      <c r="V118">
        <v>151.85</v>
      </c>
      <c r="W118" s="119">
        <f>Table8[[#This Row],[Price]]/V119-1</f>
        <v>-3.739666710405376E-3</v>
      </c>
      <c r="Z118" s="46" t="s">
        <v>313</v>
      </c>
      <c r="AA118">
        <v>330.52</v>
      </c>
      <c r="AB118" s="119">
        <f>Table9[[#This Row],[Price]]/AA119-1</f>
        <v>4.2375446455600319E-4</v>
      </c>
    </row>
    <row r="119" spans="1:28">
      <c r="A119" s="117">
        <v>45173</v>
      </c>
      <c r="B119">
        <v>107.47</v>
      </c>
      <c r="C119" s="119">
        <f t="shared" si="1"/>
        <v>2.6652655712648077E-2</v>
      </c>
      <c r="F119" s="47">
        <v>45173</v>
      </c>
      <c r="G119" s="16">
        <v>4137.6400000000003</v>
      </c>
      <c r="H119" s="119">
        <f>Table2[[#This Row],[Price]]/G120-1</f>
        <v>7.9463681053928426E-3</v>
      </c>
      <c r="J119" s="46"/>
      <c r="K119" s="117">
        <v>45173</v>
      </c>
      <c r="L119">
        <v>34.770000000000003</v>
      </c>
      <c r="M119" s="119">
        <f>Table5[[#This Row],[Price]]/L120-1</f>
        <v>3.1750741839762675E-2</v>
      </c>
      <c r="N119" s="16"/>
      <c r="P119" s="47">
        <v>45173</v>
      </c>
      <c r="Q119">
        <v>134.88</v>
      </c>
      <c r="R119" s="119">
        <f>Table6[[#This Row],[Price]]/Q120-1</f>
        <v>2.1044663133989339E-2</v>
      </c>
      <c r="U119" s="47">
        <v>45173</v>
      </c>
      <c r="V119">
        <v>152.41999999999999</v>
      </c>
      <c r="W119" s="119">
        <f>Table8[[#This Row],[Price]]/V120-1</f>
        <v>1.8169672678690629E-2</v>
      </c>
      <c r="Z119" s="47">
        <v>45173</v>
      </c>
      <c r="AA119">
        <v>330.38</v>
      </c>
      <c r="AB119" s="119">
        <f>Table9[[#This Row],[Price]]/AA120-1</f>
        <v>-6.0499727751217591E-4</v>
      </c>
    </row>
    <row r="120" spans="1:28">
      <c r="A120" s="117">
        <v>44961</v>
      </c>
      <c r="B120">
        <v>104.68</v>
      </c>
      <c r="C120" s="119">
        <f t="shared" si="1"/>
        <v>5.2818592144436849E-3</v>
      </c>
      <c r="F120" s="47">
        <v>44961</v>
      </c>
      <c r="G120" s="16">
        <v>4105.0200000000004</v>
      </c>
      <c r="H120" s="119">
        <f>Table2[[#This Row],[Price]]/G121-1</f>
        <v>-1.0439708856231356E-3</v>
      </c>
      <c r="J120" s="46"/>
      <c r="K120" s="117">
        <v>44961</v>
      </c>
      <c r="L120">
        <v>33.700000000000003</v>
      </c>
      <c r="M120" s="119">
        <f>Table5[[#This Row],[Price]]/L121-1</f>
        <v>-1.3754755633596738E-2</v>
      </c>
      <c r="N120" s="16"/>
      <c r="P120" s="47">
        <v>44961</v>
      </c>
      <c r="Q120">
        <v>132.1</v>
      </c>
      <c r="R120" s="119">
        <f>Table6[[#This Row],[Price]]/Q121-1</f>
        <v>1.5142337976969955E-4</v>
      </c>
      <c r="U120" s="47">
        <v>44961</v>
      </c>
      <c r="V120">
        <v>149.69999999999999</v>
      </c>
      <c r="W120" s="119">
        <f>Table8[[#This Row],[Price]]/V121-1</f>
        <v>-3.5189481825212754E-2</v>
      </c>
      <c r="Z120" s="47">
        <v>44961</v>
      </c>
      <c r="AA120">
        <v>330.58</v>
      </c>
      <c r="AB120" s="119">
        <f>Table9[[#This Row],[Price]]/AA121-1</f>
        <v>2.1523630521114168E-3</v>
      </c>
    </row>
    <row r="121" spans="1:28">
      <c r="A121" s="117">
        <v>45011</v>
      </c>
      <c r="B121">
        <v>104.13</v>
      </c>
      <c r="C121" s="119">
        <f t="shared" si="1"/>
        <v>5.8877364246491704E-2</v>
      </c>
      <c r="F121" s="47">
        <v>45011</v>
      </c>
      <c r="G121" s="16">
        <v>4109.3100000000004</v>
      </c>
      <c r="H121" s="119">
        <f>Table2[[#This Row],[Price]]/G122-1</f>
        <v>3.4832623602678581E-2</v>
      </c>
      <c r="J121" s="47"/>
      <c r="K121" s="117" t="s">
        <v>314</v>
      </c>
      <c r="L121">
        <v>34.17</v>
      </c>
      <c r="M121" s="119">
        <f>Table5[[#This Row],[Price]]/L122-1</f>
        <v>5.1708217913204013E-2</v>
      </c>
      <c r="N121" s="16"/>
      <c r="P121" s="46" t="s">
        <v>314</v>
      </c>
      <c r="Q121">
        <v>132.08000000000001</v>
      </c>
      <c r="R121" s="119">
        <f>Table6[[#This Row],[Price]]/Q122-1</f>
        <v>3.3247281545803142E-2</v>
      </c>
      <c r="U121" s="46" t="s">
        <v>314</v>
      </c>
      <c r="V121">
        <v>155.16</v>
      </c>
      <c r="W121" s="119">
        <f>Table8[[#This Row],[Price]]/V122-1</f>
        <v>1.6909162406606226E-2</v>
      </c>
      <c r="Z121" s="46" t="s">
        <v>314</v>
      </c>
      <c r="AA121">
        <v>329.87</v>
      </c>
      <c r="AB121" s="119">
        <f>Table9[[#This Row],[Price]]/AA122-1</f>
        <v>5.8938717858174838E-2</v>
      </c>
    </row>
    <row r="122" spans="1:28">
      <c r="A122" s="117">
        <v>45004</v>
      </c>
      <c r="B122">
        <v>98.34</v>
      </c>
      <c r="C122" s="119">
        <f t="shared" si="1"/>
        <v>-3.6474164133738496E-3</v>
      </c>
      <c r="F122" s="47">
        <v>45004</v>
      </c>
      <c r="G122" s="16">
        <v>3970.99</v>
      </c>
      <c r="H122" s="119">
        <f>Table2[[#This Row],[Price]]/G123-1</f>
        <v>1.3876690224273736E-2</v>
      </c>
      <c r="J122" s="47"/>
      <c r="K122" s="117" t="s">
        <v>315</v>
      </c>
      <c r="L122">
        <v>32.49</v>
      </c>
      <c r="M122" s="119">
        <f>Table5[[#This Row],[Price]]/L123-1</f>
        <v>9.6333126165319971E-3</v>
      </c>
      <c r="N122" s="16"/>
      <c r="P122" s="46" t="s">
        <v>315</v>
      </c>
      <c r="Q122">
        <v>127.83</v>
      </c>
      <c r="R122" s="119">
        <f>Table6[[#This Row],[Price]]/Q123-1</f>
        <v>7.7256602286164267E-3</v>
      </c>
      <c r="U122" s="46" t="s">
        <v>315</v>
      </c>
      <c r="V122">
        <v>152.58000000000001</v>
      </c>
      <c r="W122" s="119">
        <f>Table8[[#This Row],[Price]]/V123-1</f>
        <v>2.7474747474747652E-2</v>
      </c>
      <c r="Z122" s="46" t="s">
        <v>315</v>
      </c>
      <c r="AA122">
        <v>311.51</v>
      </c>
      <c r="AB122" s="119">
        <f>Table9[[#This Row],[Price]]/AA123-1</f>
        <v>2.7038336498534932E-3</v>
      </c>
    </row>
    <row r="123" spans="1:28">
      <c r="A123" s="117">
        <v>45263</v>
      </c>
      <c r="B123">
        <v>98.7</v>
      </c>
      <c r="C123" s="119">
        <f t="shared" si="1"/>
        <v>-6.8424230227409621E-3</v>
      </c>
      <c r="F123" s="47">
        <v>45263</v>
      </c>
      <c r="G123" s="16">
        <v>3916.64</v>
      </c>
      <c r="H123" s="119">
        <f>Table2[[#This Row],[Price]]/G124-1</f>
        <v>1.4255785829153211E-2</v>
      </c>
      <c r="J123" s="46"/>
      <c r="K123" s="117">
        <v>45263</v>
      </c>
      <c r="L123">
        <v>32.18</v>
      </c>
      <c r="M123" s="119">
        <f>Table5[[#This Row],[Price]]/L124-1</f>
        <v>3.7729764592067117E-2</v>
      </c>
      <c r="N123" s="16"/>
      <c r="P123" s="47">
        <v>45263</v>
      </c>
      <c r="Q123">
        <v>126.85</v>
      </c>
      <c r="R123" s="119">
        <f>Table6[[#This Row],[Price]]/Q124-1</f>
        <v>1.8221223310322721E-2</v>
      </c>
      <c r="U123" s="47">
        <v>45263</v>
      </c>
      <c r="V123">
        <v>148.5</v>
      </c>
      <c r="W123" s="119">
        <f>Table8[[#This Row],[Price]]/V124-1</f>
        <v>3.1464888518441425E-2</v>
      </c>
      <c r="Z123" s="47">
        <v>45263</v>
      </c>
      <c r="AA123">
        <v>310.67</v>
      </c>
      <c r="AB123" s="119">
        <f>Table9[[#This Row],[Price]]/AA124-1</f>
        <v>3.5014658848613989E-2</v>
      </c>
    </row>
    <row r="124" spans="1:28">
      <c r="A124" s="117">
        <v>45049</v>
      </c>
      <c r="B124">
        <v>99.38</v>
      </c>
      <c r="C124" s="119">
        <f t="shared" si="1"/>
        <v>-4.9450023912003815E-2</v>
      </c>
      <c r="F124" s="47">
        <v>45049</v>
      </c>
      <c r="G124" s="16">
        <v>3861.59</v>
      </c>
      <c r="H124" s="119">
        <f>Table2[[#This Row],[Price]]/G125-1</f>
        <v>-4.5493420076922253E-2</v>
      </c>
      <c r="J124" s="46"/>
      <c r="K124" s="117">
        <v>45049</v>
      </c>
      <c r="L124">
        <v>31.01</v>
      </c>
      <c r="M124" s="119">
        <f>Table5[[#This Row],[Price]]/L125-1</f>
        <v>2.682119205298017E-2</v>
      </c>
      <c r="N124" s="16"/>
      <c r="P124" s="47">
        <v>45049</v>
      </c>
      <c r="Q124">
        <v>124.58</v>
      </c>
      <c r="R124" s="119">
        <f>Table6[[#This Row],[Price]]/Q125-1</f>
        <v>-3.9253489627515958E-2</v>
      </c>
      <c r="U124" s="47">
        <v>45049</v>
      </c>
      <c r="V124">
        <v>143.97</v>
      </c>
      <c r="W124" s="119">
        <f>Table8[[#This Row],[Price]]/V125-1</f>
        <v>-2.2872268223157355E-2</v>
      </c>
      <c r="Z124" s="47">
        <v>45049</v>
      </c>
      <c r="AA124">
        <v>300.16000000000003</v>
      </c>
      <c r="AB124" s="119">
        <f>Table9[[#This Row],[Price]]/AA125-1</f>
        <v>-1.509384433652694E-2</v>
      </c>
    </row>
    <row r="125" spans="1:28">
      <c r="A125" s="117">
        <v>44983</v>
      </c>
      <c r="B125">
        <v>104.55</v>
      </c>
      <c r="C125" s="119">
        <f t="shared" si="1"/>
        <v>2.9035433070866201E-2</v>
      </c>
      <c r="F125" s="47">
        <v>44983</v>
      </c>
      <c r="G125" s="16">
        <v>4045.64</v>
      </c>
      <c r="H125" s="119">
        <f>Table2[[#This Row],[Price]]/G126-1</f>
        <v>1.9042629293407609E-2</v>
      </c>
      <c r="J125" s="46"/>
      <c r="K125" s="117" t="s">
        <v>316</v>
      </c>
      <c r="L125">
        <v>30.2</v>
      </c>
      <c r="M125" s="119">
        <f>Table5[[#This Row],[Price]]/L126-1</f>
        <v>2.2688791059938929E-2</v>
      </c>
      <c r="N125" s="16"/>
      <c r="P125" s="46" t="s">
        <v>316</v>
      </c>
      <c r="Q125">
        <v>129.66999999999999</v>
      </c>
      <c r="R125" s="119">
        <f>Table6[[#This Row],[Price]]/Q126-1</f>
        <v>2.2392178506662308E-2</v>
      </c>
      <c r="U125" s="46" t="s">
        <v>316</v>
      </c>
      <c r="V125">
        <v>147.34</v>
      </c>
      <c r="W125" s="119">
        <f>Table8[[#This Row],[Price]]/V126-1</f>
        <v>1.9442330312045897E-2</v>
      </c>
      <c r="Z125" s="46" t="s">
        <v>316</v>
      </c>
      <c r="AA125">
        <v>304.76</v>
      </c>
      <c r="AB125" s="119">
        <f>Table9[[#This Row],[Price]]/AA126-1</f>
        <v>2.4506672941809082E-2</v>
      </c>
    </row>
    <row r="126" spans="1:28">
      <c r="A126" s="117">
        <v>44976</v>
      </c>
      <c r="B126">
        <v>101.6</v>
      </c>
      <c r="C126" s="119">
        <f t="shared" si="1"/>
        <v>-5.1353874883286688E-2</v>
      </c>
      <c r="F126" s="47">
        <v>44976</v>
      </c>
      <c r="G126" s="16">
        <v>3970.04</v>
      </c>
      <c r="H126" s="119">
        <f>Table2[[#This Row],[Price]]/G127-1</f>
        <v>-2.6733903885425514E-2</v>
      </c>
      <c r="J126" s="47"/>
      <c r="K126" s="117" t="s">
        <v>317</v>
      </c>
      <c r="L126">
        <v>29.53</v>
      </c>
      <c r="M126" s="119">
        <f>Table5[[#This Row],[Price]]/L127-1</f>
        <v>-8.7171561051004653E-2</v>
      </c>
      <c r="N126" s="16"/>
      <c r="P126" s="46" t="s">
        <v>317</v>
      </c>
      <c r="Q126">
        <v>126.83</v>
      </c>
      <c r="R126" s="119">
        <f>Table6[[#This Row],[Price]]/Q127-1</f>
        <v>-3.9457740078764014E-2</v>
      </c>
      <c r="U126" s="46" t="s">
        <v>317</v>
      </c>
      <c r="V126">
        <v>144.53</v>
      </c>
      <c r="W126" s="119">
        <f>Table8[[#This Row],[Price]]/V127-1</f>
        <v>-1.0678348962968043E-2</v>
      </c>
      <c r="Z126" s="46" t="s">
        <v>317</v>
      </c>
      <c r="AA126">
        <v>297.47000000000003</v>
      </c>
      <c r="AB126" s="119">
        <f>Table9[[#This Row],[Price]]/AA127-1</f>
        <v>-0.16759010521602857</v>
      </c>
    </row>
    <row r="127" spans="1:28">
      <c r="A127" s="117">
        <v>45262</v>
      </c>
      <c r="B127">
        <v>107.1</v>
      </c>
      <c r="C127" s="119">
        <f t="shared" si="1"/>
        <v>9.3379400504245424E-5</v>
      </c>
      <c r="F127" s="47">
        <v>45262</v>
      </c>
      <c r="G127" s="16">
        <v>4079.09</v>
      </c>
      <c r="H127" s="119">
        <f>Table2[[#This Row],[Price]]/G128-1</f>
        <v>-2.7796384758682624E-3</v>
      </c>
      <c r="J127" s="47"/>
      <c r="K127" s="117">
        <v>45262</v>
      </c>
      <c r="L127">
        <v>32.35</v>
      </c>
      <c r="M127" s="119">
        <f>Table5[[#This Row],[Price]]/L128-1</f>
        <v>2.1148989898990056E-2</v>
      </c>
      <c r="N127" s="16"/>
      <c r="P127" s="47">
        <v>45262</v>
      </c>
      <c r="Q127">
        <v>132.04</v>
      </c>
      <c r="R127" s="119">
        <f>Table6[[#This Row],[Price]]/Q128-1</f>
        <v>5.5593633386641361E-3</v>
      </c>
      <c r="U127" s="47">
        <v>45262</v>
      </c>
      <c r="V127">
        <v>146.09</v>
      </c>
      <c r="W127" s="119">
        <f>Table8[[#This Row],[Price]]/V128-1</f>
        <v>-6.3256699768738933E-3</v>
      </c>
      <c r="Z127" s="47">
        <v>45262</v>
      </c>
      <c r="AA127">
        <v>357.36</v>
      </c>
      <c r="AB127" s="119">
        <f>Table9[[#This Row],[Price]]/AA128-1</f>
        <v>9.3204541603117974E-3</v>
      </c>
    </row>
    <row r="128" spans="1:28">
      <c r="A128" s="117">
        <v>45048</v>
      </c>
      <c r="B128">
        <v>107.09</v>
      </c>
      <c r="C128" s="119">
        <f t="shared" si="1"/>
        <v>2.6749760306807424E-2</v>
      </c>
      <c r="F128" s="47">
        <v>45048</v>
      </c>
      <c r="G128" s="16">
        <v>4090.46</v>
      </c>
      <c r="H128" s="119">
        <f>Table2[[#This Row],[Price]]/G129-1</f>
        <v>-1.1125401307391702E-2</v>
      </c>
      <c r="J128" s="46"/>
      <c r="K128" s="117">
        <v>45048</v>
      </c>
      <c r="L128">
        <v>31.68</v>
      </c>
      <c r="M128" s="119">
        <f>Table5[[#This Row],[Price]]/L129-1</f>
        <v>-6.4382752510336649E-2</v>
      </c>
      <c r="N128" s="16"/>
      <c r="P128" s="47">
        <v>45048</v>
      </c>
      <c r="Q128">
        <v>131.31</v>
      </c>
      <c r="R128" s="119">
        <f>Table6[[#This Row],[Price]]/Q129-1</f>
        <v>3.385560192110848E-2</v>
      </c>
      <c r="U128" s="47">
        <v>45048</v>
      </c>
      <c r="V128">
        <v>147.02000000000001</v>
      </c>
      <c r="W128" s="119">
        <f>Table8[[#This Row],[Price]]/V129-1</f>
        <v>-2.7133360466692347E-3</v>
      </c>
      <c r="Z128" s="47">
        <v>45048</v>
      </c>
      <c r="AA128">
        <v>354.06</v>
      </c>
      <c r="AB128" s="119">
        <f>Table9[[#This Row],[Price]]/AA129-1</f>
        <v>-1.5460764139925476E-2</v>
      </c>
    </row>
    <row r="129" spans="1:28">
      <c r="A129" s="117">
        <v>44955</v>
      </c>
      <c r="B129">
        <v>104.3</v>
      </c>
      <c r="C129" s="119">
        <f t="shared" si="1"/>
        <v>-4.3294808292056453E-2</v>
      </c>
      <c r="F129" s="47">
        <v>44955</v>
      </c>
      <c r="G129" s="16">
        <v>4136.4799999999996</v>
      </c>
      <c r="H129" s="119">
        <f>Table2[[#This Row],[Price]]/G130-1</f>
        <v>1.6194331983805599E-2</v>
      </c>
      <c r="J129" s="46"/>
      <c r="K129" s="117" t="s">
        <v>318</v>
      </c>
      <c r="L129">
        <v>33.86</v>
      </c>
      <c r="M129" s="119">
        <f>Table5[[#This Row],[Price]]/L130-1</f>
        <v>4.894671623296154E-2</v>
      </c>
      <c r="N129" s="16"/>
      <c r="P129" s="46" t="s">
        <v>318</v>
      </c>
      <c r="Q129">
        <v>127.01</v>
      </c>
      <c r="R129" s="119">
        <f>Table6[[#This Row],[Price]]/Q130-1</f>
        <v>-8.7411222976663261E-3</v>
      </c>
      <c r="U129" s="46" t="s">
        <v>318</v>
      </c>
      <c r="V129">
        <v>147.41999999999999</v>
      </c>
      <c r="W129" s="119">
        <f>Table8[[#This Row],[Price]]/V130-1</f>
        <v>-6.4029116398194308E-3</v>
      </c>
      <c r="Z129" s="46" t="s">
        <v>318</v>
      </c>
      <c r="AA129">
        <v>359.62</v>
      </c>
      <c r="AB129" s="119">
        <f>Table9[[#This Row],[Price]]/AA130-1</f>
        <v>1.2529211363572434E-2</v>
      </c>
    </row>
    <row r="130" spans="1:28">
      <c r="A130" s="117">
        <v>44948</v>
      </c>
      <c r="B130">
        <v>109.02</v>
      </c>
      <c r="C130" s="119">
        <f t="shared" si="1"/>
        <v>3.789032749428789E-2</v>
      </c>
      <c r="F130" s="47">
        <v>44948</v>
      </c>
      <c r="G130" s="16">
        <v>4070.56</v>
      </c>
      <c r="H130" s="119">
        <f>Table2[[#This Row],[Price]]/G131-1</f>
        <v>2.4656334248768452E-2</v>
      </c>
      <c r="J130" s="47"/>
      <c r="K130" s="117" t="s">
        <v>319</v>
      </c>
      <c r="L130">
        <v>32.28</v>
      </c>
      <c r="M130" s="119">
        <f>Table5[[#This Row],[Price]]/L131-1</f>
        <v>3.7942122186495064E-2</v>
      </c>
      <c r="N130" s="16"/>
      <c r="P130" s="46" t="s">
        <v>319</v>
      </c>
      <c r="Q130">
        <v>128.13</v>
      </c>
      <c r="R130" s="119">
        <f>Table6[[#This Row],[Price]]/Q131-1</f>
        <v>1.1845534233593913E-2</v>
      </c>
      <c r="U130" s="46" t="s">
        <v>319</v>
      </c>
      <c r="V130">
        <v>148.37</v>
      </c>
      <c r="W130" s="119">
        <f>Table8[[#This Row],[Price]]/V131-1</f>
        <v>6.7173293526938682E-3</v>
      </c>
      <c r="Z130" s="46" t="s">
        <v>319</v>
      </c>
      <c r="AA130">
        <v>355.17</v>
      </c>
      <c r="AB130" s="119">
        <f>Table9[[#This Row],[Price]]/AA131-1</f>
        <v>2.0486151017124365E-2</v>
      </c>
    </row>
    <row r="131" spans="1:28">
      <c r="A131" s="117">
        <v>44941</v>
      </c>
      <c r="B131">
        <v>105.04</v>
      </c>
      <c r="C131" s="119">
        <f t="shared" si="1"/>
        <v>-2.0423388976965384E-2</v>
      </c>
      <c r="F131" s="47">
        <v>44941</v>
      </c>
      <c r="G131" s="16">
        <v>3972.61</v>
      </c>
      <c r="H131" s="119">
        <f>Table2[[#This Row],[Price]]/G132-1</f>
        <v>-6.6215063927043127E-3</v>
      </c>
      <c r="J131" s="47"/>
      <c r="K131" s="117" t="s">
        <v>320</v>
      </c>
      <c r="L131">
        <v>31.1</v>
      </c>
      <c r="M131" s="119">
        <f>Table5[[#This Row],[Price]]/L132-1</f>
        <v>2.0006559527714129E-2</v>
      </c>
      <c r="N131" s="16"/>
      <c r="P131" s="46" t="s">
        <v>320</v>
      </c>
      <c r="Q131">
        <v>126.63</v>
      </c>
      <c r="R131" s="119">
        <f>Table6[[#This Row],[Price]]/Q132-1</f>
        <v>-2.756872984180625E-2</v>
      </c>
      <c r="U131" s="46" t="s">
        <v>320</v>
      </c>
      <c r="V131">
        <v>147.38</v>
      </c>
      <c r="W131" s="119">
        <f>Table8[[#This Row],[Price]]/V132-1</f>
        <v>-1.6154873164219041E-2</v>
      </c>
      <c r="Z131" s="46" t="s">
        <v>320</v>
      </c>
      <c r="AA131">
        <v>348.04</v>
      </c>
      <c r="AB131" s="119">
        <f>Table9[[#This Row],[Price]]/AA132-1</f>
        <v>3.1412991939307799E-2</v>
      </c>
    </row>
    <row r="132" spans="1:28">
      <c r="A132" s="117">
        <v>45139</v>
      </c>
      <c r="B132">
        <v>107.23</v>
      </c>
      <c r="C132" s="119">
        <f t="shared" si="1"/>
        <v>5.0613928203206981E-3</v>
      </c>
      <c r="F132" s="47">
        <v>45139</v>
      </c>
      <c r="G132" s="16">
        <v>3999.09</v>
      </c>
      <c r="H132" s="119">
        <f>Table2[[#This Row],[Price]]/G133-1</f>
        <v>2.6702917526726155E-2</v>
      </c>
      <c r="J132" s="46"/>
      <c r="K132" s="117">
        <v>45139</v>
      </c>
      <c r="L132">
        <v>30.49</v>
      </c>
      <c r="M132" s="119">
        <f>Table5[[#This Row],[Price]]/L133-1</f>
        <v>8.7375178316690505E-2</v>
      </c>
      <c r="N132" s="16"/>
      <c r="P132" s="47">
        <v>45139</v>
      </c>
      <c r="Q132">
        <v>130.22</v>
      </c>
      <c r="R132" s="119">
        <f>Table6[[#This Row],[Price]]/Q133-1</f>
        <v>-5.37263028628443E-4</v>
      </c>
      <c r="U132" s="47">
        <v>45139</v>
      </c>
      <c r="V132">
        <v>149.80000000000001</v>
      </c>
      <c r="W132" s="119">
        <f>Table8[[#This Row],[Price]]/V133-1</f>
        <v>1.9186283848142693E-2</v>
      </c>
      <c r="Z132" s="47">
        <v>45139</v>
      </c>
      <c r="AA132">
        <v>337.44</v>
      </c>
      <c r="AB132" s="119">
        <f>Table9[[#This Row],[Price]]/AA133-1</f>
        <v>-1.5118790496760237E-2</v>
      </c>
    </row>
    <row r="133" spans="1:28">
      <c r="A133" s="117">
        <v>44927</v>
      </c>
      <c r="B133">
        <v>106.69</v>
      </c>
      <c r="C133" s="119">
        <f t="shared" si="1"/>
        <v>7.5504032258064457E-2</v>
      </c>
      <c r="F133" s="47">
        <v>44927</v>
      </c>
      <c r="G133" s="16">
        <v>3895.08</v>
      </c>
      <c r="H133" s="119">
        <f>Table2[[#This Row],[Price]]/G134-1</f>
        <v>1.447584320875106E-2</v>
      </c>
      <c r="J133" s="46"/>
      <c r="K133" s="117">
        <v>44927</v>
      </c>
      <c r="L133">
        <v>28.04</v>
      </c>
      <c r="M133" s="119">
        <f>Table5[[#This Row],[Price]]/L134-1</f>
        <v>1.0450450450450344E-2</v>
      </c>
      <c r="N133" s="16"/>
      <c r="P133" s="47">
        <v>44927</v>
      </c>
      <c r="Q133">
        <v>130.29</v>
      </c>
      <c r="R133" s="119">
        <f>Table6[[#This Row],[Price]]/Q134-1</f>
        <v>1.7254840724546971E-2</v>
      </c>
      <c r="U133" s="47">
        <v>44927</v>
      </c>
      <c r="V133">
        <v>146.97999999999999</v>
      </c>
      <c r="W133" s="119">
        <f>Table8[[#This Row],[Price]]/V134-1</f>
        <v>6.2531627268126666E-2</v>
      </c>
      <c r="Z133" s="47">
        <v>44927</v>
      </c>
      <c r="AA133">
        <v>342.62</v>
      </c>
      <c r="AB133" s="119">
        <f>Table9[[#This Row],[Price]]/AA134-1</f>
        <v>-1.0912240184757449E-2</v>
      </c>
    </row>
    <row r="134" spans="1:28">
      <c r="A134" s="117">
        <v>44920</v>
      </c>
      <c r="B134">
        <v>99.2</v>
      </c>
      <c r="C134" s="119">
        <f t="shared" si="1"/>
        <v>9.4637223974765039E-3</v>
      </c>
      <c r="F134" s="47">
        <v>44920</v>
      </c>
      <c r="G134" s="16">
        <v>3839.5</v>
      </c>
      <c r="H134" s="119">
        <f>Table2[[#This Row],[Price]]/G135-1</f>
        <v>-1.3836798601755129E-3</v>
      </c>
      <c r="J134" s="46"/>
      <c r="K134" s="117" t="s">
        <v>321</v>
      </c>
      <c r="L134">
        <v>27.75</v>
      </c>
      <c r="M134" s="119">
        <f>Table5[[#This Row],[Price]]/L135-1</f>
        <v>-1.7699115044247815E-2</v>
      </c>
      <c r="N134" s="16"/>
      <c r="P134" s="46" t="s">
        <v>321</v>
      </c>
      <c r="Q134">
        <v>128.08000000000001</v>
      </c>
      <c r="R134" s="119">
        <f>Table6[[#This Row],[Price]]/Q135-1</f>
        <v>-6.361520558572531E-3</v>
      </c>
      <c r="U134" s="46" t="s">
        <v>321</v>
      </c>
      <c r="V134">
        <v>138.33000000000001</v>
      </c>
      <c r="W134" s="119">
        <f>Table8[[#This Row],[Price]]/V135-1</f>
        <v>-3.6732929991356578E-3</v>
      </c>
      <c r="Z134" s="46" t="s">
        <v>321</v>
      </c>
      <c r="AA134">
        <v>346.4</v>
      </c>
      <c r="AB134" s="119">
        <f>Table9[[#This Row],[Price]]/AA135-1</f>
        <v>-1.8752478613109802E-2</v>
      </c>
    </row>
    <row r="135" spans="1:28">
      <c r="A135" s="117">
        <v>44913</v>
      </c>
      <c r="B135">
        <v>98.27</v>
      </c>
      <c r="C135" s="119">
        <f t="shared" si="1"/>
        <v>-5.6662956592128388E-3</v>
      </c>
      <c r="F135" s="47">
        <v>44913</v>
      </c>
      <c r="G135" s="16">
        <v>3844.82</v>
      </c>
      <c r="H135" s="119">
        <f>Table2[[#This Row],[Price]]/G136-1</f>
        <v>-1.9572417946401854E-3</v>
      </c>
      <c r="J135" s="47"/>
      <c r="K135" s="117" t="s">
        <v>322</v>
      </c>
      <c r="L135">
        <v>28.25</v>
      </c>
      <c r="M135" s="119">
        <f>Table5[[#This Row],[Price]]/L136-1</f>
        <v>-3.385772913816687E-2</v>
      </c>
      <c r="N135" s="16"/>
      <c r="P135" s="46" t="s">
        <v>322</v>
      </c>
      <c r="Q135">
        <v>128.9</v>
      </c>
      <c r="R135" s="119">
        <f>Table6[[#This Row],[Price]]/Q136-1</f>
        <v>-3.6329906469815265E-3</v>
      </c>
      <c r="U135" s="46" t="s">
        <v>322</v>
      </c>
      <c r="V135">
        <v>138.84</v>
      </c>
      <c r="W135" s="119">
        <f>Table8[[#This Row],[Price]]/V136-1</f>
        <v>-7.5768406004288469E-3</v>
      </c>
      <c r="Z135" s="46" t="s">
        <v>322</v>
      </c>
      <c r="AA135">
        <v>353.02</v>
      </c>
      <c r="AB135" s="119">
        <f>Table9[[#This Row],[Price]]/AA136-1</f>
        <v>-1.1785124429639304E-2</v>
      </c>
    </row>
    <row r="136" spans="1:28">
      <c r="A136" s="117">
        <v>44877</v>
      </c>
      <c r="B136">
        <v>98.83</v>
      </c>
      <c r="C136" s="119">
        <f t="shared" si="1"/>
        <v>-2.9079477355339556E-2</v>
      </c>
      <c r="F136" s="47">
        <v>44877</v>
      </c>
      <c r="G136" s="16">
        <v>3852.36</v>
      </c>
      <c r="H136" s="119">
        <f>Table2[[#This Row],[Price]]/G137-1</f>
        <v>-2.0846994952190667E-2</v>
      </c>
      <c r="J136" s="46"/>
      <c r="K136" s="117">
        <v>44877</v>
      </c>
      <c r="L136">
        <v>29.24</v>
      </c>
      <c r="M136" s="119">
        <f>Table5[[#This Row],[Price]]/L137-1</f>
        <v>-4.2253521126760618E-2</v>
      </c>
      <c r="N136" s="16"/>
      <c r="P136" s="47">
        <v>44877</v>
      </c>
      <c r="Q136">
        <v>129.37</v>
      </c>
      <c r="R136" s="119">
        <f>Table6[[#This Row],[Price]]/Q137-1</f>
        <v>1.2998199044710779E-2</v>
      </c>
      <c r="U136" s="47">
        <v>44877</v>
      </c>
      <c r="V136">
        <v>139.9</v>
      </c>
      <c r="W136" s="119">
        <f>Table8[[#This Row],[Price]]/V137-1</f>
        <v>-1.8727642561548574E-2</v>
      </c>
      <c r="Z136" s="47">
        <v>44877</v>
      </c>
      <c r="AA136">
        <v>357.23</v>
      </c>
      <c r="AB136" s="119">
        <f>Table9[[#This Row],[Price]]/AA137-1</f>
        <v>-1.4945539776644035E-2</v>
      </c>
    </row>
    <row r="137" spans="1:28">
      <c r="A137" s="117">
        <v>44663</v>
      </c>
      <c r="B137">
        <v>101.79</v>
      </c>
      <c r="C137" s="119">
        <f t="shared" si="1"/>
        <v>-3.1032841504045616E-2</v>
      </c>
      <c r="F137" s="47">
        <v>44663</v>
      </c>
      <c r="G137" s="16">
        <v>3934.38</v>
      </c>
      <c r="H137" s="119">
        <f>Table2[[#This Row],[Price]]/G138-1</f>
        <v>-3.3725470933516632E-2</v>
      </c>
      <c r="J137" s="46"/>
      <c r="K137" s="117">
        <v>44663</v>
      </c>
      <c r="L137">
        <v>30.53</v>
      </c>
      <c r="M137" s="119">
        <f>Table5[[#This Row],[Price]]/L138-1</f>
        <v>-4.8909657320872268E-2</v>
      </c>
      <c r="N137" s="16"/>
      <c r="P137" s="47">
        <v>44663</v>
      </c>
      <c r="Q137">
        <v>127.71</v>
      </c>
      <c r="R137" s="119">
        <f>Table6[[#This Row],[Price]]/Q138-1</f>
        <v>-1.5191239975324011E-2</v>
      </c>
      <c r="U137" s="47">
        <v>44663</v>
      </c>
      <c r="V137">
        <v>142.57</v>
      </c>
      <c r="W137" s="119">
        <f>Table8[[#This Row],[Price]]/V138-1</f>
        <v>-2.0002749518834184E-2</v>
      </c>
      <c r="Z137" s="47">
        <v>44663</v>
      </c>
      <c r="AA137">
        <v>362.65</v>
      </c>
      <c r="AB137" s="119">
        <f>Table9[[#This Row],[Price]]/AA138-1</f>
        <v>-5.2539450308287217E-2</v>
      </c>
    </row>
    <row r="138" spans="1:28">
      <c r="A138" s="117">
        <v>44892</v>
      </c>
      <c r="B138">
        <v>105.05</v>
      </c>
      <c r="C138" s="119">
        <f t="shared" si="1"/>
        <v>5.5142627561269641E-2</v>
      </c>
      <c r="F138" s="47">
        <v>44892</v>
      </c>
      <c r="G138" s="16">
        <v>4071.7</v>
      </c>
      <c r="H138" s="119">
        <f>Table2[[#This Row],[Price]]/G139-1</f>
        <v>1.1321073390758274E-2</v>
      </c>
      <c r="J138" s="46"/>
      <c r="K138" s="117" t="s">
        <v>323</v>
      </c>
      <c r="L138">
        <v>32.1</v>
      </c>
      <c r="M138" s="119">
        <f>Table5[[#This Row],[Price]]/L139-1</f>
        <v>5.9405940594059459E-2</v>
      </c>
      <c r="N138" s="16"/>
      <c r="P138" s="46" t="s">
        <v>323</v>
      </c>
      <c r="Q138">
        <v>129.68</v>
      </c>
      <c r="R138" s="119">
        <f>Table6[[#This Row],[Price]]/Q139-1</f>
        <v>2.4895281751363463E-2</v>
      </c>
      <c r="U138" s="46" t="s">
        <v>323</v>
      </c>
      <c r="V138">
        <v>145.47999999999999</v>
      </c>
      <c r="W138" s="119">
        <f>Table8[[#This Row],[Price]]/V139-1</f>
        <v>-1.9610485881797923E-2</v>
      </c>
      <c r="Z138" s="46" t="s">
        <v>323</v>
      </c>
      <c r="AA138">
        <v>382.76</v>
      </c>
      <c r="AB138" s="119">
        <f>Table9[[#This Row],[Price]]/AA139-1</f>
        <v>-1.619287513494061E-2</v>
      </c>
    </row>
    <row r="139" spans="1:28">
      <c r="A139" s="117">
        <v>44885</v>
      </c>
      <c r="B139">
        <v>99.56</v>
      </c>
      <c r="C139" s="119">
        <f t="shared" si="1"/>
        <v>1.6436957631444704E-2</v>
      </c>
      <c r="F139" s="47">
        <v>44885</v>
      </c>
      <c r="G139" s="16">
        <v>4026.12</v>
      </c>
      <c r="H139" s="119">
        <f>Table2[[#This Row],[Price]]/G140-1</f>
        <v>1.5327815521493759E-2</v>
      </c>
      <c r="J139" s="47"/>
      <c r="K139" s="117" t="s">
        <v>324</v>
      </c>
      <c r="L139">
        <v>30.3</v>
      </c>
      <c r="M139" s="119">
        <f>Table5[[#This Row],[Price]]/L140-1</f>
        <v>8.3194675540765317E-3</v>
      </c>
      <c r="N139" s="16"/>
      <c r="P139" s="46" t="s">
        <v>324</v>
      </c>
      <c r="Q139">
        <v>126.53</v>
      </c>
      <c r="R139" s="119">
        <f>Table6[[#This Row],[Price]]/Q140-1</f>
        <v>1.5408073188347693E-2</v>
      </c>
      <c r="U139" s="46" t="s">
        <v>324</v>
      </c>
      <c r="V139">
        <v>148.38999999999999</v>
      </c>
      <c r="W139" s="119">
        <f>Table8[[#This Row],[Price]]/V140-1</f>
        <v>8.4953105885550162E-3</v>
      </c>
      <c r="Z139" s="46" t="s">
        <v>324</v>
      </c>
      <c r="AA139">
        <v>389.06</v>
      </c>
      <c r="AB139" s="119">
        <f>Table9[[#This Row],[Price]]/AA140-1</f>
        <v>5.7544374677213295E-2</v>
      </c>
    </row>
    <row r="140" spans="1:28">
      <c r="A140" s="117">
        <v>44878</v>
      </c>
      <c r="B140">
        <v>97.95</v>
      </c>
      <c r="C140" s="119">
        <f t="shared" si="1"/>
        <v>5.8533579790511769E-3</v>
      </c>
      <c r="F140" s="47">
        <v>44878</v>
      </c>
      <c r="G140" s="16">
        <v>3965.34</v>
      </c>
      <c r="H140" s="119">
        <f>Table2[[#This Row],[Price]]/G141-1</f>
        <v>-6.9097129175818006E-3</v>
      </c>
      <c r="J140" s="47"/>
      <c r="K140" s="117" t="s">
        <v>325</v>
      </c>
      <c r="L140">
        <v>30.05</v>
      </c>
      <c r="M140" s="119">
        <f>Table5[[#This Row],[Price]]/L141-1</f>
        <v>-2.655160969133652E-3</v>
      </c>
      <c r="N140" s="16"/>
      <c r="P140" s="46" t="s">
        <v>325</v>
      </c>
      <c r="Q140">
        <v>124.61</v>
      </c>
      <c r="R140" s="119">
        <f>Table6[[#This Row],[Price]]/Q141-1</f>
        <v>1.037865888267242E-2</v>
      </c>
      <c r="U140" s="46" t="s">
        <v>325</v>
      </c>
      <c r="V140">
        <v>147.13999999999999</v>
      </c>
      <c r="W140" s="119">
        <f>Table8[[#This Row],[Price]]/V141-1</f>
        <v>4.2363275715500137E-2</v>
      </c>
      <c r="Z140" s="46" t="s">
        <v>325</v>
      </c>
      <c r="AA140">
        <v>367.89</v>
      </c>
      <c r="AB140" s="119">
        <f>Table9[[#This Row],[Price]]/AA141-1</f>
        <v>3.7378587798755358E-3</v>
      </c>
    </row>
    <row r="141" spans="1:28">
      <c r="A141" s="117">
        <v>44723</v>
      </c>
      <c r="B141">
        <v>97.38</v>
      </c>
      <c r="C141" s="119">
        <f t="shared" si="1"/>
        <v>6.0091443500979613E-2</v>
      </c>
      <c r="F141" s="47">
        <v>44723</v>
      </c>
      <c r="G141" s="16">
        <v>3992.93</v>
      </c>
      <c r="H141" s="119">
        <f>Table2[[#This Row],[Price]]/G142-1</f>
        <v>5.8978133163596791E-2</v>
      </c>
      <c r="J141" s="46"/>
      <c r="K141" s="117">
        <v>44723</v>
      </c>
      <c r="L141">
        <v>30.13</v>
      </c>
      <c r="M141" s="119">
        <f>Table5[[#This Row],[Price]]/L142-1</f>
        <v>7.7996422182468716E-2</v>
      </c>
      <c r="N141" s="16"/>
      <c r="P141" s="47">
        <v>44723</v>
      </c>
      <c r="Q141">
        <v>123.33</v>
      </c>
      <c r="R141" s="119">
        <f>Table6[[#This Row],[Price]]/Q142-1</f>
        <v>1.2727869929380908E-2</v>
      </c>
      <c r="U141" s="47">
        <v>44723</v>
      </c>
      <c r="V141">
        <v>141.16</v>
      </c>
      <c r="W141" s="119">
        <f>Table8[[#This Row],[Price]]/V142-1</f>
        <v>-1.2735248337343297E-3</v>
      </c>
      <c r="Z141" s="47">
        <v>44723</v>
      </c>
      <c r="AA141">
        <v>366.52</v>
      </c>
      <c r="AB141" s="119">
        <f>Table9[[#This Row],[Price]]/AA142-1</f>
        <v>1.9101904629500899E-2</v>
      </c>
    </row>
    <row r="142" spans="1:28">
      <c r="A142" s="117">
        <v>44864</v>
      </c>
      <c r="B142">
        <v>91.86</v>
      </c>
      <c r="C142" s="119">
        <f t="shared" si="1"/>
        <v>5.464982778415628E-2</v>
      </c>
      <c r="F142" s="47">
        <v>44864</v>
      </c>
      <c r="G142" s="16">
        <v>3770.55</v>
      </c>
      <c r="H142" s="119">
        <f>Table2[[#This Row],[Price]]/G143-1</f>
        <v>-3.3455009664040025E-2</v>
      </c>
      <c r="J142" s="46"/>
      <c r="K142" s="117" t="s">
        <v>326</v>
      </c>
      <c r="L142">
        <v>27.95</v>
      </c>
      <c r="M142" s="119">
        <f>Table5[[#This Row],[Price]]/L143-1</f>
        <v>-7.1428571428571508E-2</v>
      </c>
      <c r="N142" s="16"/>
      <c r="P142" s="46" t="s">
        <v>326</v>
      </c>
      <c r="Q142">
        <v>121.78</v>
      </c>
      <c r="R142" s="119">
        <f>Table6[[#This Row],[Price]]/Q143-1</f>
        <v>3.3084492704445356E-2</v>
      </c>
      <c r="U142" s="46" t="s">
        <v>326</v>
      </c>
      <c r="V142">
        <v>141.34</v>
      </c>
      <c r="W142" s="119">
        <f>Table8[[#This Row],[Price]]/V143-1</f>
        <v>-8.0707418064426273E-3</v>
      </c>
      <c r="Z142" s="46" t="s">
        <v>326</v>
      </c>
      <c r="AA142">
        <v>359.65</v>
      </c>
      <c r="AB142" s="119">
        <f>Table9[[#This Row],[Price]]/AA143-1</f>
        <v>7.4223416965352396E-2</v>
      </c>
    </row>
    <row r="143" spans="1:28">
      <c r="A143" s="117">
        <v>44857</v>
      </c>
      <c r="B143">
        <v>87.1</v>
      </c>
      <c r="C143" s="119">
        <f t="shared" si="1"/>
        <v>-1.7040966030922089E-2</v>
      </c>
      <c r="F143" s="47">
        <v>44857</v>
      </c>
      <c r="G143" s="16">
        <v>3901.06</v>
      </c>
      <c r="H143" s="119">
        <f>Table2[[#This Row],[Price]]/G144-1</f>
        <v>3.9520351742055704E-2</v>
      </c>
      <c r="J143" s="47"/>
      <c r="K143" s="117" t="s">
        <v>327</v>
      </c>
      <c r="L143">
        <v>30.1</v>
      </c>
      <c r="M143" s="119">
        <f>Table5[[#This Row],[Price]]/L144-1</f>
        <v>-2.9032258064516037E-2</v>
      </c>
      <c r="N143" s="16"/>
      <c r="P143" s="46" t="s">
        <v>327</v>
      </c>
      <c r="Q143">
        <v>117.88</v>
      </c>
      <c r="R143" s="119">
        <f>Table6[[#This Row],[Price]]/Q144-1</f>
        <v>6.1695037377285322E-2</v>
      </c>
      <c r="U143" s="46" t="s">
        <v>327</v>
      </c>
      <c r="V143">
        <v>142.49</v>
      </c>
      <c r="W143" s="119">
        <f>Table8[[#This Row],[Price]]/V144-1</f>
        <v>6.878187818781889E-2</v>
      </c>
      <c r="Z143" s="46" t="s">
        <v>327</v>
      </c>
      <c r="AA143">
        <v>334.8</v>
      </c>
      <c r="AB143" s="119">
        <f>Table9[[#This Row],[Price]]/AA144-1</f>
        <v>4.1174275407388938E-2</v>
      </c>
    </row>
    <row r="144" spans="1:28">
      <c r="A144" s="117">
        <v>44850</v>
      </c>
      <c r="B144">
        <v>88.61</v>
      </c>
      <c r="C144" s="119">
        <f t="shared" si="1"/>
        <v>2.5934931110339177E-2</v>
      </c>
      <c r="F144" s="47">
        <v>44850</v>
      </c>
      <c r="G144" s="16">
        <v>3752.75</v>
      </c>
      <c r="H144" s="119">
        <f>Table2[[#This Row],[Price]]/G145-1</f>
        <v>4.7356038257695188E-2</v>
      </c>
      <c r="J144" s="47"/>
      <c r="K144" s="117" t="s">
        <v>328</v>
      </c>
      <c r="L144">
        <v>31</v>
      </c>
      <c r="M144" s="119">
        <f>Table5[[#This Row],[Price]]/L145-1</f>
        <v>2.7510772290354701E-2</v>
      </c>
      <c r="N144" s="16"/>
      <c r="P144" s="46" t="s">
        <v>328</v>
      </c>
      <c r="Q144">
        <v>111.03</v>
      </c>
      <c r="R144" s="119">
        <f>Table6[[#This Row],[Price]]/Q145-1</f>
        <v>3.9898847991008735E-2</v>
      </c>
      <c r="U144" s="46" t="s">
        <v>328</v>
      </c>
      <c r="V144">
        <v>133.32</v>
      </c>
      <c r="W144" s="119">
        <f>Table8[[#This Row],[Price]]/V145-1</f>
        <v>2.5380710659898442E-2</v>
      </c>
      <c r="Z144" s="46" t="s">
        <v>328</v>
      </c>
      <c r="AA144">
        <v>321.56</v>
      </c>
      <c r="AB144" s="119">
        <f>Table9[[#This Row],[Price]]/AA145-1</f>
        <v>1.3298039957143848E-2</v>
      </c>
    </row>
    <row r="145" spans="1:28">
      <c r="A145" s="117">
        <v>44814</v>
      </c>
      <c r="B145">
        <v>86.37</v>
      </c>
      <c r="C145" s="119">
        <f t="shared" si="1"/>
        <v>-7.5835918648741174E-3</v>
      </c>
      <c r="F145" s="47">
        <v>44814</v>
      </c>
      <c r="G145" s="16">
        <v>3583.07</v>
      </c>
      <c r="H145" s="119">
        <f>Table2[[#This Row],[Price]]/G146-1</f>
        <v>-1.554815559695133E-2</v>
      </c>
      <c r="J145" s="46"/>
      <c r="K145" s="117">
        <v>44814</v>
      </c>
      <c r="L145">
        <v>30.17</v>
      </c>
      <c r="M145" s="119">
        <f>Table5[[#This Row],[Price]]/L146-1</f>
        <v>1.9945909398242145E-2</v>
      </c>
      <c r="N145" s="16"/>
      <c r="P145" s="47">
        <v>44814</v>
      </c>
      <c r="Q145">
        <v>106.77</v>
      </c>
      <c r="R145" s="119">
        <f>Table6[[#This Row],[Price]]/Q146-1</f>
        <v>-1.982924814100806E-2</v>
      </c>
      <c r="U145" s="47">
        <v>44814</v>
      </c>
      <c r="V145">
        <v>130.02000000000001</v>
      </c>
      <c r="W145" s="119">
        <f>Table8[[#This Row],[Price]]/V146-1</f>
        <v>3.4449836900310338E-2</v>
      </c>
      <c r="Z145" s="47">
        <v>44814</v>
      </c>
      <c r="AA145">
        <v>317.33999999999997</v>
      </c>
      <c r="AB145" s="119">
        <f>Table9[[#This Row],[Price]]/AA146-1</f>
        <v>8.9660434948493073E-3</v>
      </c>
    </row>
    <row r="146" spans="1:28">
      <c r="A146" s="117">
        <v>44602</v>
      </c>
      <c r="B146">
        <v>87.03</v>
      </c>
      <c r="C146" s="119">
        <f t="shared" si="1"/>
        <v>3.2874436268692131E-2</v>
      </c>
      <c r="F146" s="47">
        <v>44602</v>
      </c>
      <c r="G146" s="16">
        <v>3639.66</v>
      </c>
      <c r="H146" s="119">
        <f>Table2[[#This Row],[Price]]/G147-1</f>
        <v>1.5071312632124911E-2</v>
      </c>
      <c r="J146" s="46"/>
      <c r="K146" s="117">
        <v>44602</v>
      </c>
      <c r="L146">
        <v>29.58</v>
      </c>
      <c r="M146" s="119">
        <f>Table5[[#This Row],[Price]]/L147-1</f>
        <v>-1.5968063872255467E-2</v>
      </c>
      <c r="N146" s="16"/>
      <c r="P146" s="47">
        <v>44602</v>
      </c>
      <c r="Q146">
        <v>108.93</v>
      </c>
      <c r="R146" s="119">
        <f>Table6[[#This Row],[Price]]/Q147-1</f>
        <v>2.4355839759262699E-2</v>
      </c>
      <c r="U146" s="47">
        <v>44602</v>
      </c>
      <c r="V146">
        <v>125.69</v>
      </c>
      <c r="W146" s="119">
        <f>Table8[[#This Row],[Price]]/V147-1</f>
        <v>-4.9873337555415009E-3</v>
      </c>
      <c r="Z146" s="47">
        <v>44602</v>
      </c>
      <c r="AA146">
        <v>314.52</v>
      </c>
      <c r="AB146" s="119">
        <f>Table9[[#This Row],[Price]]/AA147-1</f>
        <v>1.3926499032882012E-2</v>
      </c>
    </row>
    <row r="147" spans="1:28">
      <c r="A147" s="117">
        <v>44829</v>
      </c>
      <c r="B147">
        <v>84.26</v>
      </c>
      <c r="C147" s="119">
        <f t="shared" si="1"/>
        <v>1.069264583580809E-3</v>
      </c>
      <c r="F147" s="47">
        <v>44829</v>
      </c>
      <c r="G147" s="16">
        <v>3585.62</v>
      </c>
      <c r="H147" s="119">
        <f>Table2[[#This Row],[Price]]/G148-1</f>
        <v>-2.9137096796029494E-2</v>
      </c>
      <c r="J147" s="46"/>
      <c r="K147" s="117" t="s">
        <v>329</v>
      </c>
      <c r="L147">
        <v>30.06</v>
      </c>
      <c r="M147" s="119">
        <f>Table5[[#This Row],[Price]]/L148-1</f>
        <v>-3.4991974317816976E-2</v>
      </c>
      <c r="N147" s="16"/>
      <c r="P147" s="46" t="s">
        <v>329</v>
      </c>
      <c r="Q147">
        <v>106.34</v>
      </c>
      <c r="R147" s="119">
        <f>Table6[[#This Row],[Price]]/Q148-1</f>
        <v>-3.8951649344780903E-2</v>
      </c>
      <c r="U147" s="46" t="s">
        <v>329</v>
      </c>
      <c r="V147">
        <v>126.32</v>
      </c>
      <c r="W147" s="119">
        <f>Table8[[#This Row],[Price]]/V148-1</f>
        <v>3.2110466541384053E-2</v>
      </c>
      <c r="Z147" s="46" t="s">
        <v>329</v>
      </c>
      <c r="AA147">
        <v>310.2</v>
      </c>
      <c r="AB147" s="119">
        <f>Table9[[#This Row],[Price]]/AA148-1</f>
        <v>-6.0000000000000053E-2</v>
      </c>
    </row>
    <row r="148" spans="1:28">
      <c r="A148" s="117">
        <v>44822</v>
      </c>
      <c r="B148">
        <v>84.17</v>
      </c>
      <c r="C148" s="119">
        <f t="shared" si="1"/>
        <v>-7.8195159347278498E-2</v>
      </c>
      <c r="F148" s="47">
        <v>44822</v>
      </c>
      <c r="G148" s="16">
        <v>3693.23</v>
      </c>
      <c r="H148" s="119">
        <f>Table2[[#This Row],[Price]]/G149-1</f>
        <v>-4.6497458259430524E-2</v>
      </c>
      <c r="J148" s="47"/>
      <c r="K148" s="117" t="s">
        <v>330</v>
      </c>
      <c r="L148">
        <v>31.15</v>
      </c>
      <c r="M148" s="119">
        <f>Table5[[#This Row],[Price]]/L149-1</f>
        <v>-8.030705639208735E-2</v>
      </c>
      <c r="N148" s="16"/>
      <c r="P148" s="46" t="s">
        <v>330</v>
      </c>
      <c r="Q148">
        <v>110.65</v>
      </c>
      <c r="R148" s="119">
        <f>Table6[[#This Row],[Price]]/Q149-1</f>
        <v>-4.3812651227099875E-2</v>
      </c>
      <c r="U148" s="46" t="s">
        <v>330</v>
      </c>
      <c r="V148">
        <v>122.39</v>
      </c>
      <c r="W148" s="119">
        <f>Table8[[#This Row],[Price]]/V149-1</f>
        <v>-5.6215299198025925E-2</v>
      </c>
      <c r="Z148" s="46" t="s">
        <v>330</v>
      </c>
      <c r="AA148">
        <v>330</v>
      </c>
      <c r="AB148" s="119">
        <f>Table9[[#This Row],[Price]]/AA149-1</f>
        <v>-3.7816718663440052E-2</v>
      </c>
    </row>
    <row r="149" spans="1:28">
      <c r="A149" s="117">
        <v>44874</v>
      </c>
      <c r="B149">
        <v>91.31</v>
      </c>
      <c r="C149" s="119">
        <f t="shared" si="1"/>
        <v>2.9541098207238825E-2</v>
      </c>
      <c r="F149" s="47">
        <v>44874</v>
      </c>
      <c r="G149" s="16">
        <v>3873.33</v>
      </c>
      <c r="H149" s="119">
        <f>Table2[[#This Row],[Price]]/G150-1</f>
        <v>-4.7704161913378784E-2</v>
      </c>
      <c r="J149" s="46"/>
      <c r="K149" s="117">
        <v>44874</v>
      </c>
      <c r="L149">
        <v>33.869999999999997</v>
      </c>
      <c r="M149" s="119">
        <f>Table5[[#This Row],[Price]]/L150-1</f>
        <v>-1.7406440382941701E-2</v>
      </c>
      <c r="N149" s="16"/>
      <c r="P149" s="47">
        <v>44874</v>
      </c>
      <c r="Q149">
        <v>115.72</v>
      </c>
      <c r="R149" s="119">
        <f>Table6[[#This Row],[Price]]/Q150-1</f>
        <v>-3.1871823585150061E-3</v>
      </c>
      <c r="U149" s="47">
        <v>44874</v>
      </c>
      <c r="V149">
        <v>129.68</v>
      </c>
      <c r="W149" s="119">
        <f>Table8[[#This Row],[Price]]/V150-1</f>
        <v>-1.0378510378510231E-2</v>
      </c>
      <c r="Z149" s="47">
        <v>44874</v>
      </c>
      <c r="AA149">
        <v>342.97</v>
      </c>
      <c r="AB149" s="119">
        <f>Table9[[#This Row],[Price]]/AA150-1</f>
        <v>-6.5782305513183648E-2</v>
      </c>
    </row>
    <row r="150" spans="1:28">
      <c r="A150" s="117">
        <v>44660</v>
      </c>
      <c r="B150">
        <v>88.69</v>
      </c>
      <c r="C150" s="119">
        <f t="shared" si="1"/>
        <v>6.9327224499638351E-2</v>
      </c>
      <c r="F150" s="47">
        <v>44660</v>
      </c>
      <c r="G150" s="16">
        <v>4067.36</v>
      </c>
      <c r="H150" s="119">
        <f>Table2[[#This Row],[Price]]/G151-1</f>
        <v>3.646547374536846E-2</v>
      </c>
      <c r="J150" s="46"/>
      <c r="K150" s="117">
        <v>44660</v>
      </c>
      <c r="L150">
        <v>34.47</v>
      </c>
      <c r="M150" s="119">
        <f>Table5[[#This Row],[Price]]/L151-1</f>
        <v>6.6192390968141002E-2</v>
      </c>
      <c r="N150" s="16"/>
      <c r="P150" s="47">
        <v>44660</v>
      </c>
      <c r="Q150">
        <v>116.09</v>
      </c>
      <c r="R150" s="119">
        <f>Table6[[#This Row],[Price]]/Q151-1</f>
        <v>2.9714387085329141E-2</v>
      </c>
      <c r="U150" s="47">
        <v>44660</v>
      </c>
      <c r="V150">
        <v>131.04</v>
      </c>
      <c r="W150" s="119">
        <f>Table8[[#This Row],[Price]]/V151-1</f>
        <v>4.6896221139250516E-2</v>
      </c>
      <c r="Z150" s="47">
        <v>44660</v>
      </c>
      <c r="AA150">
        <v>367.12</v>
      </c>
      <c r="AB150" s="119">
        <f>Table9[[#This Row],[Price]]/AA151-1</f>
        <v>3.6085292509568934E-3</v>
      </c>
    </row>
    <row r="151" spans="1:28">
      <c r="A151" s="117">
        <v>44801</v>
      </c>
      <c r="B151">
        <v>82.94</v>
      </c>
      <c r="C151" s="119">
        <f t="shared" ref="C151:C214" si="2">B151/B152-1</f>
        <v>-1.3323816321675008E-2</v>
      </c>
      <c r="F151" s="47">
        <v>44801</v>
      </c>
      <c r="G151" s="16">
        <v>3924.26</v>
      </c>
      <c r="H151" s="119">
        <f>Table2[[#This Row],[Price]]/G152-1</f>
        <v>-3.2876091146128439E-2</v>
      </c>
      <c r="J151" s="46"/>
      <c r="K151" s="117" t="s">
        <v>331</v>
      </c>
      <c r="L151">
        <v>32.33</v>
      </c>
      <c r="M151" s="119">
        <f>Table5[[#This Row],[Price]]/L152-1</f>
        <v>-7.0638820638821986E-3</v>
      </c>
      <c r="N151" s="16"/>
      <c r="P151" s="46" t="s">
        <v>331</v>
      </c>
      <c r="Q151">
        <v>112.74</v>
      </c>
      <c r="R151" s="119">
        <f>Table6[[#This Row],[Price]]/Q152-1</f>
        <v>5.1711840228245709E-3</v>
      </c>
      <c r="U151" s="46" t="s">
        <v>331</v>
      </c>
      <c r="V151">
        <v>125.17</v>
      </c>
      <c r="W151" s="119">
        <f>Table8[[#This Row],[Price]]/V152-1</f>
        <v>1.6003840921821055E-3</v>
      </c>
      <c r="Z151" s="46" t="s">
        <v>331</v>
      </c>
      <c r="AA151">
        <v>365.8</v>
      </c>
      <c r="AB151" s="119">
        <f>Table9[[#This Row],[Price]]/AA152-1</f>
        <v>-6.2724198011683829E-2</v>
      </c>
    </row>
    <row r="152" spans="1:28">
      <c r="A152" s="117">
        <v>44794</v>
      </c>
      <c r="B152">
        <v>84.06</v>
      </c>
      <c r="C152" s="119">
        <f t="shared" si="2"/>
        <v>-3.2903819604233719E-2</v>
      </c>
      <c r="F152" s="47">
        <v>44794</v>
      </c>
      <c r="G152" s="16">
        <v>4057.66</v>
      </c>
      <c r="H152" s="119">
        <f>Table2[[#This Row],[Price]]/G153-1</f>
        <v>-4.0397495080974677E-2</v>
      </c>
      <c r="J152" s="47"/>
      <c r="K152" s="117" t="s">
        <v>332</v>
      </c>
      <c r="L152">
        <v>32.56</v>
      </c>
      <c r="M152" s="119">
        <f>Table5[[#This Row],[Price]]/L153-1</f>
        <v>-2.6606875934230168E-2</v>
      </c>
      <c r="N152" s="16"/>
      <c r="P152" s="46" t="s">
        <v>332</v>
      </c>
      <c r="Q152">
        <v>112.16</v>
      </c>
      <c r="R152" s="119">
        <f>Table6[[#This Row],[Price]]/Q153-1</f>
        <v>-3.8491213030433014E-2</v>
      </c>
      <c r="U152" s="46" t="s">
        <v>332</v>
      </c>
      <c r="V152">
        <v>124.97</v>
      </c>
      <c r="W152" s="119">
        <f>Table8[[#This Row],[Price]]/V153-1</f>
        <v>-3.1765708530254844E-2</v>
      </c>
      <c r="Z152" s="46" t="s">
        <v>332</v>
      </c>
      <c r="AA152">
        <v>390.28</v>
      </c>
      <c r="AB152" s="119">
        <f>Table9[[#This Row],[Price]]/AA153-1</f>
        <v>-3.682132280355388E-2</v>
      </c>
    </row>
    <row r="153" spans="1:28">
      <c r="A153" s="117">
        <v>44787</v>
      </c>
      <c r="B153">
        <v>86.92</v>
      </c>
      <c r="C153" s="119">
        <f t="shared" si="2"/>
        <v>-1.5740006794247585E-2</v>
      </c>
      <c r="F153" s="47">
        <v>44787</v>
      </c>
      <c r="G153" s="16">
        <v>4228.4799999999996</v>
      </c>
      <c r="H153" s="119">
        <f>Table2[[#This Row],[Price]]/G154-1</f>
        <v>-1.2072006822190784E-2</v>
      </c>
      <c r="J153" s="47"/>
      <c r="K153" s="117" t="s">
        <v>333</v>
      </c>
      <c r="L153">
        <v>33.450000000000003</v>
      </c>
      <c r="M153" s="119">
        <f>Table5[[#This Row],[Price]]/L154-1</f>
        <v>5.4102795311090635E-3</v>
      </c>
      <c r="N153" s="16"/>
      <c r="P153" s="46" t="s">
        <v>333</v>
      </c>
      <c r="Q153">
        <v>116.65</v>
      </c>
      <c r="R153" s="119">
        <f>Table6[[#This Row],[Price]]/Q154-1</f>
        <v>-1.2779282329045238E-2</v>
      </c>
      <c r="U153" s="46" t="s">
        <v>333</v>
      </c>
      <c r="V153">
        <v>129.07</v>
      </c>
      <c r="W153" s="119">
        <f>Table8[[#This Row],[Price]]/V154-1</f>
        <v>-2.1529830945341555E-2</v>
      </c>
      <c r="Z153" s="46" t="s">
        <v>333</v>
      </c>
      <c r="AA153">
        <v>405.2</v>
      </c>
      <c r="AB153" s="119">
        <f>Table9[[#This Row],[Price]]/AA154-1</f>
        <v>-1.7077430622938095E-2</v>
      </c>
    </row>
    <row r="154" spans="1:28">
      <c r="A154" s="117">
        <v>44750</v>
      </c>
      <c r="B154">
        <v>88.31</v>
      </c>
      <c r="C154" s="119">
        <f t="shared" si="2"/>
        <v>3.0094482678175716E-2</v>
      </c>
      <c r="F154" s="47">
        <v>44750</v>
      </c>
      <c r="G154" s="16">
        <v>4280.1499999999996</v>
      </c>
      <c r="H154" s="119">
        <f>Table2[[#This Row],[Price]]/G155-1</f>
        <v>3.2558218079267842E-2</v>
      </c>
      <c r="J154" s="46"/>
      <c r="K154" s="117">
        <v>44750</v>
      </c>
      <c r="L154">
        <v>33.270000000000003</v>
      </c>
      <c r="M154" s="119">
        <f>Table5[[#This Row],[Price]]/L155-1</f>
        <v>3.9038101186758212E-2</v>
      </c>
      <c r="N154" s="16"/>
      <c r="P154" s="47">
        <v>44750</v>
      </c>
      <c r="Q154">
        <v>118.16</v>
      </c>
      <c r="R154" s="119">
        <f>Table6[[#This Row],[Price]]/Q155-1</f>
        <v>-2.1955750717784772E-3</v>
      </c>
      <c r="U154" s="47">
        <v>44750</v>
      </c>
      <c r="V154">
        <v>131.91</v>
      </c>
      <c r="W154" s="119">
        <f>Table8[[#This Row],[Price]]/V155-1</f>
        <v>6.7405729082375743E-2</v>
      </c>
      <c r="Z154" s="47">
        <v>44750</v>
      </c>
      <c r="AA154">
        <v>412.24</v>
      </c>
      <c r="AB154" s="119">
        <f>Table9[[#This Row],[Price]]/AA155-1</f>
        <v>6.2665944886964198E-2</v>
      </c>
    </row>
    <row r="155" spans="1:28">
      <c r="A155" s="117">
        <v>44773</v>
      </c>
      <c r="B155">
        <v>85.73</v>
      </c>
      <c r="C155" s="119">
        <f t="shared" si="2"/>
        <v>1.1205472988912613E-2</v>
      </c>
      <c r="F155" s="47">
        <v>44773</v>
      </c>
      <c r="G155" s="16">
        <v>4145.1899999999996</v>
      </c>
      <c r="H155" s="119">
        <f>Table2[[#This Row],[Price]]/G156-1</f>
        <v>3.6074948732411904E-3</v>
      </c>
      <c r="J155" s="46"/>
      <c r="K155" s="117" t="s">
        <v>334</v>
      </c>
      <c r="L155">
        <v>32.020000000000003</v>
      </c>
      <c r="M155" s="119">
        <f>Table5[[#This Row],[Price]]/L156-1</f>
        <v>2.3657289002557702E-2</v>
      </c>
      <c r="N155" s="16"/>
      <c r="P155" s="46" t="s">
        <v>334</v>
      </c>
      <c r="Q155">
        <v>118.42</v>
      </c>
      <c r="R155" s="119">
        <f>Table6[[#This Row],[Price]]/Q156-1</f>
        <v>-3.3621674555247338E-2</v>
      </c>
      <c r="U155" s="46" t="s">
        <v>334</v>
      </c>
      <c r="V155">
        <v>123.58</v>
      </c>
      <c r="W155" s="119">
        <f>Table8[[#This Row],[Price]]/V156-1</f>
        <v>-7.309824082255556E-3</v>
      </c>
      <c r="Z155" s="46" t="s">
        <v>334</v>
      </c>
      <c r="AA155">
        <v>387.93</v>
      </c>
      <c r="AB155" s="119">
        <f>Table9[[#This Row],[Price]]/AA156-1</f>
        <v>-1.0660273902731388E-2</v>
      </c>
    </row>
    <row r="156" spans="1:28">
      <c r="A156" s="117">
        <v>44766</v>
      </c>
      <c r="B156">
        <v>84.78</v>
      </c>
      <c r="C156" s="119">
        <f t="shared" si="2"/>
        <v>1.4236152649838463E-2</v>
      </c>
      <c r="F156" s="47">
        <v>44766</v>
      </c>
      <c r="G156" s="16">
        <v>4130.29</v>
      </c>
      <c r="H156" s="119">
        <f>Table2[[#This Row],[Price]]/G157-1</f>
        <v>4.2573385197506974E-2</v>
      </c>
      <c r="J156" s="47"/>
      <c r="K156" s="117" t="s">
        <v>335</v>
      </c>
      <c r="L156">
        <v>31.28</v>
      </c>
      <c r="M156" s="119">
        <f>Table5[[#This Row],[Price]]/L157-1</f>
        <v>0.16066790352504645</v>
      </c>
      <c r="N156" s="16"/>
      <c r="P156" s="46" t="s">
        <v>335</v>
      </c>
      <c r="Q156">
        <v>122.54</v>
      </c>
      <c r="R156" s="119">
        <f>Table6[[#This Row],[Price]]/Q157-1</f>
        <v>2.5868564252825577E-2</v>
      </c>
      <c r="U156" s="46" t="s">
        <v>335</v>
      </c>
      <c r="V156">
        <v>124.49</v>
      </c>
      <c r="W156" s="119">
        <f>Table8[[#This Row],[Price]]/V157-1</f>
        <v>2.5875566543057227E-2</v>
      </c>
      <c r="Z156" s="46" t="s">
        <v>335</v>
      </c>
      <c r="AA156">
        <v>392.11</v>
      </c>
      <c r="AB156" s="119">
        <f>Table9[[#This Row],[Price]]/AA157-1</f>
        <v>-1.7932727227189527E-2</v>
      </c>
    </row>
    <row r="157" spans="1:28">
      <c r="A157" s="117">
        <v>44759</v>
      </c>
      <c r="B157">
        <v>83.59</v>
      </c>
      <c r="C157" s="119">
        <f t="shared" si="2"/>
        <v>4.9861843757849744E-2</v>
      </c>
      <c r="F157" s="47">
        <v>44759</v>
      </c>
      <c r="G157" s="16">
        <v>3961.63</v>
      </c>
      <c r="H157" s="119">
        <f>Table2[[#This Row],[Price]]/G158-1</f>
        <v>2.5489495646051408E-2</v>
      </c>
      <c r="J157" s="47"/>
      <c r="K157" s="117" t="s">
        <v>336</v>
      </c>
      <c r="L157">
        <v>26.95</v>
      </c>
      <c r="M157" s="119">
        <f>Table5[[#This Row],[Price]]/L158-1</f>
        <v>3.6538461538461409E-2</v>
      </c>
      <c r="N157" s="16"/>
      <c r="P157" s="46" t="s">
        <v>336</v>
      </c>
      <c r="Q157">
        <v>119.45</v>
      </c>
      <c r="R157" s="119">
        <f>Table6[[#This Row],[Price]]/Q158-1</f>
        <v>1.10029623360135E-2</v>
      </c>
      <c r="U157" s="46" t="s">
        <v>336</v>
      </c>
      <c r="V157">
        <v>121.35</v>
      </c>
      <c r="W157" s="119">
        <f>Table8[[#This Row],[Price]]/V158-1</f>
        <v>3.6382270048680443E-2</v>
      </c>
      <c r="Z157" s="46" t="s">
        <v>336</v>
      </c>
      <c r="AA157">
        <v>399.27</v>
      </c>
      <c r="AB157" s="119">
        <f>Table9[[#This Row],[Price]]/AA158-1</f>
        <v>-1.8027545499262221E-2</v>
      </c>
    </row>
    <row r="158" spans="1:28">
      <c r="A158" s="117">
        <v>44841</v>
      </c>
      <c r="B158">
        <v>79.62</v>
      </c>
      <c r="C158" s="119">
        <f t="shared" si="2"/>
        <v>4.2885973763875374E-3</v>
      </c>
      <c r="F158" s="47">
        <v>44841</v>
      </c>
      <c r="G158" s="16">
        <v>3863.16</v>
      </c>
      <c r="H158" s="119">
        <f>Table2[[#This Row],[Price]]/G159-1</f>
        <v>-9.2886561453360272E-3</v>
      </c>
      <c r="J158" s="46"/>
      <c r="K158" s="117">
        <v>44841</v>
      </c>
      <c r="L158">
        <v>26</v>
      </c>
      <c r="M158" s="119">
        <f>Table5[[#This Row],[Price]]/L159-1</f>
        <v>-2.9488615154908526E-2</v>
      </c>
      <c r="N158" s="16"/>
      <c r="P158" s="47">
        <v>44841</v>
      </c>
      <c r="Q158">
        <v>118.15</v>
      </c>
      <c r="R158" s="119">
        <f>Table6[[#This Row],[Price]]/Q159-1</f>
        <v>7.4181446111869498E-3</v>
      </c>
      <c r="U158" s="47">
        <v>44841</v>
      </c>
      <c r="V158">
        <v>117.09</v>
      </c>
      <c r="W158" s="119">
        <f>Table8[[#This Row],[Price]]/V159-1</f>
        <v>2.6545641376949369E-3</v>
      </c>
      <c r="Z158" s="47">
        <v>44841</v>
      </c>
      <c r="AA158">
        <v>406.6</v>
      </c>
      <c r="AB158" s="119">
        <f>Table9[[#This Row],[Price]]/AA159-1</f>
        <v>1.3080852124081277E-2</v>
      </c>
    </row>
    <row r="159" spans="1:28">
      <c r="A159" s="117">
        <v>44627</v>
      </c>
      <c r="B159">
        <v>79.28</v>
      </c>
      <c r="C159" s="119">
        <f t="shared" si="2"/>
        <v>2.5233409033553755E-4</v>
      </c>
      <c r="F159" s="47">
        <v>44627</v>
      </c>
      <c r="G159" s="16">
        <v>3899.38</v>
      </c>
      <c r="H159" s="119">
        <f>Table2[[#This Row],[Price]]/G160-1</f>
        <v>1.9357807038869801E-2</v>
      </c>
      <c r="J159" s="46"/>
      <c r="K159" s="117">
        <v>44627</v>
      </c>
      <c r="L159">
        <v>26.79</v>
      </c>
      <c r="M159" s="119">
        <f>Table5[[#This Row],[Price]]/L160-1</f>
        <v>2.4866105585309883E-2</v>
      </c>
      <c r="N159" s="16"/>
      <c r="P159" s="47">
        <v>44627</v>
      </c>
      <c r="Q159">
        <v>117.28</v>
      </c>
      <c r="R159" s="119">
        <f>Table6[[#This Row],[Price]]/Q160-1</f>
        <v>4.8839002656155817E-3</v>
      </c>
      <c r="U159" s="47">
        <v>44627</v>
      </c>
      <c r="V159">
        <v>116.78</v>
      </c>
      <c r="W159" s="119">
        <f>Table8[[#This Row],[Price]]/V160-1</f>
        <v>2.1250546567555872E-2</v>
      </c>
      <c r="Z159" s="47">
        <v>44627</v>
      </c>
      <c r="AA159">
        <v>401.35</v>
      </c>
      <c r="AB159" s="119">
        <f>Table9[[#This Row],[Price]]/AA160-1</f>
        <v>-5.599464829910028E-3</v>
      </c>
    </row>
    <row r="160" spans="1:28">
      <c r="A160" s="117">
        <v>44738</v>
      </c>
      <c r="B160">
        <v>79.260000000000005</v>
      </c>
      <c r="C160" s="119">
        <f t="shared" si="2"/>
        <v>1.4722826782742393E-2</v>
      </c>
      <c r="F160" s="47">
        <v>44738</v>
      </c>
      <c r="G160" s="16">
        <v>3825.33</v>
      </c>
      <c r="H160" s="119">
        <f>Table2[[#This Row],[Price]]/G161-1</f>
        <v>-2.2089913951336193E-2</v>
      </c>
      <c r="J160" s="46"/>
      <c r="K160" s="117" t="s">
        <v>337</v>
      </c>
      <c r="L160">
        <v>26.14</v>
      </c>
      <c r="M160" s="119">
        <f>Table5[[#This Row],[Price]]/L161-1</f>
        <v>-1.6553799849510775E-2</v>
      </c>
      <c r="N160" s="16"/>
      <c r="P160" s="46" t="s">
        <v>337</v>
      </c>
      <c r="Q160">
        <v>116.71</v>
      </c>
      <c r="R160" s="119">
        <f>Table6[[#This Row],[Price]]/Q161-1</f>
        <v>2.001398356930606E-2</v>
      </c>
      <c r="U160" s="46" t="s">
        <v>337</v>
      </c>
      <c r="V160">
        <v>114.35</v>
      </c>
      <c r="W160" s="119">
        <f>Table8[[#This Row],[Price]]/V161-1</f>
        <v>-4.557215591352981E-2</v>
      </c>
      <c r="Z160" s="46" t="s">
        <v>337</v>
      </c>
      <c r="AA160">
        <v>403.61</v>
      </c>
      <c r="AB160" s="119">
        <f>Table9[[#This Row],[Price]]/AA161-1</f>
        <v>1.7829222777021148E-2</v>
      </c>
    </row>
    <row r="161" spans="1:28">
      <c r="A161" s="117">
        <v>44731</v>
      </c>
      <c r="B161">
        <v>78.11</v>
      </c>
      <c r="C161" s="119">
        <f t="shared" si="2"/>
        <v>8.6823431195213407E-2</v>
      </c>
      <c r="F161" s="47">
        <v>44731</v>
      </c>
      <c r="G161" s="16">
        <v>3911.74</v>
      </c>
      <c r="H161" s="119">
        <f>Table2[[#This Row],[Price]]/G162-1</f>
        <v>6.4465391690522456E-2</v>
      </c>
      <c r="J161" s="47"/>
      <c r="K161" s="117" t="s">
        <v>338</v>
      </c>
      <c r="L161">
        <v>26.58</v>
      </c>
      <c r="M161" s="119">
        <f>Table5[[#This Row],[Price]]/L162-1</f>
        <v>6.70413488558812E-2</v>
      </c>
      <c r="N161" s="16"/>
      <c r="P161" s="46" t="s">
        <v>338</v>
      </c>
      <c r="Q161">
        <v>114.42</v>
      </c>
      <c r="R161" s="119">
        <f>Table6[[#This Row],[Price]]/Q162-1</f>
        <v>4.4931506849315017E-2</v>
      </c>
      <c r="U161" s="46" t="s">
        <v>338</v>
      </c>
      <c r="V161">
        <v>119.81</v>
      </c>
      <c r="W161" s="119">
        <f>Table8[[#This Row],[Price]]/V162-1</f>
        <v>4.9124343257443082E-2</v>
      </c>
      <c r="Z161" s="46" t="s">
        <v>338</v>
      </c>
      <c r="AA161">
        <v>396.54</v>
      </c>
      <c r="AB161" s="119">
        <f>Table9[[#This Row],[Price]]/AA162-1</f>
        <v>4.5810586280560228E-2</v>
      </c>
    </row>
    <row r="162" spans="1:28">
      <c r="A162" s="117">
        <v>44901</v>
      </c>
      <c r="B162">
        <v>71.87</v>
      </c>
      <c r="C162" s="119">
        <f t="shared" si="2"/>
        <v>-5.0218052068190744E-2</v>
      </c>
      <c r="F162" s="47">
        <v>44901</v>
      </c>
      <c r="G162" s="16">
        <v>3674.84</v>
      </c>
      <c r="H162" s="119">
        <f>Table2[[#This Row],[Price]]/G163-1</f>
        <v>-5.7941069405208045E-2</v>
      </c>
      <c r="J162" s="47"/>
      <c r="K162" s="117">
        <v>44901</v>
      </c>
      <c r="L162">
        <v>24.91</v>
      </c>
      <c r="M162" s="119">
        <f>Table5[[#This Row],[Price]]/L163-1</f>
        <v>-5.4290053151101025E-2</v>
      </c>
      <c r="N162" s="16"/>
      <c r="P162" s="47">
        <v>44901</v>
      </c>
      <c r="Q162">
        <v>109.5</v>
      </c>
      <c r="R162" s="119">
        <f>Table6[[#This Row],[Price]]/Q163-1</f>
        <v>-4.2915829035923392E-2</v>
      </c>
      <c r="U162" s="47">
        <v>44901</v>
      </c>
      <c r="V162">
        <v>114.2</v>
      </c>
      <c r="W162" s="119">
        <f>Table8[[#This Row],[Price]]/V163-1</f>
        <v>-4.7857261964315501E-2</v>
      </c>
      <c r="Z162" s="47">
        <v>44901</v>
      </c>
      <c r="AA162">
        <v>379.17</v>
      </c>
      <c r="AB162" s="119">
        <f>Table9[[#This Row],[Price]]/AA163-1</f>
        <v>-3.4954007884362426E-3</v>
      </c>
    </row>
    <row r="163" spans="1:28">
      <c r="A163" s="117">
        <v>44687</v>
      </c>
      <c r="B163">
        <v>75.67</v>
      </c>
      <c r="C163" s="119">
        <f t="shared" si="2"/>
        <v>-4.275774826059453E-2</v>
      </c>
      <c r="F163" s="47">
        <v>44687</v>
      </c>
      <c r="G163" s="16">
        <v>3900.86</v>
      </c>
      <c r="H163" s="119">
        <f>Table2[[#This Row],[Price]]/G164-1</f>
        <v>-5.054836998057699E-2</v>
      </c>
      <c r="J163" s="46"/>
      <c r="K163" s="117">
        <v>44687</v>
      </c>
      <c r="L163">
        <v>26.34</v>
      </c>
      <c r="M163" s="119">
        <f>Table5[[#This Row],[Price]]/L164-1</f>
        <v>-4.2181818181818209E-2</v>
      </c>
      <c r="N163" s="16"/>
      <c r="P163" s="47">
        <v>44687</v>
      </c>
      <c r="Q163">
        <v>114.41</v>
      </c>
      <c r="R163" s="119">
        <f>Table6[[#This Row],[Price]]/Q164-1</f>
        <v>-3.5491485415612978E-2</v>
      </c>
      <c r="U163" s="47">
        <v>44687</v>
      </c>
      <c r="V163">
        <v>119.94</v>
      </c>
      <c r="W163" s="119">
        <f>Table8[[#This Row],[Price]]/V164-1</f>
        <v>-4.6430275083479078E-2</v>
      </c>
      <c r="Z163" s="47">
        <v>44687</v>
      </c>
      <c r="AA163">
        <v>380.5</v>
      </c>
      <c r="AB163" s="119">
        <f>Table9[[#This Row],[Price]]/AA164-1</f>
        <v>3.3630337933282517E-2</v>
      </c>
    </row>
    <row r="164" spans="1:28">
      <c r="A164" s="117">
        <v>44710</v>
      </c>
      <c r="B164">
        <v>79.05</v>
      </c>
      <c r="C164" s="119">
        <f t="shared" si="2"/>
        <v>3.050449745795869E-2</v>
      </c>
      <c r="F164" s="47">
        <v>44710</v>
      </c>
      <c r="G164" s="16">
        <v>4108.54</v>
      </c>
      <c r="H164" s="119">
        <f>Table2[[#This Row],[Price]]/G165-1</f>
        <v>-1.1952172072799971E-2</v>
      </c>
      <c r="J164" s="46"/>
      <c r="K164" s="117" t="s">
        <v>339</v>
      </c>
      <c r="L164">
        <v>27.5</v>
      </c>
      <c r="M164" s="119">
        <f>Table5[[#This Row],[Price]]/L165-1</f>
        <v>-1.9607843137254943E-2</v>
      </c>
      <c r="N164" s="16"/>
      <c r="P164" s="46" t="s">
        <v>339</v>
      </c>
      <c r="Q164">
        <v>118.62</v>
      </c>
      <c r="R164" s="119">
        <f>Table6[[#This Row],[Price]]/Q165-1</f>
        <v>-9.6017366619353117E-3</v>
      </c>
      <c r="U164" s="46" t="s">
        <v>339</v>
      </c>
      <c r="V164">
        <v>125.78</v>
      </c>
      <c r="W164" s="119">
        <f>Table8[[#This Row],[Price]]/V165-1</f>
        <v>-2.0628371945414781E-3</v>
      </c>
      <c r="Z164" s="46" t="s">
        <v>339</v>
      </c>
      <c r="AA164">
        <v>368.12</v>
      </c>
      <c r="AB164" s="119">
        <f>Table9[[#This Row],[Price]]/AA165-1</f>
        <v>6.039736547238439E-3</v>
      </c>
    </row>
    <row r="165" spans="1:28">
      <c r="A165" s="117">
        <v>44703</v>
      </c>
      <c r="B165">
        <v>76.709999999999994</v>
      </c>
      <c r="C165" s="119">
        <f t="shared" si="2"/>
        <v>4.5237770813462141E-2</v>
      </c>
      <c r="F165" s="47">
        <v>44703</v>
      </c>
      <c r="G165" s="16">
        <v>4158.24</v>
      </c>
      <c r="H165" s="119">
        <f>Table2[[#This Row],[Price]]/G166-1</f>
        <v>6.5843705784649265E-2</v>
      </c>
      <c r="J165" s="47"/>
      <c r="K165" s="117" t="s">
        <v>340</v>
      </c>
      <c r="L165">
        <v>28.05</v>
      </c>
      <c r="M165" s="119">
        <f>Table5[[#This Row],[Price]]/L166-1</f>
        <v>8.3848531684698635E-2</v>
      </c>
      <c r="N165" s="16"/>
      <c r="P165" s="46" t="s">
        <v>340</v>
      </c>
      <c r="Q165">
        <v>119.77</v>
      </c>
      <c r="R165" s="119">
        <f>Table6[[#This Row],[Price]]/Q166-1</f>
        <v>7.0139385275196586E-2</v>
      </c>
      <c r="U165" s="46" t="s">
        <v>340</v>
      </c>
      <c r="V165">
        <v>126.04</v>
      </c>
      <c r="W165" s="119">
        <f>Table8[[#This Row],[Price]]/V166-1</f>
        <v>8.4215053763440961E-2</v>
      </c>
      <c r="Z165" s="46" t="s">
        <v>340</v>
      </c>
      <c r="AA165">
        <v>365.91</v>
      </c>
      <c r="AB165" s="119">
        <f>Table9[[#This Row],[Price]]/AA166-1</f>
        <v>7.0882964090257294E-2</v>
      </c>
    </row>
    <row r="166" spans="1:28">
      <c r="A166" s="117">
        <v>44696</v>
      </c>
      <c r="B166">
        <v>73.39</v>
      </c>
      <c r="C166" s="119">
        <f t="shared" si="2"/>
        <v>-2.9232804232804166E-2</v>
      </c>
      <c r="F166" s="47">
        <v>44696</v>
      </c>
      <c r="G166" s="16">
        <v>3901.36</v>
      </c>
      <c r="H166" s="119">
        <f>Table2[[#This Row],[Price]]/G167-1</f>
        <v>-3.0450633590878406E-2</v>
      </c>
      <c r="J166" s="47"/>
      <c r="K166" s="117" t="s">
        <v>341</v>
      </c>
      <c r="L166">
        <v>25.88</v>
      </c>
      <c r="M166" s="119">
        <f>Table5[[#This Row],[Price]]/L167-1</f>
        <v>-1.8581721653394112E-2</v>
      </c>
      <c r="N166" s="16"/>
      <c r="P166" s="46" t="s">
        <v>341</v>
      </c>
      <c r="Q166">
        <v>111.92</v>
      </c>
      <c r="R166" s="119">
        <f>Table6[[#This Row],[Price]]/Q167-1</f>
        <v>-8.0652308783124571E-3</v>
      </c>
      <c r="U166" s="46" t="s">
        <v>341</v>
      </c>
      <c r="V166">
        <v>116.25</v>
      </c>
      <c r="W166" s="119">
        <f>Table8[[#This Row],[Price]]/V167-1</f>
        <v>-9.2293277114078198E-2</v>
      </c>
      <c r="Z166" s="46" t="s">
        <v>341</v>
      </c>
      <c r="AA166">
        <v>341.69</v>
      </c>
      <c r="AB166" s="119">
        <f>Table9[[#This Row],[Price]]/AA167-1</f>
        <v>2.1998005514167751E-3</v>
      </c>
    </row>
    <row r="167" spans="1:28">
      <c r="A167" s="117">
        <v>44778</v>
      </c>
      <c r="B167">
        <v>75.599999999999994</v>
      </c>
      <c r="C167" s="119">
        <f t="shared" si="2"/>
        <v>-1.2023000522739191E-2</v>
      </c>
      <c r="F167" s="47">
        <v>44778</v>
      </c>
      <c r="G167" s="16">
        <v>4023.89</v>
      </c>
      <c r="H167" s="119">
        <f>Table2[[#This Row],[Price]]/G168-1</f>
        <v>-2.4118796897660721E-2</v>
      </c>
      <c r="J167" s="46"/>
      <c r="K167" s="117">
        <v>44778</v>
      </c>
      <c r="L167">
        <v>26.37</v>
      </c>
      <c r="M167" s="119">
        <f>Table5[[#This Row],[Price]]/L168-1</f>
        <v>-2.6578073089700949E-2</v>
      </c>
      <c r="N167" s="16"/>
      <c r="P167" s="47">
        <v>44778</v>
      </c>
      <c r="Q167">
        <v>112.83</v>
      </c>
      <c r="R167" s="119">
        <f>Table6[[#This Row],[Price]]/Q168-1</f>
        <v>-2.2185631337204303E-2</v>
      </c>
      <c r="U167" s="47">
        <v>44778</v>
      </c>
      <c r="V167">
        <v>128.07</v>
      </c>
      <c r="W167" s="119">
        <f>Table8[[#This Row],[Price]]/V168-1</f>
        <v>-1.5603382013835487E-2</v>
      </c>
      <c r="Z167" s="47">
        <v>44778</v>
      </c>
      <c r="AA167">
        <v>340.94</v>
      </c>
      <c r="AB167" s="119">
        <f>Table9[[#This Row],[Price]]/AA168-1</f>
        <v>-2.4869071652184882E-3</v>
      </c>
    </row>
    <row r="168" spans="1:28">
      <c r="A168" s="117">
        <v>44566</v>
      </c>
      <c r="B168">
        <v>76.52</v>
      </c>
      <c r="C168" s="119">
        <f t="shared" si="2"/>
        <v>2.5187566988210008E-2</v>
      </c>
      <c r="F168" s="47">
        <v>44566</v>
      </c>
      <c r="G168" s="16">
        <v>4123.34</v>
      </c>
      <c r="H168" s="119">
        <f>Table2[[#This Row],[Price]]/G169-1</f>
        <v>-2.0789316372736844E-3</v>
      </c>
      <c r="J168" s="46"/>
      <c r="K168" s="117">
        <v>44566</v>
      </c>
      <c r="L168">
        <v>27.09</v>
      </c>
      <c r="M168" s="119">
        <f>Table5[[#This Row],[Price]]/L169-1</f>
        <v>-6.9391961525249068E-2</v>
      </c>
      <c r="N168" s="16"/>
      <c r="P168" s="47">
        <v>44566</v>
      </c>
      <c r="Q168">
        <v>115.39</v>
      </c>
      <c r="R168" s="119">
        <f>Table6[[#This Row],[Price]]/Q169-1</f>
        <v>-1.3844970515340616E-2</v>
      </c>
      <c r="U168" s="47">
        <v>44566</v>
      </c>
      <c r="V168">
        <v>130.1</v>
      </c>
      <c r="W168" s="119">
        <f>Table8[[#This Row],[Price]]/V169-1</f>
        <v>-1.2373794883473788E-2</v>
      </c>
      <c r="Z168" s="47">
        <v>44566</v>
      </c>
      <c r="AA168">
        <v>341.79</v>
      </c>
      <c r="AB168" s="119">
        <f>Table9[[#This Row],[Price]]/AA169-1</f>
        <v>1.1213017751479315E-2</v>
      </c>
    </row>
    <row r="169" spans="1:28">
      <c r="A169" s="117">
        <v>44675</v>
      </c>
      <c r="B169">
        <v>74.64</v>
      </c>
      <c r="C169" s="119">
        <f t="shared" si="2"/>
        <v>-4.2094455852156099E-2</v>
      </c>
      <c r="F169" s="47">
        <v>44675</v>
      </c>
      <c r="G169" s="16">
        <v>4131.93</v>
      </c>
      <c r="H169" s="119">
        <f>Table2[[#This Row],[Price]]/G170-1</f>
        <v>-3.2738109172288699E-2</v>
      </c>
      <c r="J169" s="46"/>
      <c r="K169" s="117" t="s">
        <v>342</v>
      </c>
      <c r="L169">
        <v>29.11</v>
      </c>
      <c r="M169" s="119">
        <f>Table5[[#This Row],[Price]]/L170-1</f>
        <v>-1.721809588116141E-2</v>
      </c>
      <c r="N169" s="16"/>
      <c r="P169" s="46" t="s">
        <v>342</v>
      </c>
      <c r="Q169">
        <v>117.01</v>
      </c>
      <c r="R169" s="119">
        <f>Table6[[#This Row],[Price]]/Q170-1</f>
        <v>-4.4035947712418255E-2</v>
      </c>
      <c r="U169" s="46" t="s">
        <v>342</v>
      </c>
      <c r="V169">
        <v>131.72999999999999</v>
      </c>
      <c r="W169" s="119">
        <f>Table8[[#This Row],[Price]]/V170-1</f>
        <v>-1.7306975009324987E-2</v>
      </c>
      <c r="Z169" s="46" t="s">
        <v>342</v>
      </c>
      <c r="AA169">
        <v>338</v>
      </c>
      <c r="AB169" s="119">
        <f>Table9[[#This Row],[Price]]/AA170-1</f>
        <v>-0.10777921495129739</v>
      </c>
    </row>
    <row r="170" spans="1:28">
      <c r="A170" s="117">
        <v>44668</v>
      </c>
      <c r="B170">
        <v>77.92</v>
      </c>
      <c r="C170" s="119">
        <f t="shared" si="2"/>
        <v>-1.9874213836477916E-2</v>
      </c>
      <c r="F170" s="47">
        <v>44668</v>
      </c>
      <c r="G170" s="16">
        <v>4271.78</v>
      </c>
      <c r="H170" s="119">
        <f>Table2[[#This Row],[Price]]/G171-1</f>
        <v>-2.7503135963065195E-2</v>
      </c>
      <c r="J170" s="47"/>
      <c r="K170" s="117" t="s">
        <v>343</v>
      </c>
      <c r="L170">
        <v>29.62</v>
      </c>
      <c r="M170" s="119">
        <f>Table5[[#This Row],[Price]]/L171-1</f>
        <v>-7.6107298814722446E-2</v>
      </c>
      <c r="N170" s="16"/>
      <c r="P170" s="46" t="s">
        <v>343</v>
      </c>
      <c r="Q170">
        <v>122.4</v>
      </c>
      <c r="R170" s="119">
        <f>Table6[[#This Row],[Price]]/Q171-1</f>
        <v>-4.6352768968040969E-3</v>
      </c>
      <c r="U170" s="46" t="s">
        <v>343</v>
      </c>
      <c r="V170">
        <v>134.05000000000001</v>
      </c>
      <c r="W170" s="119">
        <f>Table8[[#This Row],[Price]]/V171-1</f>
        <v>1.9779383796120431E-2</v>
      </c>
      <c r="Z170" s="46" t="s">
        <v>343</v>
      </c>
      <c r="AA170">
        <v>378.83</v>
      </c>
      <c r="AB170" s="119">
        <f>Table9[[#This Row],[Price]]/AA171-1</f>
        <v>-2.1717797748166623E-2</v>
      </c>
    </row>
    <row r="171" spans="1:28">
      <c r="A171" s="117">
        <v>44838</v>
      </c>
      <c r="B171">
        <v>79.5</v>
      </c>
      <c r="C171" s="119">
        <f t="shared" si="2"/>
        <v>-2.4779195289499456E-2</v>
      </c>
      <c r="F171" s="47">
        <v>44838</v>
      </c>
      <c r="G171" s="16">
        <v>4392.59</v>
      </c>
      <c r="H171" s="119">
        <f>Table2[[#This Row],[Price]]/G172-1</f>
        <v>-2.1319971124796E-2</v>
      </c>
      <c r="J171" s="46"/>
      <c r="K171" s="117">
        <v>44838</v>
      </c>
      <c r="L171">
        <v>32.06</v>
      </c>
      <c r="M171" s="119">
        <f>Table5[[#This Row],[Price]]/L172-1</f>
        <v>3.8212435233160758E-2</v>
      </c>
      <c r="N171" s="16"/>
      <c r="P171" s="47">
        <v>44838</v>
      </c>
      <c r="Q171">
        <v>122.97</v>
      </c>
      <c r="R171" s="119">
        <f>Table6[[#This Row],[Price]]/Q172-1</f>
        <v>3.1887219937903888E-2</v>
      </c>
      <c r="U171" s="47">
        <v>44838</v>
      </c>
      <c r="V171">
        <v>131.44999999999999</v>
      </c>
      <c r="W171" s="119">
        <f>Table8[[#This Row],[Price]]/V172-1</f>
        <v>3.9705766036541856E-2</v>
      </c>
      <c r="Z171" s="47">
        <v>44838</v>
      </c>
      <c r="AA171">
        <v>387.24</v>
      </c>
      <c r="AB171" s="119">
        <f>Table9[[#This Row],[Price]]/AA172-1</f>
        <v>-1.9124091289039802E-2</v>
      </c>
    </row>
    <row r="172" spans="1:28">
      <c r="A172" s="117">
        <v>44624</v>
      </c>
      <c r="B172">
        <v>81.52</v>
      </c>
      <c r="C172" s="119">
        <f t="shared" si="2"/>
        <v>-0.10897365832331407</v>
      </c>
      <c r="F172" s="47">
        <v>44624</v>
      </c>
      <c r="G172" s="16">
        <v>4488.28</v>
      </c>
      <c r="H172" s="119">
        <f>Table2[[#This Row],[Price]]/G173-1</f>
        <v>-1.266647015086253E-2</v>
      </c>
      <c r="J172" s="46"/>
      <c r="K172" s="117">
        <v>44624</v>
      </c>
      <c r="L172">
        <v>30.88</v>
      </c>
      <c r="M172" s="119">
        <f>Table5[[#This Row],[Price]]/L173-1</f>
        <v>-3.1367628607277265E-2</v>
      </c>
      <c r="N172" s="16"/>
      <c r="P172" s="47">
        <v>44624</v>
      </c>
      <c r="Q172">
        <v>119.17</v>
      </c>
      <c r="R172" s="119">
        <f>Table6[[#This Row],[Price]]/Q173-1</f>
        <v>2.945632048476865E-3</v>
      </c>
      <c r="U172" s="47">
        <v>44624</v>
      </c>
      <c r="V172">
        <v>126.43</v>
      </c>
      <c r="W172" s="119">
        <f>Table8[[#This Row],[Price]]/V173-1</f>
        <v>-2.7984931190897067E-2</v>
      </c>
      <c r="Z172" s="47">
        <v>44624</v>
      </c>
      <c r="AA172">
        <v>394.79</v>
      </c>
      <c r="AB172" s="119">
        <f>Table9[[#This Row],[Price]]/AA173-1</f>
        <v>-6.0174228309581856E-3</v>
      </c>
    </row>
    <row r="173" spans="1:28">
      <c r="A173" s="117">
        <v>44647</v>
      </c>
      <c r="B173">
        <v>91.49</v>
      </c>
      <c r="C173" s="119">
        <f t="shared" si="2"/>
        <v>4.619782732990263E-2</v>
      </c>
      <c r="F173" s="47">
        <v>44647</v>
      </c>
      <c r="G173" s="16">
        <v>4545.8599999999997</v>
      </c>
      <c r="H173" s="119">
        <f>Table2[[#This Row],[Price]]/G174-1</f>
        <v>6.1632467984118477E-4</v>
      </c>
      <c r="J173" s="46"/>
      <c r="K173" s="117" t="s">
        <v>344</v>
      </c>
      <c r="L173">
        <v>31.88</v>
      </c>
      <c r="M173" s="119">
        <f>Table5[[#This Row],[Price]]/L174-1</f>
        <v>2.4092515258592906E-2</v>
      </c>
      <c r="N173" s="16"/>
      <c r="P173" s="46" t="s">
        <v>344</v>
      </c>
      <c r="Q173">
        <v>118.82</v>
      </c>
      <c r="R173" s="119">
        <f>Table6[[#This Row],[Price]]/Q174-1</f>
        <v>-6.6878448419998016E-3</v>
      </c>
      <c r="U173" s="46" t="s">
        <v>344</v>
      </c>
      <c r="V173">
        <v>130.07</v>
      </c>
      <c r="W173" s="119">
        <f>Table8[[#This Row],[Price]]/V174-1</f>
        <v>2.0801232665637048E-3</v>
      </c>
      <c r="Z173" s="46" t="s">
        <v>344</v>
      </c>
      <c r="AA173">
        <v>397.18</v>
      </c>
      <c r="AB173" s="119">
        <f>Table9[[#This Row],[Price]]/AA174-1</f>
        <v>6.1812838830621608E-3</v>
      </c>
    </row>
    <row r="174" spans="1:28">
      <c r="A174" s="117">
        <v>44640</v>
      </c>
      <c r="B174">
        <v>87.45</v>
      </c>
      <c r="C174" s="119">
        <f t="shared" si="2"/>
        <v>-2.3995535714285587E-2</v>
      </c>
      <c r="F174" s="47">
        <v>44640</v>
      </c>
      <c r="G174" s="16">
        <v>4543.0600000000004</v>
      </c>
      <c r="H174" s="119">
        <f>Table2[[#This Row],[Price]]/G175-1</f>
        <v>1.7911236982200984E-2</v>
      </c>
      <c r="J174" s="47"/>
      <c r="K174" s="117" t="s">
        <v>345</v>
      </c>
      <c r="L174">
        <v>31.13</v>
      </c>
      <c r="M174" s="119">
        <f>Table5[[#This Row],[Price]]/L175-1</f>
        <v>-1.952755905511816E-2</v>
      </c>
      <c r="N174" s="16"/>
      <c r="P174" s="46" t="s">
        <v>345</v>
      </c>
      <c r="Q174">
        <v>119.62</v>
      </c>
      <c r="R174" s="119">
        <f>Table6[[#This Row],[Price]]/Q175-1</f>
        <v>-1.942782195261894E-2</v>
      </c>
      <c r="U174" s="46" t="s">
        <v>345</v>
      </c>
      <c r="V174">
        <v>129.80000000000001</v>
      </c>
      <c r="W174" s="119">
        <f>Table8[[#This Row],[Price]]/V175-1</f>
        <v>-2.8661228765995528E-2</v>
      </c>
      <c r="Z174" s="46" t="s">
        <v>345</v>
      </c>
      <c r="AA174">
        <v>394.74</v>
      </c>
      <c r="AB174" s="119">
        <f>Table9[[#This Row],[Price]]/AA175-1</f>
        <v>-5.0329596304672153E-2</v>
      </c>
    </row>
    <row r="175" spans="1:28">
      <c r="A175" s="117">
        <v>44633</v>
      </c>
      <c r="B175">
        <v>89.6</v>
      </c>
      <c r="C175" s="119">
        <f t="shared" si="2"/>
        <v>8.3041218421370688E-2</v>
      </c>
      <c r="F175" s="47">
        <v>44633</v>
      </c>
      <c r="G175" s="16">
        <v>4463.12</v>
      </c>
      <c r="H175" s="119">
        <f>Table2[[#This Row],[Price]]/G176-1</f>
        <v>6.1558258073262762E-2</v>
      </c>
      <c r="J175" s="46"/>
      <c r="K175" s="117" t="s">
        <v>346</v>
      </c>
      <c r="L175">
        <v>31.75</v>
      </c>
      <c r="M175" s="119">
        <f>Table5[[#This Row],[Price]]/L176-1</f>
        <v>7.5906472382243351E-2</v>
      </c>
      <c r="N175" s="16"/>
      <c r="P175" s="46" t="s">
        <v>346</v>
      </c>
      <c r="Q175">
        <v>121.99</v>
      </c>
      <c r="R175" s="119">
        <f>Table6[[#This Row],[Price]]/Q176-1</f>
        <v>4.9286082917598506E-2</v>
      </c>
      <c r="U175" s="46" t="s">
        <v>346</v>
      </c>
      <c r="V175">
        <v>133.63</v>
      </c>
      <c r="W175" s="119">
        <f>Table8[[#This Row],[Price]]/V176-1</f>
        <v>3.5891472868216923E-2</v>
      </c>
      <c r="Z175" s="46" t="s">
        <v>346</v>
      </c>
      <c r="AA175">
        <v>415.66</v>
      </c>
      <c r="AB175" s="119">
        <f>Table9[[#This Row],[Price]]/AA176-1</f>
        <v>7.5808163159665654E-2</v>
      </c>
    </row>
    <row r="176" spans="1:28">
      <c r="A176" s="117">
        <v>44715</v>
      </c>
      <c r="B176">
        <v>82.73</v>
      </c>
      <c r="C176" s="119">
        <f t="shared" si="2"/>
        <v>-8.1084083083416636E-2</v>
      </c>
      <c r="F176" s="47">
        <v>44715</v>
      </c>
      <c r="G176" s="16">
        <v>4204.3100000000004</v>
      </c>
      <c r="H176" s="119">
        <f>Table2[[#This Row],[Price]]/G177-1</f>
        <v>-2.8774252865066297E-2</v>
      </c>
      <c r="J176" s="46"/>
      <c r="K176" s="117">
        <v>44715</v>
      </c>
      <c r="L176">
        <v>29.51</v>
      </c>
      <c r="M176" s="119">
        <f>Table5[[#This Row],[Price]]/L177-1</f>
        <v>2.2876949740034735E-2</v>
      </c>
      <c r="N176" s="16"/>
      <c r="P176" s="47">
        <v>44715</v>
      </c>
      <c r="Q176">
        <v>116.26</v>
      </c>
      <c r="R176" s="119">
        <f>Table6[[#This Row],[Price]]/Q177-1</f>
        <v>-2.0803503747999663E-2</v>
      </c>
      <c r="U176" s="47">
        <v>44715</v>
      </c>
      <c r="V176">
        <v>129</v>
      </c>
      <c r="W176" s="119">
        <f>Table8[[#This Row],[Price]]/V177-1</f>
        <v>-2.3023326264768218E-2</v>
      </c>
      <c r="Z176" s="47">
        <v>44715</v>
      </c>
      <c r="AA176">
        <v>386.37</v>
      </c>
      <c r="AB176" s="119">
        <f>Table9[[#This Row],[Price]]/AA177-1</f>
        <v>-6.6084938725193942E-2</v>
      </c>
    </row>
    <row r="177" spans="1:28">
      <c r="A177" s="117">
        <v>44619</v>
      </c>
      <c r="B177">
        <v>90.03</v>
      </c>
      <c r="C177" s="119">
        <f t="shared" si="2"/>
        <v>-2.7543745949449083E-2</v>
      </c>
      <c r="F177" s="47">
        <v>44619</v>
      </c>
      <c r="G177" s="16">
        <v>4328.87</v>
      </c>
      <c r="H177" s="119">
        <f>Table2[[#This Row],[Price]]/G178-1</f>
        <v>-1.2721653951854761E-2</v>
      </c>
      <c r="J177" s="46"/>
      <c r="K177" s="117" t="s">
        <v>347</v>
      </c>
      <c r="L177">
        <v>28.85</v>
      </c>
      <c r="M177" s="119">
        <f>Table5[[#This Row],[Price]]/L178-1</f>
        <v>-3.6406145624582442E-2</v>
      </c>
      <c r="N177" s="16"/>
      <c r="P177" s="46" t="s">
        <v>347</v>
      </c>
      <c r="Q177">
        <v>118.73</v>
      </c>
      <c r="R177" s="119">
        <f>Table6[[#This Row],[Price]]/Q178-1</f>
        <v>-4.0333010022631677E-2</v>
      </c>
      <c r="U177" s="46" t="s">
        <v>347</v>
      </c>
      <c r="V177">
        <v>132.04</v>
      </c>
      <c r="W177" s="119">
        <f>Table8[[#This Row],[Price]]/V178-1</f>
        <v>-8.988144472015458E-2</v>
      </c>
      <c r="Z177" s="46" t="s">
        <v>347</v>
      </c>
      <c r="AA177">
        <v>413.71</v>
      </c>
      <c r="AB177" s="119">
        <f>Table9[[#This Row],[Price]]/AA178-1</f>
        <v>-3.7838969254384014E-2</v>
      </c>
    </row>
    <row r="178" spans="1:28">
      <c r="A178" s="117">
        <v>44612</v>
      </c>
      <c r="B178">
        <v>92.58</v>
      </c>
      <c r="C178" s="119">
        <f t="shared" si="2"/>
        <v>-8.1422755517464029E-3</v>
      </c>
      <c r="F178" s="47">
        <v>44612</v>
      </c>
      <c r="G178" s="16">
        <v>4384.6499999999996</v>
      </c>
      <c r="H178" s="119">
        <f>Table2[[#This Row],[Price]]/G179-1</f>
        <v>8.2274245953546377E-3</v>
      </c>
      <c r="J178" s="47"/>
      <c r="K178" s="117" t="s">
        <v>348</v>
      </c>
      <c r="L178">
        <v>29.94</v>
      </c>
      <c r="M178" s="119">
        <f>Table5[[#This Row],[Price]]/L179-1</f>
        <v>-1.739415818838197E-2</v>
      </c>
      <c r="N178" s="16"/>
      <c r="P178" s="46" t="s">
        <v>348</v>
      </c>
      <c r="Q178">
        <v>123.72</v>
      </c>
      <c r="R178" s="119">
        <f>Table6[[#This Row],[Price]]/Q179-1</f>
        <v>-1.6534181240063561E-2</v>
      </c>
      <c r="U178" s="46" t="s">
        <v>348</v>
      </c>
      <c r="V178">
        <v>145.08000000000001</v>
      </c>
      <c r="W178" s="119">
        <f>Table8[[#This Row],[Price]]/V179-1</f>
        <v>2.3490396573166983E-3</v>
      </c>
      <c r="Z178" s="46" t="s">
        <v>348</v>
      </c>
      <c r="AA178">
        <v>429.98</v>
      </c>
      <c r="AB178" s="119">
        <f>Table9[[#This Row],[Price]]/AA179-1</f>
        <v>-1.2947063954823035E-2</v>
      </c>
    </row>
    <row r="179" spans="1:28">
      <c r="A179" s="117">
        <v>44605</v>
      </c>
      <c r="B179">
        <v>93.34</v>
      </c>
      <c r="C179" s="119">
        <f t="shared" si="2"/>
        <v>-4.1608876560332853E-3</v>
      </c>
      <c r="F179" s="47">
        <v>44605</v>
      </c>
      <c r="G179" s="16">
        <v>4348.87</v>
      </c>
      <c r="H179" s="119">
        <f>Table2[[#This Row],[Price]]/G180-1</f>
        <v>-1.5789926312168578E-2</v>
      </c>
      <c r="J179" s="47"/>
      <c r="K179" s="117" t="s">
        <v>349</v>
      </c>
      <c r="L179">
        <v>30.47</v>
      </c>
      <c r="M179" s="119">
        <f>Table5[[#This Row],[Price]]/L180-1</f>
        <v>-2.433557476785142E-2</v>
      </c>
      <c r="N179" s="16"/>
      <c r="P179" s="46" t="s">
        <v>349</v>
      </c>
      <c r="Q179">
        <v>125.8</v>
      </c>
      <c r="R179" s="119">
        <f>Table6[[#This Row],[Price]]/Q180-1</f>
        <v>3.0556238223969912E-2</v>
      </c>
      <c r="U179" s="46" t="s">
        <v>349</v>
      </c>
      <c r="V179">
        <v>144.74</v>
      </c>
      <c r="W179" s="119">
        <f>Table8[[#This Row],[Price]]/V180-1</f>
        <v>2.35457063711908E-3</v>
      </c>
      <c r="Z179" s="46" t="s">
        <v>349</v>
      </c>
      <c r="AA179">
        <v>435.62</v>
      </c>
      <c r="AB179" s="119">
        <f>Table9[[#This Row],[Price]]/AA180-1</f>
        <v>9.5012977382276098E-3</v>
      </c>
    </row>
    <row r="180" spans="1:28">
      <c r="A180" s="117">
        <v>44714</v>
      </c>
      <c r="B180">
        <v>93.73</v>
      </c>
      <c r="C180" s="119">
        <f t="shared" si="2"/>
        <v>-1.3368421052631585E-2</v>
      </c>
      <c r="F180" s="47">
        <v>44714</v>
      </c>
      <c r="G180" s="16">
        <v>4418.6400000000003</v>
      </c>
      <c r="H180" s="119">
        <f>Table2[[#This Row],[Price]]/G181-1</f>
        <v>-1.8195634736353106E-2</v>
      </c>
      <c r="J180" s="46"/>
      <c r="K180" s="117">
        <v>44714</v>
      </c>
      <c r="L180">
        <v>31.23</v>
      </c>
      <c r="M180" s="119">
        <f>Table5[[#This Row],[Price]]/L181-1</f>
        <v>5.2578361981799659E-2</v>
      </c>
      <c r="N180" s="16"/>
      <c r="P180" s="47">
        <v>44714</v>
      </c>
      <c r="Q180">
        <v>122.07</v>
      </c>
      <c r="R180" s="119">
        <f>Table6[[#This Row],[Price]]/Q181-1</f>
        <v>-2.5544823181927079E-2</v>
      </c>
      <c r="U180" s="47">
        <v>44714</v>
      </c>
      <c r="V180">
        <v>144.4</v>
      </c>
      <c r="W180" s="119">
        <f>Table8[[#This Row],[Price]]/V181-1</f>
        <v>4.7439431307123137E-2</v>
      </c>
      <c r="Z180" s="47">
        <v>44714</v>
      </c>
      <c r="AA180">
        <v>431.52</v>
      </c>
      <c r="AB180" s="119">
        <f>Table9[[#This Row],[Price]]/AA181-1</f>
        <v>-1.4951948318761898E-2</v>
      </c>
    </row>
    <row r="181" spans="1:28">
      <c r="A181" s="117">
        <v>44591</v>
      </c>
      <c r="B181">
        <v>95</v>
      </c>
      <c r="C181" s="119">
        <f t="shared" si="2"/>
        <v>-2.2734286596029163E-2</v>
      </c>
      <c r="F181" s="47">
        <v>44591</v>
      </c>
      <c r="G181" s="16">
        <v>4500.53</v>
      </c>
      <c r="H181" s="119">
        <f>Table2[[#This Row],[Price]]/G182-1</f>
        <v>1.5496914381127436E-2</v>
      </c>
      <c r="J181" s="46"/>
      <c r="K181" s="117" t="s">
        <v>350</v>
      </c>
      <c r="L181">
        <v>29.67</v>
      </c>
      <c r="M181" s="119">
        <f>Table5[[#This Row],[Price]]/L182-1</f>
        <v>5.2127659574468188E-2</v>
      </c>
      <c r="N181" s="16"/>
      <c r="P181" s="46" t="s">
        <v>350</v>
      </c>
      <c r="Q181">
        <v>125.27</v>
      </c>
      <c r="R181" s="119">
        <f>Table6[[#This Row],[Price]]/Q182-1</f>
        <v>2.4787303664921545E-2</v>
      </c>
      <c r="U181" s="46" t="s">
        <v>350</v>
      </c>
      <c r="V181">
        <v>137.86000000000001</v>
      </c>
      <c r="W181" s="119">
        <f>Table8[[#This Row],[Price]]/V182-1</f>
        <v>-4.7646549234767743E-3</v>
      </c>
      <c r="Z181" s="46" t="s">
        <v>350</v>
      </c>
      <c r="AA181">
        <v>438.07</v>
      </c>
      <c r="AB181" s="119">
        <f>Table9[[#This Row],[Price]]/AA182-1</f>
        <v>-6.6665154985147135E-3</v>
      </c>
    </row>
    <row r="182" spans="1:28">
      <c r="A182" s="117">
        <v>44584</v>
      </c>
      <c r="B182">
        <v>97.21</v>
      </c>
      <c r="C182" s="119">
        <f t="shared" si="2"/>
        <v>9.3448240058144894E-3</v>
      </c>
      <c r="F182" s="47">
        <v>44584</v>
      </c>
      <c r="G182" s="16">
        <v>4431.8500000000004</v>
      </c>
      <c r="H182" s="119">
        <f>Table2[[#This Row],[Price]]/G183-1</f>
        <v>7.7104280640483136E-3</v>
      </c>
      <c r="J182" s="47"/>
      <c r="K182" s="117" t="s">
        <v>351</v>
      </c>
      <c r="L182">
        <v>28.2</v>
      </c>
      <c r="M182" s="119">
        <f>Table5[[#This Row],[Price]]/L183-1</f>
        <v>2.285092491838947E-2</v>
      </c>
      <c r="N182" s="16"/>
      <c r="P182" s="46" t="s">
        <v>351</v>
      </c>
      <c r="Q182">
        <v>122.24</v>
      </c>
      <c r="R182" s="119">
        <f>Table6[[#This Row],[Price]]/Q183-1</f>
        <v>-1.6097875080489321E-2</v>
      </c>
      <c r="U182" s="46" t="s">
        <v>351</v>
      </c>
      <c r="V182">
        <v>138.52000000000001</v>
      </c>
      <c r="W182" s="119">
        <f>Table8[[#This Row],[Price]]/V183-1</f>
        <v>2.7748924172726008E-2</v>
      </c>
      <c r="Z182" s="46" t="s">
        <v>351</v>
      </c>
      <c r="AA182">
        <v>441.01</v>
      </c>
      <c r="AB182" s="119">
        <f>Table9[[#This Row],[Price]]/AA183-1</f>
        <v>1.4259101676594277E-2</v>
      </c>
    </row>
    <row r="183" spans="1:28">
      <c r="A183" s="117">
        <v>44577</v>
      </c>
      <c r="B183">
        <v>96.31</v>
      </c>
      <c r="C183" s="119">
        <f t="shared" si="2"/>
        <v>-3.8054334798242162E-2</v>
      </c>
      <c r="F183" s="47">
        <v>44577</v>
      </c>
      <c r="G183" s="16">
        <v>4397.9399999999996</v>
      </c>
      <c r="H183" s="119">
        <f>Table2[[#This Row],[Price]]/G184-1</f>
        <v>-5.6812893402104048E-2</v>
      </c>
      <c r="J183" s="47"/>
      <c r="K183" s="117" t="s">
        <v>352</v>
      </c>
      <c r="L183">
        <v>27.57</v>
      </c>
      <c r="M183" s="119">
        <f>Table5[[#This Row],[Price]]/L184-1</f>
        <v>-7.9773030707610215E-2</v>
      </c>
      <c r="N183" s="16"/>
      <c r="P183" s="46" t="s">
        <v>352</v>
      </c>
      <c r="Q183">
        <v>124.24</v>
      </c>
      <c r="R183" s="119">
        <f>Table6[[#This Row],[Price]]/Q184-1</f>
        <v>-2.2194238942232047E-2</v>
      </c>
      <c r="U183" s="46" t="s">
        <v>352</v>
      </c>
      <c r="V183">
        <v>134.78</v>
      </c>
      <c r="W183" s="119">
        <f>Table8[[#This Row],[Price]]/V184-1</f>
        <v>-5.7482517482517426E-2</v>
      </c>
      <c r="Z183" s="46" t="s">
        <v>352</v>
      </c>
      <c r="AA183">
        <v>434.81</v>
      </c>
      <c r="AB183" s="119">
        <f>Table9[[#This Row],[Price]]/AA184-1</f>
        <v>-8.081768983595472E-2</v>
      </c>
    </row>
    <row r="184" spans="1:28">
      <c r="A184" s="117">
        <v>44805</v>
      </c>
      <c r="B184">
        <v>100.12</v>
      </c>
      <c r="C184" s="119">
        <f t="shared" si="2"/>
        <v>-6.9257227851631353E-2</v>
      </c>
      <c r="F184" s="47">
        <v>44805</v>
      </c>
      <c r="G184" s="16">
        <v>4662.8500000000004</v>
      </c>
      <c r="H184" s="119">
        <f>Table2[[#This Row],[Price]]/G185-1</f>
        <v>-3.0318385813217219E-3</v>
      </c>
      <c r="J184" s="46"/>
      <c r="K184" s="117">
        <v>44805</v>
      </c>
      <c r="L184">
        <v>29.96</v>
      </c>
      <c r="M184" s="119">
        <f>Table5[[#This Row],[Price]]/L185-1</f>
        <v>-6.2578222778473136E-2</v>
      </c>
      <c r="N184" s="16"/>
      <c r="P184" s="47">
        <v>44805</v>
      </c>
      <c r="Q184">
        <v>127.06</v>
      </c>
      <c r="R184" s="119">
        <f>Table6[[#This Row],[Price]]/Q185-1</f>
        <v>-6.1248614702622772E-2</v>
      </c>
      <c r="U184" s="47">
        <v>44805</v>
      </c>
      <c r="V184">
        <v>143</v>
      </c>
      <c r="W184" s="119">
        <f>Table8[[#This Row],[Price]]/V185-1</f>
        <v>-1.8261705341205525E-2</v>
      </c>
      <c r="Z184" s="47">
        <v>44805</v>
      </c>
      <c r="AA184">
        <v>473.04</v>
      </c>
      <c r="AB184" s="119">
        <f>Table9[[#This Row],[Price]]/AA185-1</f>
        <v>-6.9606435497511887E-2</v>
      </c>
    </row>
    <row r="185" spans="1:28">
      <c r="A185" s="117">
        <v>44593</v>
      </c>
      <c r="B185">
        <v>107.57</v>
      </c>
      <c r="C185" s="119">
        <f t="shared" si="2"/>
        <v>-8.0362486107549036E-2</v>
      </c>
      <c r="F185" s="47">
        <v>44593</v>
      </c>
      <c r="G185" s="16">
        <v>4677.03</v>
      </c>
      <c r="H185" s="119">
        <f>Table2[[#This Row],[Price]]/G186-1</f>
        <v>-1.8704706914132618E-2</v>
      </c>
      <c r="J185" s="46"/>
      <c r="K185" s="117">
        <v>44593</v>
      </c>
      <c r="L185">
        <v>31.96</v>
      </c>
      <c r="M185" s="119">
        <f>Table5[[#This Row],[Price]]/L186-1</f>
        <v>-8.6073777523591577E-2</v>
      </c>
      <c r="N185" s="16"/>
      <c r="P185" s="47">
        <v>44593</v>
      </c>
      <c r="Q185">
        <v>135.35</v>
      </c>
      <c r="R185" s="119">
        <f>Table6[[#This Row],[Price]]/Q186-1</f>
        <v>-2.5277257669595432E-2</v>
      </c>
      <c r="U185" s="47">
        <v>44593</v>
      </c>
      <c r="V185">
        <v>145.66</v>
      </c>
      <c r="W185" s="119">
        <f>Table8[[#This Row],[Price]]/V186-1</f>
        <v>-3.305894848645774E-2</v>
      </c>
      <c r="Z185" s="47">
        <v>44593</v>
      </c>
      <c r="AA185">
        <v>508.43</v>
      </c>
      <c r="AB185" s="119">
        <f>Table9[[#This Row],[Price]]/AA186-1</f>
        <v>-9.9055517161944273E-2</v>
      </c>
    </row>
    <row r="186" spans="1:28">
      <c r="A186" s="117">
        <v>44556</v>
      </c>
      <c r="B186">
        <v>116.97</v>
      </c>
      <c r="C186" s="119">
        <f t="shared" si="2"/>
        <v>4.0936192934057036E-2</v>
      </c>
      <c r="F186" s="47">
        <v>44556</v>
      </c>
      <c r="G186" s="16">
        <v>4766.18</v>
      </c>
      <c r="H186" s="119">
        <f>Table2[[#This Row],[Price]]/G187-1</f>
        <v>8.5467191728791914E-3</v>
      </c>
      <c r="J186" s="46"/>
      <c r="K186" s="117" t="s">
        <v>353</v>
      </c>
      <c r="L186">
        <v>34.97</v>
      </c>
      <c r="M186" s="119">
        <f>Table5[[#This Row],[Price]]/L187-1</f>
        <v>0</v>
      </c>
      <c r="N186" s="16"/>
      <c r="P186" s="46" t="s">
        <v>353</v>
      </c>
      <c r="Q186">
        <v>138.86000000000001</v>
      </c>
      <c r="R186" s="119">
        <f>Table6[[#This Row],[Price]]/Q187-1</f>
        <v>2.6008571006354453E-2</v>
      </c>
      <c r="U186" s="46" t="s">
        <v>353</v>
      </c>
      <c r="V186">
        <v>150.63999999999999</v>
      </c>
      <c r="W186" s="119">
        <f>Table8[[#This Row],[Price]]/V187-1</f>
        <v>1.2093523246438975E-2</v>
      </c>
      <c r="Z186" s="46" t="s">
        <v>353</v>
      </c>
      <c r="AA186">
        <v>564.33000000000004</v>
      </c>
      <c r="AB186" s="119">
        <f>Table9[[#This Row],[Price]]/AA187-1</f>
        <v>3.3874395427231363E-2</v>
      </c>
    </row>
    <row r="187" spans="1:28">
      <c r="A187" s="117">
        <v>44549</v>
      </c>
      <c r="B187">
        <v>112.37</v>
      </c>
      <c r="C187" s="119">
        <f t="shared" si="2"/>
        <v>3.4428794992175327E-2</v>
      </c>
      <c r="F187" s="47">
        <v>44549</v>
      </c>
      <c r="G187" s="16">
        <v>4725.79</v>
      </c>
      <c r="H187" s="119">
        <f>Table2[[#This Row],[Price]]/G188-1</f>
        <v>2.2756587831988639E-2</v>
      </c>
      <c r="J187" s="47"/>
      <c r="K187" s="117" t="s">
        <v>354</v>
      </c>
      <c r="L187">
        <v>34.97</v>
      </c>
      <c r="M187" s="119">
        <f>Table5[[#This Row],[Price]]/L188-1</f>
        <v>3.8301662707838524E-2</v>
      </c>
      <c r="N187" s="16"/>
      <c r="P187" s="46" t="s">
        <v>354</v>
      </c>
      <c r="Q187">
        <v>135.34</v>
      </c>
      <c r="R187" s="119">
        <f>Table6[[#This Row],[Price]]/Q188-1</f>
        <v>2.5847040097021212E-2</v>
      </c>
      <c r="U187" s="46" t="s">
        <v>354</v>
      </c>
      <c r="V187">
        <v>148.84</v>
      </c>
      <c r="W187" s="119">
        <f>Table8[[#This Row],[Price]]/V188-1</f>
        <v>6.4435385825645453E-2</v>
      </c>
      <c r="Z187" s="46" t="s">
        <v>354</v>
      </c>
      <c r="AA187">
        <v>545.84</v>
      </c>
      <c r="AB187" s="119">
        <f>Table9[[#This Row],[Price]]/AA188-1</f>
        <v>3.3044399863734419E-2</v>
      </c>
    </row>
    <row r="188" spans="1:28">
      <c r="A188" s="117">
        <v>44542</v>
      </c>
      <c r="B188">
        <v>108.63</v>
      </c>
      <c r="C188" s="119">
        <f t="shared" si="2"/>
        <v>-6.9390902081727157E-2</v>
      </c>
      <c r="F188" s="47">
        <v>44542</v>
      </c>
      <c r="G188" s="16">
        <v>4620.6400000000003</v>
      </c>
      <c r="H188" s="119">
        <f>Table2[[#This Row],[Price]]/G189-1</f>
        <v>-1.9392956736176914E-2</v>
      </c>
      <c r="J188" s="46"/>
      <c r="K188" s="117">
        <v>44542</v>
      </c>
      <c r="L188">
        <v>33.68</v>
      </c>
      <c r="M188" s="119">
        <f>Table5[[#This Row],[Price]]/L189-1</f>
        <v>-2.1783328492593679E-2</v>
      </c>
      <c r="N188" s="16"/>
      <c r="P188" s="47">
        <v>44542</v>
      </c>
      <c r="Q188">
        <v>131.93</v>
      </c>
      <c r="R188" s="119">
        <f>Table6[[#This Row],[Price]]/Q189-1</f>
        <v>-1.449167102412785E-2</v>
      </c>
      <c r="U188" s="47">
        <v>44542</v>
      </c>
      <c r="V188">
        <v>139.83000000000001</v>
      </c>
      <c r="W188" s="119">
        <f>Table8[[#This Row],[Price]]/V189-1</f>
        <v>-7.891443251432706E-2</v>
      </c>
      <c r="Z188" s="47">
        <v>44542</v>
      </c>
      <c r="AA188">
        <v>528.38</v>
      </c>
      <c r="AB188" s="119">
        <f>Table9[[#This Row],[Price]]/AA189-1</f>
        <v>-1.1301972231578139E-2</v>
      </c>
    </row>
    <row r="189" spans="1:28">
      <c r="A189" s="117">
        <v>44328</v>
      </c>
      <c r="B189">
        <v>116.73</v>
      </c>
      <c r="C189" s="119">
        <f t="shared" si="2"/>
        <v>4.9352750809061652E-2</v>
      </c>
      <c r="F189" s="47">
        <v>44328</v>
      </c>
      <c r="G189" s="16">
        <v>4712.0200000000004</v>
      </c>
      <c r="H189" s="119">
        <f>Table2[[#This Row],[Price]]/G190-1</f>
        <v>3.8248909865305825E-2</v>
      </c>
      <c r="J189" s="46"/>
      <c r="K189" s="117">
        <v>44328</v>
      </c>
      <c r="L189">
        <v>34.43</v>
      </c>
      <c r="M189" s="119">
        <f>Table5[[#This Row],[Price]]/L190-1</f>
        <v>8.1344221105527525E-2</v>
      </c>
      <c r="N189" s="16"/>
      <c r="P189" s="47">
        <v>44328</v>
      </c>
      <c r="Q189">
        <v>133.87</v>
      </c>
      <c r="R189" s="119">
        <f>Table6[[#This Row],[Price]]/Q190-1</f>
        <v>7.2418489145237519E-2</v>
      </c>
      <c r="U189" s="47">
        <v>44328</v>
      </c>
      <c r="V189">
        <v>151.81</v>
      </c>
      <c r="W189" s="119">
        <f>Table8[[#This Row],[Price]]/V190-1</f>
        <v>6.6455918510713197E-2</v>
      </c>
      <c r="Z189" s="47">
        <v>44328</v>
      </c>
      <c r="AA189">
        <v>534.41999999999996</v>
      </c>
      <c r="AB189" s="119">
        <f>Table9[[#This Row],[Price]]/AA190-1</f>
        <v>2.424439887306673E-2</v>
      </c>
    </row>
    <row r="190" spans="1:28">
      <c r="A190" s="117">
        <v>44528</v>
      </c>
      <c r="B190">
        <v>111.24</v>
      </c>
      <c r="C190" s="119">
        <f t="shared" si="2"/>
        <v>5.2412795951564117E-3</v>
      </c>
      <c r="F190" s="47">
        <v>44528</v>
      </c>
      <c r="G190" s="16">
        <v>4538.43</v>
      </c>
      <c r="H190" s="119">
        <f>Table2[[#This Row],[Price]]/G191-1</f>
        <v>-1.2229520613238898E-2</v>
      </c>
      <c r="J190" s="46"/>
      <c r="K190" s="117" t="s">
        <v>355</v>
      </c>
      <c r="L190">
        <v>31.84</v>
      </c>
      <c r="M190" s="119">
        <f>Table5[[#This Row],[Price]]/L191-1</f>
        <v>-5.6312981624184966E-2</v>
      </c>
      <c r="N190" s="16"/>
      <c r="P190" s="46" t="s">
        <v>355</v>
      </c>
      <c r="Q190">
        <v>124.83</v>
      </c>
      <c r="R190" s="119">
        <f>Table6[[#This Row],[Price]]/Q191-1</f>
        <v>5.0724637681158757E-3</v>
      </c>
      <c r="U190" s="46" t="s">
        <v>355</v>
      </c>
      <c r="V190">
        <v>142.35</v>
      </c>
      <c r="W190" s="119">
        <f>Table8[[#This Row],[Price]]/V191-1</f>
        <v>1.2806830309498363E-2</v>
      </c>
      <c r="Z190" s="46" t="s">
        <v>355</v>
      </c>
      <c r="AA190">
        <v>521.77</v>
      </c>
      <c r="AB190" s="119">
        <f>Table9[[#This Row],[Price]]/AA191-1</f>
        <v>-1.530535215520501E-2</v>
      </c>
    </row>
    <row r="191" spans="1:28">
      <c r="A191" s="117">
        <v>44521</v>
      </c>
      <c r="B191">
        <v>110.66</v>
      </c>
      <c r="C191" s="119">
        <f t="shared" si="2"/>
        <v>-1.083228019498117E-3</v>
      </c>
      <c r="F191" s="47">
        <v>44521</v>
      </c>
      <c r="G191" s="16">
        <v>4594.62</v>
      </c>
      <c r="H191" s="119">
        <f>Table2[[#This Row],[Price]]/G192-1</f>
        <v>-2.1996781581792968E-2</v>
      </c>
      <c r="J191" s="47"/>
      <c r="K191" s="117" t="s">
        <v>356</v>
      </c>
      <c r="L191">
        <v>33.74</v>
      </c>
      <c r="M191" s="119">
        <f>Table5[[#This Row],[Price]]/L192-1</f>
        <v>-3.8746438746438683E-2</v>
      </c>
      <c r="N191" s="16"/>
      <c r="P191" s="46" t="s">
        <v>356</v>
      </c>
      <c r="Q191">
        <v>124.2</v>
      </c>
      <c r="R191" s="119">
        <f>Table6[[#This Row],[Price]]/Q192-1</f>
        <v>-2.1739130434782483E-2</v>
      </c>
      <c r="U191" s="46" t="s">
        <v>356</v>
      </c>
      <c r="V191">
        <v>140.55000000000001</v>
      </c>
      <c r="W191" s="119">
        <f>Table8[[#This Row],[Price]]/V192-1</f>
        <v>-1.8231349538977315E-2</v>
      </c>
      <c r="Z191" s="46" t="s">
        <v>356</v>
      </c>
      <c r="AA191">
        <v>529.88</v>
      </c>
      <c r="AB191" s="119">
        <f>Table9[[#This Row],[Price]]/AA192-1</f>
        <v>-1.0661140051158591E-2</v>
      </c>
    </row>
    <row r="192" spans="1:28">
      <c r="A192" s="117">
        <v>44514</v>
      </c>
      <c r="B192">
        <v>110.78</v>
      </c>
      <c r="C192" s="119">
        <f t="shared" si="2"/>
        <v>-8.4138918725384926E-3</v>
      </c>
      <c r="F192" s="47">
        <v>44514</v>
      </c>
      <c r="G192" s="16">
        <v>4697.96</v>
      </c>
      <c r="H192" s="119">
        <f>Table2[[#This Row],[Price]]/G193-1</f>
        <v>3.2266675208472151E-3</v>
      </c>
      <c r="J192" s="47"/>
      <c r="K192" s="117" t="s">
        <v>357</v>
      </c>
      <c r="L192">
        <v>35.1</v>
      </c>
      <c r="M192" s="119">
        <f>Table5[[#This Row],[Price]]/L193-1</f>
        <v>-5.7971014492753548E-2</v>
      </c>
      <c r="N192" s="16"/>
      <c r="P192" s="46" t="s">
        <v>357</v>
      </c>
      <c r="Q192">
        <v>126.96</v>
      </c>
      <c r="R192" s="119">
        <f>Table6[[#This Row],[Price]]/Q193-1</f>
        <v>1.3895543842836533E-2</v>
      </c>
      <c r="U192" s="46" t="s">
        <v>357</v>
      </c>
      <c r="V192">
        <v>143.16</v>
      </c>
      <c r="W192" s="119">
        <f>Table8[[#This Row],[Price]]/V193-1</f>
        <v>-4.7188019966722172E-2</v>
      </c>
      <c r="Z192" s="46" t="s">
        <v>357</v>
      </c>
      <c r="AA192">
        <v>535.59</v>
      </c>
      <c r="AB192" s="119">
        <f>Table9[[#This Row],[Price]]/AA193-1</f>
        <v>4.3424897720631295E-2</v>
      </c>
    </row>
    <row r="193" spans="1:28">
      <c r="A193" s="117">
        <v>44388</v>
      </c>
      <c r="B193">
        <v>111.72</v>
      </c>
      <c r="C193" s="119">
        <f t="shared" si="2"/>
        <v>-4.439312291506281E-2</v>
      </c>
      <c r="F193" s="47">
        <v>44388</v>
      </c>
      <c r="G193" s="16">
        <v>4682.8500000000004</v>
      </c>
      <c r="H193" s="119">
        <f>Table2[[#This Row],[Price]]/G194-1</f>
        <v>-3.1250465670255023E-3</v>
      </c>
      <c r="J193" s="46"/>
      <c r="K193" s="117">
        <v>44388</v>
      </c>
      <c r="L193">
        <v>37.26</v>
      </c>
      <c r="M193" s="119">
        <f>Table5[[#This Row],[Price]]/L194-1</f>
        <v>3.8172192811368078E-2</v>
      </c>
      <c r="N193" s="16"/>
      <c r="P193" s="47">
        <v>44388</v>
      </c>
      <c r="Q193">
        <v>125.22</v>
      </c>
      <c r="R193" s="119">
        <f>Table6[[#This Row],[Price]]/Q194-1</f>
        <v>-1.1525102620776773E-2</v>
      </c>
      <c r="U193" s="47">
        <v>44388</v>
      </c>
      <c r="V193">
        <v>150.25</v>
      </c>
      <c r="W193" s="119">
        <f>Table8[[#This Row],[Price]]/V194-1</f>
        <v>-2.7382185396167769E-2</v>
      </c>
      <c r="Z193" s="47">
        <v>44388</v>
      </c>
      <c r="AA193">
        <v>513.29999999999995</v>
      </c>
      <c r="AB193" s="119">
        <f>Table9[[#This Row],[Price]]/AA194-1</f>
        <v>3.5129466806485432E-2</v>
      </c>
    </row>
    <row r="194" spans="1:28">
      <c r="A194" s="117">
        <v>44500</v>
      </c>
      <c r="B194">
        <v>116.91</v>
      </c>
      <c r="C194" s="119">
        <f t="shared" si="2"/>
        <v>0.10219666258131421</v>
      </c>
      <c r="F194" s="47">
        <v>44500</v>
      </c>
      <c r="G194" s="16">
        <v>4697.53</v>
      </c>
      <c r="H194" s="119">
        <f>Table2[[#This Row],[Price]]/G195-1</f>
        <v>2.0009206623557541E-2</v>
      </c>
      <c r="J194" s="46"/>
      <c r="K194" s="117" t="s">
        <v>358</v>
      </c>
      <c r="L194">
        <v>35.89</v>
      </c>
      <c r="M194" s="119">
        <f>Table5[[#This Row],[Price]]/L195-1</f>
        <v>8.7127599775154163E-3</v>
      </c>
      <c r="N194" s="16"/>
      <c r="P194" s="46" t="s">
        <v>358</v>
      </c>
      <c r="Q194">
        <v>126.68</v>
      </c>
      <c r="R194" s="119">
        <f>Table6[[#This Row],[Price]]/Q195-1</f>
        <v>1.392668480870829E-2</v>
      </c>
      <c r="U194" s="46" t="s">
        <v>358</v>
      </c>
      <c r="V194">
        <v>154.47999999999999</v>
      </c>
      <c r="W194" s="119">
        <f>Table8[[#This Row],[Price]]/V195-1</f>
        <v>7.173581240460658E-2</v>
      </c>
      <c r="Z194" s="46" t="s">
        <v>358</v>
      </c>
      <c r="AA194">
        <v>495.88</v>
      </c>
      <c r="AB194" s="119">
        <f>Table9[[#This Row],[Price]]/AA195-1</f>
        <v>1.4131746323905237E-2</v>
      </c>
    </row>
    <row r="195" spans="1:28">
      <c r="A195" s="117">
        <v>44493</v>
      </c>
      <c r="B195">
        <v>106.07</v>
      </c>
      <c r="C195" s="119">
        <f t="shared" si="2"/>
        <v>-7.402880838061987E-2</v>
      </c>
      <c r="F195" s="47">
        <v>44493</v>
      </c>
      <c r="G195" s="16">
        <v>4605.38</v>
      </c>
      <c r="H195" s="119">
        <f>Table2[[#This Row],[Price]]/G196-1</f>
        <v>1.3307223481264785E-2</v>
      </c>
      <c r="J195" s="47"/>
      <c r="K195" s="117" t="s">
        <v>359</v>
      </c>
      <c r="L195">
        <v>35.58</v>
      </c>
      <c r="M195" s="119">
        <f>Table5[[#This Row],[Price]]/L196-1</f>
        <v>-7.2544642857144126E-3</v>
      </c>
      <c r="N195" s="16"/>
      <c r="P195" s="46" t="s">
        <v>359</v>
      </c>
      <c r="Q195">
        <v>124.94</v>
      </c>
      <c r="R195" s="119">
        <f>Table6[[#This Row],[Price]]/Q196-1</f>
        <v>-1.2878249190171442E-2</v>
      </c>
      <c r="U195" s="46" t="s">
        <v>359</v>
      </c>
      <c r="V195">
        <v>144.13999999999999</v>
      </c>
      <c r="W195" s="119">
        <f>Table8[[#This Row],[Price]]/V196-1</f>
        <v>-8.6657496561212133E-3</v>
      </c>
      <c r="Z195" s="46" t="s">
        <v>359</v>
      </c>
      <c r="AA195">
        <v>488.97</v>
      </c>
      <c r="AB195" s="119">
        <f>Table9[[#This Row],[Price]]/AA196-1</f>
        <v>5.3065707578661803E-2</v>
      </c>
    </row>
    <row r="196" spans="1:28">
      <c r="A196" s="117">
        <v>44486</v>
      </c>
      <c r="B196">
        <v>114.55</v>
      </c>
      <c r="C196" s="119">
        <f t="shared" si="2"/>
        <v>2.7815163750560812E-2</v>
      </c>
      <c r="F196" s="47">
        <v>44486</v>
      </c>
      <c r="G196" s="16">
        <v>4544.8999999999996</v>
      </c>
      <c r="H196" s="119">
        <f>Table2[[#This Row],[Price]]/G197-1</f>
        <v>1.6444624354504223E-2</v>
      </c>
      <c r="J196" s="47"/>
      <c r="K196" s="117" t="s">
        <v>360</v>
      </c>
      <c r="L196">
        <v>35.840000000000003</v>
      </c>
      <c r="M196" s="119">
        <f>Table5[[#This Row],[Price]]/L197-1</f>
        <v>-2.1299836155106333E-2</v>
      </c>
      <c r="N196" s="16"/>
      <c r="P196" s="46" t="s">
        <v>360</v>
      </c>
      <c r="Q196">
        <v>126.57</v>
      </c>
      <c r="R196" s="119">
        <f>Table6[[#This Row],[Price]]/Q197-1</f>
        <v>1.0861752256209556E-2</v>
      </c>
      <c r="U196" s="46" t="s">
        <v>360</v>
      </c>
      <c r="V196">
        <v>145.4</v>
      </c>
      <c r="W196" s="119">
        <f>Table8[[#This Row],[Price]]/V197-1</f>
        <v>-2.5142474019443473E-2</v>
      </c>
      <c r="Z196" s="46" t="s">
        <v>360</v>
      </c>
      <c r="AA196">
        <v>464.33</v>
      </c>
      <c r="AB196" s="119">
        <f>Table9[[#This Row],[Price]]/AA197-1</f>
        <v>2.0707392671077685E-2</v>
      </c>
    </row>
    <row r="197" spans="1:28">
      <c r="A197" s="117">
        <v>44479</v>
      </c>
      <c r="B197">
        <v>111.45</v>
      </c>
      <c r="C197" s="119">
        <f t="shared" si="2"/>
        <v>2.0679733860817784E-3</v>
      </c>
      <c r="F197" s="47">
        <v>44479</v>
      </c>
      <c r="G197" s="16">
        <v>4471.37</v>
      </c>
      <c r="H197" s="119">
        <f>Table2[[#This Row],[Price]]/G198-1</f>
        <v>1.8224505504014665E-2</v>
      </c>
      <c r="J197" s="46"/>
      <c r="K197" s="117">
        <v>44479</v>
      </c>
      <c r="L197">
        <v>36.619999999999997</v>
      </c>
      <c r="M197" s="119">
        <f>Table5[[#This Row],[Price]]/L198-1</f>
        <v>7.4277854195321513E-3</v>
      </c>
      <c r="N197" s="16"/>
      <c r="P197" s="47">
        <v>44479</v>
      </c>
      <c r="Q197">
        <v>125.21</v>
      </c>
      <c r="R197" s="119">
        <f>Table6[[#This Row],[Price]]/Q198-1</f>
        <v>1.4749979739038688E-2</v>
      </c>
      <c r="U197" s="47">
        <v>44479</v>
      </c>
      <c r="V197">
        <v>149.15</v>
      </c>
      <c r="W197" s="119">
        <f>Table8[[#This Row],[Price]]/V198-1</f>
        <v>-3.5127442101177464E-2</v>
      </c>
      <c r="Z197" s="47">
        <v>44479</v>
      </c>
      <c r="AA197">
        <v>454.91</v>
      </c>
      <c r="AB197" s="119">
        <f>Table9[[#This Row],[Price]]/AA198-1</f>
        <v>-5.2902231845436298E-2</v>
      </c>
    </row>
    <row r="198" spans="1:28">
      <c r="A198" s="117">
        <v>44265</v>
      </c>
      <c r="B198">
        <v>111.22</v>
      </c>
      <c r="C198" s="119">
        <f t="shared" si="2"/>
        <v>-1.5054906128232348E-2</v>
      </c>
      <c r="F198" s="47">
        <v>44265</v>
      </c>
      <c r="G198" s="16">
        <v>4391.34</v>
      </c>
      <c r="H198" s="119">
        <f>Table2[[#This Row],[Price]]/G199-1</f>
        <v>7.8723169858436748E-3</v>
      </c>
      <c r="J198" s="46"/>
      <c r="K198" s="117">
        <v>44265</v>
      </c>
      <c r="L198">
        <v>36.35</v>
      </c>
      <c r="M198" s="119">
        <f>Table5[[#This Row],[Price]]/L199-1</f>
        <v>-6.0158599945310254E-3</v>
      </c>
      <c r="N198" s="16"/>
      <c r="P198" s="47">
        <v>44265</v>
      </c>
      <c r="Q198">
        <v>123.39</v>
      </c>
      <c r="R198" s="119">
        <f>Table6[[#This Row],[Price]]/Q199-1</f>
        <v>-2.0219993529602132E-3</v>
      </c>
      <c r="U198" s="47">
        <v>44265</v>
      </c>
      <c r="V198">
        <v>154.58000000000001</v>
      </c>
      <c r="W198" s="119">
        <f>Table8[[#This Row],[Price]]/V199-1</f>
        <v>-8.8484226724800941E-3</v>
      </c>
      <c r="Z198" s="47">
        <v>44265</v>
      </c>
      <c r="AA198">
        <v>480.32</v>
      </c>
      <c r="AB198" s="119">
        <f>Table9[[#This Row],[Price]]/AA199-1</f>
        <v>1.1051003010082772E-2</v>
      </c>
    </row>
    <row r="199" spans="1:28">
      <c r="A199" s="117">
        <v>44465</v>
      </c>
      <c r="B199">
        <v>112.92</v>
      </c>
      <c r="C199" s="119">
        <f t="shared" si="2"/>
        <v>-1.0428533870826429E-2</v>
      </c>
      <c r="F199" s="47">
        <v>44465</v>
      </c>
      <c r="G199" s="16">
        <v>4357.04</v>
      </c>
      <c r="H199" s="119">
        <f>Table2[[#This Row],[Price]]/G200-1</f>
        <v>-2.2094140249759753E-2</v>
      </c>
      <c r="J199" s="46"/>
      <c r="K199" s="117" t="s">
        <v>361</v>
      </c>
      <c r="L199">
        <v>36.57</v>
      </c>
      <c r="M199" s="119">
        <f>Table5[[#This Row],[Price]]/L200-1</f>
        <v>-5.6014455343314395E-2</v>
      </c>
      <c r="N199" s="16"/>
      <c r="P199" s="46" t="s">
        <v>361</v>
      </c>
      <c r="Q199">
        <v>123.64</v>
      </c>
      <c r="R199" s="119">
        <f>Table6[[#This Row],[Price]]/Q200-1</f>
        <v>-1.4977692797960462E-2</v>
      </c>
      <c r="U199" s="46" t="s">
        <v>361</v>
      </c>
      <c r="V199">
        <v>155.96</v>
      </c>
      <c r="W199" s="119">
        <f>Table8[[#This Row],[Price]]/V200-1</f>
        <v>-1.7265280403276462E-2</v>
      </c>
      <c r="Z199" s="46" t="s">
        <v>361</v>
      </c>
      <c r="AA199">
        <v>475.07</v>
      </c>
      <c r="AB199" s="119">
        <f>Table9[[#This Row],[Price]]/AA200-1</f>
        <v>-3.0152702923403552E-2</v>
      </c>
    </row>
    <row r="200" spans="1:28">
      <c r="A200" s="117">
        <v>44458</v>
      </c>
      <c r="B200">
        <v>114.11</v>
      </c>
      <c r="C200" s="119">
        <f t="shared" si="2"/>
        <v>6.1722952120624175E-3</v>
      </c>
      <c r="F200" s="47">
        <v>44458</v>
      </c>
      <c r="G200" s="16">
        <v>4455.4799999999996</v>
      </c>
      <c r="H200" s="119">
        <f>Table2[[#This Row],[Price]]/G201-1</f>
        <v>5.0733252274424157E-3</v>
      </c>
      <c r="J200" s="47"/>
      <c r="K200" s="117" t="s">
        <v>362</v>
      </c>
      <c r="L200">
        <v>38.74</v>
      </c>
      <c r="M200" s="119">
        <f>Table5[[#This Row],[Price]]/L201-1</f>
        <v>1.4667365112624564E-2</v>
      </c>
      <c r="N200" s="16"/>
      <c r="P200" s="46" t="s">
        <v>362</v>
      </c>
      <c r="Q200">
        <v>125.52</v>
      </c>
      <c r="R200" s="119">
        <f>Table6[[#This Row],[Price]]/Q201-1</f>
        <v>-1.2353450310803371E-2</v>
      </c>
      <c r="U200" s="46" t="s">
        <v>362</v>
      </c>
      <c r="V200">
        <v>158.69999999999999</v>
      </c>
      <c r="W200" s="119">
        <f>Table8[[#This Row],[Price]]/V201-1</f>
        <v>6.2035735796024838E-2</v>
      </c>
      <c r="Z200" s="46" t="s">
        <v>362</v>
      </c>
      <c r="AA200">
        <v>489.84</v>
      </c>
      <c r="AB200" s="119">
        <f>Table9[[#This Row],[Price]]/AA201-1</f>
        <v>-2.7207371807602243E-2</v>
      </c>
    </row>
    <row r="201" spans="1:28">
      <c r="A201" s="117">
        <v>44539</v>
      </c>
      <c r="B201">
        <v>113.41</v>
      </c>
      <c r="C201" s="119">
        <f t="shared" si="2"/>
        <v>-4.968996145466742E-2</v>
      </c>
      <c r="F201" s="47">
        <v>44539</v>
      </c>
      <c r="G201" s="16">
        <v>4432.99</v>
      </c>
      <c r="H201" s="119">
        <f>Table2[[#This Row],[Price]]/G202-1</f>
        <v>-5.7394955344527432E-3</v>
      </c>
      <c r="J201" s="47"/>
      <c r="K201" s="117">
        <v>44539</v>
      </c>
      <c r="L201">
        <v>38.18</v>
      </c>
      <c r="M201" s="119">
        <f>Table5[[#This Row],[Price]]/L202-1</f>
        <v>4.2083114150446299E-3</v>
      </c>
      <c r="N201" s="16"/>
      <c r="P201" s="47">
        <v>44539</v>
      </c>
      <c r="Q201">
        <v>127.09</v>
      </c>
      <c r="R201" s="119">
        <f>Table6[[#This Row],[Price]]/Q202-1</f>
        <v>-2.1556701824620661E-2</v>
      </c>
      <c r="U201" s="47">
        <v>44539</v>
      </c>
      <c r="V201">
        <v>149.43</v>
      </c>
      <c r="W201" s="119">
        <f>Table8[[#This Row],[Price]]/V202-1</f>
        <v>5.1796044665681773E-3</v>
      </c>
      <c r="Z201" s="47">
        <v>44539</v>
      </c>
      <c r="AA201">
        <v>503.54</v>
      </c>
      <c r="AB201" s="119">
        <f>Table9[[#This Row],[Price]]/AA202-1</f>
        <v>-1.434807289525708E-2</v>
      </c>
    </row>
    <row r="202" spans="1:28">
      <c r="A202" s="117">
        <v>44325</v>
      </c>
      <c r="B202">
        <v>119.34</v>
      </c>
      <c r="C202" s="119">
        <f t="shared" si="2"/>
        <v>1.8346275279460755E-2</v>
      </c>
      <c r="F202" s="47">
        <v>44325</v>
      </c>
      <c r="G202" s="16">
        <v>4458.58</v>
      </c>
      <c r="H202" s="119">
        <f>Table2[[#This Row],[Price]]/G203-1</f>
        <v>-1.6944369111638879E-2</v>
      </c>
      <c r="J202" s="46"/>
      <c r="K202" s="117">
        <v>44325</v>
      </c>
      <c r="L202">
        <v>38.020000000000003</v>
      </c>
      <c r="M202" s="119">
        <f>Table5[[#This Row],[Price]]/L203-1</f>
        <v>-9.8958333333332149E-3</v>
      </c>
      <c r="N202" s="16"/>
      <c r="P202" s="47">
        <v>44325</v>
      </c>
      <c r="Q202">
        <v>129.88999999999999</v>
      </c>
      <c r="R202" s="119">
        <f>Table6[[#This Row],[Price]]/Q203-1</f>
        <v>-7.8673999388939597E-3</v>
      </c>
      <c r="U202" s="47">
        <v>44325</v>
      </c>
      <c r="V202">
        <v>148.66</v>
      </c>
      <c r="W202" s="119">
        <f>Table8[[#This Row],[Price]]/V203-1</f>
        <v>4.1202296521445358E-3</v>
      </c>
      <c r="Z202" s="47">
        <v>44325</v>
      </c>
      <c r="AA202">
        <v>510.87</v>
      </c>
      <c r="AB202" s="119">
        <f>Table9[[#This Row],[Price]]/AA203-1</f>
        <v>-7.0553935860058203E-3</v>
      </c>
    </row>
    <row r="203" spans="1:28">
      <c r="A203" s="117">
        <v>44437</v>
      </c>
      <c r="B203">
        <v>117.19</v>
      </c>
      <c r="C203" s="119">
        <f t="shared" si="2"/>
        <v>1.7981236970117997E-2</v>
      </c>
      <c r="F203" s="47">
        <v>44437</v>
      </c>
      <c r="G203" s="16">
        <v>4535.43</v>
      </c>
      <c r="H203" s="119">
        <f>Table2[[#This Row],[Price]]/G204-1</f>
        <v>5.7790777869193288E-3</v>
      </c>
      <c r="J203" s="46"/>
      <c r="K203" s="117" t="s">
        <v>363</v>
      </c>
      <c r="L203">
        <v>38.4</v>
      </c>
      <c r="M203" s="119">
        <f>Table5[[#This Row],[Price]]/L204-1</f>
        <v>5.2110474205302459E-4</v>
      </c>
      <c r="N203" s="16"/>
      <c r="P203" s="46" t="s">
        <v>363</v>
      </c>
      <c r="Q203">
        <v>130.91999999999999</v>
      </c>
      <c r="R203" s="119">
        <f>Table6[[#This Row],[Price]]/Q204-1</f>
        <v>-5.9225512528473523E-3</v>
      </c>
      <c r="U203" s="46" t="s">
        <v>363</v>
      </c>
      <c r="V203">
        <v>148.05000000000001</v>
      </c>
      <c r="W203" s="119">
        <f>Table8[[#This Row],[Price]]/V204-1</f>
        <v>-3.2858636007316422E-2</v>
      </c>
      <c r="Z203" s="46" t="s">
        <v>363</v>
      </c>
      <c r="AA203">
        <v>514.5</v>
      </c>
      <c r="AB203" s="119">
        <f>Table9[[#This Row],[Price]]/AA204-1</f>
        <v>5.1380233262352526E-3</v>
      </c>
    </row>
    <row r="204" spans="1:28">
      <c r="A204" s="117">
        <v>44430</v>
      </c>
      <c r="B204">
        <v>115.12</v>
      </c>
      <c r="C204" s="119">
        <f t="shared" si="2"/>
        <v>4.2746226991190461E-3</v>
      </c>
      <c r="F204" s="47">
        <v>44430</v>
      </c>
      <c r="G204" s="16">
        <v>4509.37</v>
      </c>
      <c r="H204" s="119">
        <f>Table2[[#This Row],[Price]]/G205-1</f>
        <v>1.5242014827756112E-2</v>
      </c>
      <c r="J204" s="47"/>
      <c r="K204" s="117" t="s">
        <v>364</v>
      </c>
      <c r="L204">
        <v>38.380000000000003</v>
      </c>
      <c r="M204" s="119">
        <f>Table5[[#This Row],[Price]]/L205-1</f>
        <v>1.4538725878932235E-2</v>
      </c>
      <c r="N204" s="16"/>
      <c r="P204" s="46" t="s">
        <v>364</v>
      </c>
      <c r="Q204">
        <v>131.69999999999999</v>
      </c>
      <c r="R204" s="119">
        <f>Table6[[#This Row],[Price]]/Q205-1</f>
        <v>-2.0526550647032682E-2</v>
      </c>
      <c r="U204" s="46" t="s">
        <v>364</v>
      </c>
      <c r="V204">
        <v>153.08000000000001</v>
      </c>
      <c r="W204" s="119">
        <f>Table8[[#This Row],[Price]]/V205-1</f>
        <v>9.884430407005973E-2</v>
      </c>
      <c r="Z204" s="46" t="s">
        <v>364</v>
      </c>
      <c r="AA204">
        <v>511.87</v>
      </c>
      <c r="AB204" s="119">
        <f>Table9[[#This Row],[Price]]/AA205-1</f>
        <v>4.6121840163291239E-3</v>
      </c>
    </row>
    <row r="205" spans="1:28">
      <c r="A205" s="117">
        <v>44423</v>
      </c>
      <c r="B205">
        <v>114.63</v>
      </c>
      <c r="C205" s="119">
        <f t="shared" si="2"/>
        <v>-1.8242548818088511E-2</v>
      </c>
      <c r="F205" s="47">
        <v>44423</v>
      </c>
      <c r="G205" s="16">
        <v>4441.67</v>
      </c>
      <c r="H205" s="119">
        <f>Table2[[#This Row],[Price]]/G206-1</f>
        <v>-5.8930170098477896E-3</v>
      </c>
      <c r="J205" s="47"/>
      <c r="K205" s="117" t="s">
        <v>365</v>
      </c>
      <c r="L205">
        <v>37.83</v>
      </c>
      <c r="M205" s="119">
        <f>Table5[[#This Row],[Price]]/L206-1</f>
        <v>1.8538135593220151E-3</v>
      </c>
      <c r="N205" s="16"/>
      <c r="P205" s="46" t="s">
        <v>365</v>
      </c>
      <c r="Q205">
        <v>134.46</v>
      </c>
      <c r="R205" s="119">
        <f>Table6[[#This Row],[Price]]/Q206-1</f>
        <v>-3.7048014226437331E-3</v>
      </c>
      <c r="U205" s="46" t="s">
        <v>365</v>
      </c>
      <c r="V205">
        <v>139.31</v>
      </c>
      <c r="W205" s="119">
        <f>Table8[[#This Row],[Price]]/V206-1</f>
        <v>-1.8874568631593869E-2</v>
      </c>
      <c r="Z205" s="46" t="s">
        <v>365</v>
      </c>
      <c r="AA205">
        <v>509.52</v>
      </c>
      <c r="AB205" s="119">
        <f>Table9[[#This Row],[Price]]/AA206-1</f>
        <v>-1.4506208657305342E-2</v>
      </c>
    </row>
    <row r="206" spans="1:28">
      <c r="A206" s="117">
        <v>44416</v>
      </c>
      <c r="B206">
        <v>116.76</v>
      </c>
      <c r="C206" s="119">
        <f t="shared" si="2"/>
        <v>-1.923561528769413E-2</v>
      </c>
      <c r="F206" s="47">
        <v>44416</v>
      </c>
      <c r="G206" s="16">
        <v>4468</v>
      </c>
      <c r="H206" s="119">
        <f>Table2[[#This Row],[Price]]/G207-1</f>
        <v>7.0956515467077708E-3</v>
      </c>
      <c r="J206" s="46"/>
      <c r="K206" s="117">
        <v>44416</v>
      </c>
      <c r="L206">
        <v>37.76</v>
      </c>
      <c r="M206" s="119">
        <f>Table5[[#This Row],[Price]]/L207-1</f>
        <v>5.2994170641218474E-4</v>
      </c>
      <c r="N206" s="16"/>
      <c r="P206" s="47">
        <v>44416</v>
      </c>
      <c r="Q206">
        <v>134.96</v>
      </c>
      <c r="R206" s="119">
        <f>Table6[[#This Row],[Price]]/Q207-1</f>
        <v>6.9387450570768117E-3</v>
      </c>
      <c r="U206" s="47">
        <v>44416</v>
      </c>
      <c r="V206">
        <v>141.99</v>
      </c>
      <c r="W206" s="119">
        <f>Table8[[#This Row],[Price]]/V207-1</f>
        <v>-1.8728403593641918E-2</v>
      </c>
      <c r="Z206" s="47">
        <v>44416</v>
      </c>
      <c r="AA206">
        <v>517.02</v>
      </c>
      <c r="AB206" s="119">
        <f>Table9[[#This Row],[Price]]/AA207-1</f>
        <v>-3.0781343731253852E-2</v>
      </c>
    </row>
    <row r="207" spans="1:28">
      <c r="A207" s="117">
        <v>44204</v>
      </c>
      <c r="B207">
        <v>119.05</v>
      </c>
      <c r="C207" s="119">
        <f t="shared" si="2"/>
        <v>-1.9599769414477608E-2</v>
      </c>
      <c r="F207" s="47">
        <v>44204</v>
      </c>
      <c r="G207" s="16">
        <v>4436.5200000000004</v>
      </c>
      <c r="H207" s="119">
        <f>Table2[[#This Row],[Price]]/G208-1</f>
        <v>9.3873855016541885E-3</v>
      </c>
      <c r="J207" s="46"/>
      <c r="K207" s="117">
        <v>44204</v>
      </c>
      <c r="L207">
        <v>37.74</v>
      </c>
      <c r="M207" s="119">
        <f>Table5[[#This Row],[Price]]/L208-1</f>
        <v>1.2610678830158317E-2</v>
      </c>
      <c r="N207" s="16"/>
      <c r="P207" s="47">
        <v>44204</v>
      </c>
      <c r="Q207">
        <v>134.03</v>
      </c>
      <c r="R207" s="119">
        <f>Table6[[#This Row],[Price]]/Q208-1</f>
        <v>2.0092853337392524E-2</v>
      </c>
      <c r="U207" s="47">
        <v>44204</v>
      </c>
      <c r="V207">
        <v>144.69999999999999</v>
      </c>
      <c r="W207" s="119">
        <f>Table8[[#This Row],[Price]]/V208-1</f>
        <v>-8.0888401425830425E-3</v>
      </c>
      <c r="Z207" s="47">
        <v>44204</v>
      </c>
      <c r="AA207">
        <v>533.44000000000005</v>
      </c>
      <c r="AB207" s="119">
        <f>Table9[[#This Row],[Price]]/AA208-1</f>
        <v>1.5128736988334834E-2</v>
      </c>
    </row>
    <row r="208" spans="1:28">
      <c r="A208" s="117">
        <v>44402</v>
      </c>
      <c r="B208">
        <v>121.43</v>
      </c>
      <c r="C208" s="119">
        <f t="shared" si="2"/>
        <v>-3.6040327061998778E-2</v>
      </c>
      <c r="F208" s="47">
        <v>44402</v>
      </c>
      <c r="G208" s="16">
        <v>4395.26</v>
      </c>
      <c r="H208" s="119">
        <f>Table2[[#This Row],[Price]]/G209-1</f>
        <v>-3.7467785184697178E-3</v>
      </c>
      <c r="J208" s="46"/>
      <c r="K208" s="117" t="s">
        <v>366</v>
      </c>
      <c r="L208">
        <v>37.270000000000003</v>
      </c>
      <c r="M208" s="119">
        <f>Table5[[#This Row],[Price]]/L209-1</f>
        <v>1.7749863462588999E-2</v>
      </c>
      <c r="N208" s="16"/>
      <c r="P208" s="46" t="s">
        <v>366</v>
      </c>
      <c r="Q208">
        <v>131.38999999999999</v>
      </c>
      <c r="R208" s="119">
        <f>Table6[[#This Row],[Price]]/Q209-1</f>
        <v>7.0038276732632854E-2</v>
      </c>
      <c r="U208" s="46" t="s">
        <v>366</v>
      </c>
      <c r="V208">
        <v>145.88</v>
      </c>
      <c r="W208" s="119">
        <f>Table8[[#This Row],[Price]]/V209-1</f>
        <v>9.4104622197619392E-3</v>
      </c>
      <c r="Z208" s="46" t="s">
        <v>366</v>
      </c>
      <c r="AA208">
        <v>525.49</v>
      </c>
      <c r="AB208" s="119">
        <f>Table9[[#This Row],[Price]]/AA209-1</f>
        <v>7.6125225996648282E-5</v>
      </c>
    </row>
    <row r="209" spans="1:28">
      <c r="A209" s="117">
        <v>44395</v>
      </c>
      <c r="B209">
        <v>125.97</v>
      </c>
      <c r="C209" s="119">
        <f t="shared" si="2"/>
        <v>6.0978691147982822E-2</v>
      </c>
      <c r="F209" s="47">
        <v>44395</v>
      </c>
      <c r="G209" s="16">
        <v>4411.79</v>
      </c>
      <c r="H209" s="119">
        <f>Table2[[#This Row],[Price]]/G210-1</f>
        <v>1.9557862431710538E-2</v>
      </c>
      <c r="J209" s="47"/>
      <c r="K209" s="117" t="s">
        <v>367</v>
      </c>
      <c r="L209">
        <v>36.619999999999997</v>
      </c>
      <c r="M209" s="119">
        <f>Table5[[#This Row],[Price]]/L210-1</f>
        <v>0.1733418776033322</v>
      </c>
      <c r="N209" s="16"/>
      <c r="P209" s="46" t="s">
        <v>367</v>
      </c>
      <c r="Q209">
        <v>122.79</v>
      </c>
      <c r="R209" s="119">
        <f>Table6[[#This Row],[Price]]/Q210-1</f>
        <v>5.9905049633146357E-2</v>
      </c>
      <c r="U209" s="46" t="s">
        <v>367</v>
      </c>
      <c r="V209">
        <v>144.52000000000001</v>
      </c>
      <c r="W209" s="119">
        <f>Table8[[#This Row],[Price]]/V210-1</f>
        <v>1.9613376605051469E-2</v>
      </c>
      <c r="Z209" s="46" t="s">
        <v>367</v>
      </c>
      <c r="AA209">
        <v>525.45000000000005</v>
      </c>
      <c r="AB209" s="119">
        <f>Table9[[#This Row],[Price]]/AA210-1</f>
        <v>8.8609430678710632E-2</v>
      </c>
    </row>
    <row r="210" spans="1:28">
      <c r="A210" s="117">
        <v>44507</v>
      </c>
      <c r="B210">
        <v>118.73</v>
      </c>
      <c r="C210" s="119">
        <f t="shared" si="2"/>
        <v>1.0726142844981634E-2</v>
      </c>
      <c r="F210" s="47">
        <v>44507</v>
      </c>
      <c r="G210" s="16">
        <v>4327.16</v>
      </c>
      <c r="H210" s="119">
        <f>Table2[[#This Row],[Price]]/G211-1</f>
        <v>-9.7012278152213138E-3</v>
      </c>
      <c r="J210" s="46"/>
      <c r="K210" s="117">
        <v>44507</v>
      </c>
      <c r="L210">
        <v>31.21</v>
      </c>
      <c r="M210" s="119">
        <f>Table5[[#This Row],[Price]]/L211-1</f>
        <v>-1.9786432160804002E-2</v>
      </c>
      <c r="N210" s="16"/>
      <c r="P210" s="47">
        <v>44507</v>
      </c>
      <c r="Q210">
        <v>115.85</v>
      </c>
      <c r="R210" s="119">
        <f>Table6[[#This Row],[Price]]/Q211-1</f>
        <v>-2.3022432113341207E-2</v>
      </c>
      <c r="U210" s="47">
        <v>44507</v>
      </c>
      <c r="V210">
        <v>141.74</v>
      </c>
      <c r="W210" s="119">
        <f>Table8[[#This Row],[Price]]/V211-1</f>
        <v>-4.6035805626598481E-2</v>
      </c>
      <c r="Z210" s="47">
        <v>44507</v>
      </c>
      <c r="AA210">
        <v>482.68</v>
      </c>
      <c r="AB210" s="119">
        <f>Table9[[#This Row],[Price]]/AA211-1</f>
        <v>1.0721165926794507E-2</v>
      </c>
    </row>
    <row r="211" spans="1:28">
      <c r="A211" s="117">
        <v>44293</v>
      </c>
      <c r="B211">
        <v>117.47</v>
      </c>
      <c r="C211" s="119">
        <f t="shared" si="2"/>
        <v>2.1744802992084811E-2</v>
      </c>
      <c r="F211" s="47">
        <v>44293</v>
      </c>
      <c r="G211" s="16">
        <v>4369.55</v>
      </c>
      <c r="H211" s="119">
        <f>Table2[[#This Row],[Price]]/G212-1</f>
        <v>3.954194755005469E-3</v>
      </c>
      <c r="J211" s="46"/>
      <c r="K211" s="117">
        <v>44293</v>
      </c>
      <c r="L211">
        <v>31.84</v>
      </c>
      <c r="M211" s="119">
        <f>Table5[[#This Row],[Price]]/L212-1</f>
        <v>1.6278327481646926E-2</v>
      </c>
      <c r="N211" s="16"/>
      <c r="P211" s="47">
        <v>44293</v>
      </c>
      <c r="Q211">
        <v>118.58</v>
      </c>
      <c r="R211" s="119">
        <f>Table6[[#This Row],[Price]]/Q212-1</f>
        <v>1.3937580162462604E-2</v>
      </c>
      <c r="U211" s="47">
        <v>44293</v>
      </c>
      <c r="V211">
        <v>148.58000000000001</v>
      </c>
      <c r="W211" s="119">
        <f>Table8[[#This Row],[Price]]/V212-1</f>
        <v>3.0378721393371499E-3</v>
      </c>
      <c r="Z211" s="47">
        <v>44293</v>
      </c>
      <c r="AA211">
        <v>477.56</v>
      </c>
      <c r="AB211" s="119">
        <f>Table9[[#This Row],[Price]]/AA212-1</f>
        <v>7.0006747638327038E-3</v>
      </c>
    </row>
    <row r="212" spans="1:28">
      <c r="A212" s="117">
        <v>44374</v>
      </c>
      <c r="B212">
        <v>114.97</v>
      </c>
      <c r="C212" s="119">
        <f t="shared" si="2"/>
        <v>1.7073602264684906E-2</v>
      </c>
      <c r="F212" s="47">
        <v>44374</v>
      </c>
      <c r="G212" s="16">
        <v>4352.34</v>
      </c>
      <c r="H212" s="119">
        <f>Table2[[#This Row],[Price]]/G213-1</f>
        <v>1.6735580629336333E-2</v>
      </c>
      <c r="J212" s="46"/>
      <c r="K212" s="117" t="s">
        <v>368</v>
      </c>
      <c r="L212">
        <v>31.33</v>
      </c>
      <c r="M212" s="119">
        <f>Table5[[#This Row],[Price]]/L213-1</f>
        <v>3.1270572745227154E-2</v>
      </c>
      <c r="N212" s="16"/>
      <c r="P212" s="46" t="s">
        <v>368</v>
      </c>
      <c r="Q212">
        <v>116.95</v>
      </c>
      <c r="R212" s="119">
        <f>Table6[[#This Row],[Price]]/Q213-1</f>
        <v>-2.5586353944562212E-3</v>
      </c>
      <c r="U212" s="46" t="s">
        <v>368</v>
      </c>
      <c r="V212">
        <v>148.13</v>
      </c>
      <c r="W212" s="119">
        <f>Table8[[#This Row],[Price]]/V213-1</f>
        <v>2.7895357712858004E-2</v>
      </c>
      <c r="Z212" s="46" t="s">
        <v>368</v>
      </c>
      <c r="AA212">
        <v>474.24</v>
      </c>
      <c r="AB212" s="119">
        <f>Table9[[#This Row],[Price]]/AA213-1</f>
        <v>3.5503733787501712E-2</v>
      </c>
    </row>
    <row r="213" spans="1:28">
      <c r="A213" s="117">
        <v>44367</v>
      </c>
      <c r="B213">
        <v>113.04</v>
      </c>
      <c r="C213" s="119">
        <f t="shared" si="2"/>
        <v>3.0446672743846825E-2</v>
      </c>
      <c r="F213" s="47">
        <v>44367</v>
      </c>
      <c r="G213" s="16">
        <v>4280.7</v>
      </c>
      <c r="H213" s="119">
        <f>Table2[[#This Row],[Price]]/G214-1</f>
        <v>2.7421425914147646E-2</v>
      </c>
      <c r="J213" s="47"/>
      <c r="K213" s="117" t="s">
        <v>369</v>
      </c>
      <c r="L213">
        <v>30.38</v>
      </c>
      <c r="M213" s="119">
        <f>Table5[[#This Row],[Price]]/L214-1</f>
        <v>8.5387638442300906E-2</v>
      </c>
      <c r="N213" s="16"/>
      <c r="P213" s="46" t="s">
        <v>369</v>
      </c>
      <c r="Q213">
        <v>117.25</v>
      </c>
      <c r="R213" s="119">
        <f>Table6[[#This Row],[Price]]/Q214-1</f>
        <v>2.2766922540125689E-2</v>
      </c>
      <c r="U213" s="46" t="s">
        <v>369</v>
      </c>
      <c r="V213">
        <v>144.11000000000001</v>
      </c>
      <c r="W213" s="119">
        <f>Table8[[#This Row],[Price]]/V214-1</f>
        <v>0.10768639508070721</v>
      </c>
      <c r="Z213" s="46" t="s">
        <v>369</v>
      </c>
      <c r="AA213">
        <v>457.98</v>
      </c>
      <c r="AB213" s="119">
        <f>Table9[[#This Row],[Price]]/AA214-1</f>
        <v>-4.8023642408570044E-3</v>
      </c>
    </row>
    <row r="214" spans="1:28">
      <c r="A214" s="117">
        <v>44360</v>
      </c>
      <c r="B214">
        <v>109.7</v>
      </c>
      <c r="C214" s="119">
        <f t="shared" si="2"/>
        <v>-2.540867093105903E-2</v>
      </c>
      <c r="F214" s="47">
        <v>44360</v>
      </c>
      <c r="G214" s="16">
        <v>4166.45</v>
      </c>
      <c r="H214" s="119">
        <f>Table2[[#This Row],[Price]]/G215-1</f>
        <v>-1.9067956227751259E-2</v>
      </c>
      <c r="J214" s="47"/>
      <c r="K214" s="117" t="s">
        <v>370</v>
      </c>
      <c r="L214">
        <v>27.99</v>
      </c>
      <c r="M214" s="119">
        <f>Table5[[#This Row],[Price]]/L215-1</f>
        <v>2.3774689100219515E-2</v>
      </c>
      <c r="N214" s="16"/>
      <c r="P214" s="46" t="s">
        <v>370</v>
      </c>
      <c r="Q214">
        <v>114.64</v>
      </c>
      <c r="R214" s="119">
        <f>Table6[[#This Row],[Price]]/Q215-1</f>
        <v>-4.1872127037191897E-2</v>
      </c>
      <c r="U214" s="46" t="s">
        <v>370</v>
      </c>
      <c r="V214">
        <v>130.1</v>
      </c>
      <c r="W214" s="119">
        <f>Table8[[#This Row],[Price]]/V215-1</f>
        <v>-6.4768887930414909E-2</v>
      </c>
      <c r="Z214" s="46" t="s">
        <v>370</v>
      </c>
      <c r="AA214">
        <v>460.19</v>
      </c>
      <c r="AB214" s="119">
        <f>Table9[[#This Row],[Price]]/AA215-1</f>
        <v>1.5961674320028374E-2</v>
      </c>
    </row>
    <row r="215" spans="1:28">
      <c r="A215" s="117">
        <v>44353</v>
      </c>
      <c r="B215">
        <v>112.56</v>
      </c>
      <c r="C215" s="119">
        <f t="shared" ref="C215:C278" si="3">B215/B216-1</f>
        <v>5.0897401553711141E-3</v>
      </c>
      <c r="F215" s="47">
        <v>44353</v>
      </c>
      <c r="G215" s="16">
        <v>4247.4399999999996</v>
      </c>
      <c r="H215" s="119">
        <f>Table2[[#This Row],[Price]]/G216-1</f>
        <v>4.1490440649754046E-3</v>
      </c>
      <c r="J215" s="46"/>
      <c r="K215" s="117">
        <v>44353</v>
      </c>
      <c r="L215">
        <v>27.34</v>
      </c>
      <c r="M215" s="119">
        <f>Table5[[#This Row],[Price]]/L216-1</f>
        <v>3.0531473803241616E-2</v>
      </c>
      <c r="N215" s="16"/>
      <c r="P215" s="47">
        <v>44353</v>
      </c>
      <c r="Q215">
        <v>119.65</v>
      </c>
      <c r="R215" s="119">
        <f>Table6[[#This Row],[Price]]/Q216-1</f>
        <v>7.4092784373158693E-3</v>
      </c>
      <c r="U215" s="47">
        <v>44353</v>
      </c>
      <c r="V215">
        <v>139.11000000000001</v>
      </c>
      <c r="W215" s="119">
        <f>Table8[[#This Row],[Price]]/V216-1</f>
        <v>3.6973537085352337E-2</v>
      </c>
      <c r="Z215" s="47">
        <v>44353</v>
      </c>
      <c r="AA215">
        <v>452.96</v>
      </c>
      <c r="AB215" s="119">
        <f>Table9[[#This Row],[Price]]/AA216-1</f>
        <v>5.0610010669388084E-2</v>
      </c>
    </row>
    <row r="216" spans="1:28">
      <c r="A216" s="117">
        <v>44346</v>
      </c>
      <c r="B216">
        <v>111.99</v>
      </c>
      <c r="C216" s="119">
        <f t="shared" si="3"/>
        <v>-1.6596417281348752E-2</v>
      </c>
      <c r="F216" s="47">
        <v>44346</v>
      </c>
      <c r="G216" s="16">
        <v>4229.8900000000003</v>
      </c>
      <c r="H216" s="119">
        <f>Table2[[#This Row],[Price]]/G217-1</f>
        <v>6.1320945455758391E-3</v>
      </c>
      <c r="J216" s="46"/>
      <c r="K216" s="117" t="s">
        <v>371</v>
      </c>
      <c r="L216">
        <v>26.53</v>
      </c>
      <c r="M216" s="119">
        <f>Table5[[#This Row],[Price]]/L217-1</f>
        <v>-3.3163265306122458E-2</v>
      </c>
      <c r="N216" s="16"/>
      <c r="P216" s="46" t="s">
        <v>371</v>
      </c>
      <c r="Q216">
        <v>118.77</v>
      </c>
      <c r="R216" s="119">
        <f>Table6[[#This Row],[Price]]/Q217-1</f>
        <v>-1.0002500625156285E-2</v>
      </c>
      <c r="U216" s="46" t="s">
        <v>371</v>
      </c>
      <c r="V216">
        <v>134.15</v>
      </c>
      <c r="W216" s="119">
        <f>Table8[[#This Row],[Price]]/V217-1</f>
        <v>-6.3394540249947506E-2</v>
      </c>
      <c r="Z216" s="46" t="s">
        <v>371</v>
      </c>
      <c r="AA216">
        <v>431.14</v>
      </c>
      <c r="AB216" s="119">
        <f>Table9[[#This Row],[Price]]/AA217-1</f>
        <v>1.0003045423665258E-2</v>
      </c>
    </row>
    <row r="217" spans="1:28">
      <c r="A217" s="117">
        <v>44339</v>
      </c>
      <c r="B217">
        <v>113.88</v>
      </c>
      <c r="C217" s="119">
        <f t="shared" si="3"/>
        <v>2.6685899747565855E-2</v>
      </c>
      <c r="F217" s="47">
        <v>44339</v>
      </c>
      <c r="G217" s="16">
        <v>4204.1099999999997</v>
      </c>
      <c r="H217" s="119">
        <f>Table2[[#This Row],[Price]]/G218-1</f>
        <v>1.1610111986448013E-2</v>
      </c>
      <c r="J217" s="47"/>
      <c r="K217" s="117" t="s">
        <v>372</v>
      </c>
      <c r="L217">
        <v>27.44</v>
      </c>
      <c r="M217" s="119">
        <f>Table5[[#This Row],[Price]]/L218-1</f>
        <v>3.1578947368421151E-2</v>
      </c>
      <c r="N217" s="16"/>
      <c r="P217" s="46" t="s">
        <v>372</v>
      </c>
      <c r="Q217">
        <v>119.97</v>
      </c>
      <c r="R217" s="119">
        <f>Table6[[#This Row],[Price]]/Q218-1</f>
        <v>2.1719154623673909E-3</v>
      </c>
      <c r="U217" s="46" t="s">
        <v>372</v>
      </c>
      <c r="V217">
        <v>143.22999999999999</v>
      </c>
      <c r="W217" s="119">
        <f>Table8[[#This Row],[Price]]/V218-1</f>
        <v>1.7547598749644733E-2</v>
      </c>
      <c r="Z217" s="46" t="s">
        <v>372</v>
      </c>
      <c r="AA217">
        <v>426.87</v>
      </c>
      <c r="AB217" s="119">
        <f>Table9[[#This Row],[Price]]/AA218-1</f>
        <v>-1.8239214310767915E-3</v>
      </c>
    </row>
    <row r="218" spans="1:28">
      <c r="A218" s="117">
        <v>44332</v>
      </c>
      <c r="B218">
        <v>110.92</v>
      </c>
      <c r="C218" s="119">
        <f t="shared" si="3"/>
        <v>-2.5179856115108423E-3</v>
      </c>
      <c r="F218" s="47">
        <v>44332</v>
      </c>
      <c r="G218" s="16">
        <v>4155.8599999999997</v>
      </c>
      <c r="H218" s="119">
        <f>Table2[[#This Row],[Price]]/G219-1</f>
        <v>-4.3101692681818404E-3</v>
      </c>
      <c r="J218" s="47"/>
      <c r="K218" s="117" t="s">
        <v>373</v>
      </c>
      <c r="L218">
        <v>26.6</v>
      </c>
      <c r="M218" s="119">
        <f>Table5[[#This Row],[Price]]/L219-1</f>
        <v>-1.9174041297935096E-2</v>
      </c>
      <c r="N218" s="16"/>
      <c r="P218" s="46" t="s">
        <v>373</v>
      </c>
      <c r="Q218">
        <v>119.71</v>
      </c>
      <c r="R218" s="119">
        <f>Table6[[#This Row],[Price]]/Q219-1</f>
        <v>3.6891087448644999E-3</v>
      </c>
      <c r="U218" s="46" t="s">
        <v>373</v>
      </c>
      <c r="V218">
        <v>140.76</v>
      </c>
      <c r="W218" s="119">
        <f>Table8[[#This Row],[Price]]/V219-1</f>
        <v>8.8876146788989807E-3</v>
      </c>
      <c r="Z218" s="46" t="s">
        <v>373</v>
      </c>
      <c r="AA218">
        <v>427.65</v>
      </c>
      <c r="AB218" s="119">
        <f>Table9[[#This Row],[Price]]/AA219-1</f>
        <v>8.4251913220523278E-4</v>
      </c>
    </row>
    <row r="219" spans="1:28">
      <c r="A219" s="117">
        <v>44444</v>
      </c>
      <c r="B219">
        <v>111.2</v>
      </c>
      <c r="C219" s="119">
        <f t="shared" si="3"/>
        <v>-2.7461955571103758E-2</v>
      </c>
      <c r="F219" s="47">
        <v>44444</v>
      </c>
      <c r="G219" s="16">
        <v>4173.8500000000004</v>
      </c>
      <c r="H219" s="119">
        <f>Table2[[#This Row],[Price]]/G220-1</f>
        <v>-1.388035722723624E-2</v>
      </c>
      <c r="J219" s="46"/>
      <c r="K219" s="117">
        <v>44444</v>
      </c>
      <c r="L219">
        <v>27.12</v>
      </c>
      <c r="M219" s="119">
        <f>Table5[[#This Row],[Price]]/L220-1</f>
        <v>-4.9088359046283281E-2</v>
      </c>
      <c r="N219" s="16"/>
      <c r="P219" s="47">
        <v>44444</v>
      </c>
      <c r="Q219">
        <v>119.27</v>
      </c>
      <c r="R219" s="119">
        <f>Table6[[#This Row],[Price]]/Q220-1</f>
        <v>-1.6167615276746705E-2</v>
      </c>
      <c r="U219" s="47">
        <v>44444</v>
      </c>
      <c r="V219">
        <v>139.52000000000001</v>
      </c>
      <c r="W219" s="119">
        <f>Table8[[#This Row],[Price]]/V220-1</f>
        <v>-2.0087090883550984E-2</v>
      </c>
      <c r="Z219" s="47">
        <v>44444</v>
      </c>
      <c r="AA219">
        <v>427.29</v>
      </c>
      <c r="AB219" s="119">
        <f>Table9[[#This Row],[Price]]/AA220-1</f>
        <v>-1.1977709436492678E-2</v>
      </c>
    </row>
    <row r="220" spans="1:28">
      <c r="A220" s="117">
        <v>44232</v>
      </c>
      <c r="B220">
        <v>114.34</v>
      </c>
      <c r="C220" s="119">
        <f t="shared" si="3"/>
        <v>-1.3101580924097522E-3</v>
      </c>
      <c r="F220" s="47">
        <v>44232</v>
      </c>
      <c r="G220" s="16">
        <v>4232.6000000000004</v>
      </c>
      <c r="H220" s="119">
        <f>Table2[[#This Row],[Price]]/G221-1</f>
        <v>1.2300384820516763E-2</v>
      </c>
      <c r="J220" s="46"/>
      <c r="K220" s="117">
        <v>44232</v>
      </c>
      <c r="L220">
        <v>28.52</v>
      </c>
      <c r="M220" s="119">
        <f>Table5[[#This Row],[Price]]/L221-1</f>
        <v>-4.4235924932975901E-2</v>
      </c>
      <c r="N220" s="16"/>
      <c r="P220" s="47">
        <v>44232</v>
      </c>
      <c r="Q220">
        <v>121.23</v>
      </c>
      <c r="R220" s="119">
        <f>Table6[[#This Row],[Price]]/Q221-1</f>
        <v>1.4307228915662717E-2</v>
      </c>
      <c r="U220" s="47">
        <v>44232</v>
      </c>
      <c r="V220">
        <v>142.38</v>
      </c>
      <c r="W220" s="119">
        <f>Table8[[#This Row],[Price]]/V221-1</f>
        <v>-2.9580152671755733E-2</v>
      </c>
      <c r="Z220" s="47">
        <v>44232</v>
      </c>
      <c r="AA220">
        <v>432.47</v>
      </c>
      <c r="AB220" s="119">
        <f>Table9[[#This Row],[Price]]/AA221-1</f>
        <v>2.3985414594876353E-2</v>
      </c>
    </row>
    <row r="221" spans="1:28">
      <c r="A221" s="117">
        <v>44311</v>
      </c>
      <c r="B221">
        <v>114.49</v>
      </c>
      <c r="C221" s="119">
        <f t="shared" si="3"/>
        <v>-2.6114324600204242E-2</v>
      </c>
      <c r="F221" s="47">
        <v>44311</v>
      </c>
      <c r="G221" s="16">
        <v>4181.17</v>
      </c>
      <c r="H221" s="119">
        <f>Table2[[#This Row],[Price]]/G222-1</f>
        <v>2.3922472052562149E-4</v>
      </c>
      <c r="J221" s="46"/>
      <c r="K221" s="117" t="s">
        <v>374</v>
      </c>
      <c r="L221">
        <v>29.84</v>
      </c>
      <c r="M221" s="119">
        <f>Table5[[#This Row],[Price]]/L222-1</f>
        <v>1.6002723867892366E-2</v>
      </c>
      <c r="N221" s="16"/>
      <c r="P221" s="46" t="s">
        <v>374</v>
      </c>
      <c r="Q221">
        <v>119.52</v>
      </c>
      <c r="R221" s="119">
        <f>Table6[[#This Row],[Price]]/Q222-1</f>
        <v>1.5290519877675823E-2</v>
      </c>
      <c r="U221" s="46" t="s">
        <v>374</v>
      </c>
      <c r="V221">
        <v>146.72</v>
      </c>
      <c r="W221" s="119">
        <f>Table8[[#This Row],[Price]]/V222-1</f>
        <v>1.9101201639230458E-2</v>
      </c>
      <c r="Z221" s="46" t="s">
        <v>374</v>
      </c>
      <c r="AA221">
        <v>422.34</v>
      </c>
      <c r="AB221" s="119">
        <f>Table9[[#This Row],[Price]]/AA222-1</f>
        <v>6.1929546654597489E-2</v>
      </c>
    </row>
    <row r="222" spans="1:28">
      <c r="A222" s="117">
        <v>44304</v>
      </c>
      <c r="B222">
        <v>117.56</v>
      </c>
      <c r="C222" s="119">
        <f t="shared" si="3"/>
        <v>-6.5911779618049726E-3</v>
      </c>
      <c r="F222" s="47">
        <v>44304</v>
      </c>
      <c r="G222" s="16">
        <v>4180.17</v>
      </c>
      <c r="H222" s="119">
        <f>Table2[[#This Row],[Price]]/G223-1</f>
        <v>-1.266285506765108E-3</v>
      </c>
      <c r="J222" s="47"/>
      <c r="K222" s="117" t="s">
        <v>375</v>
      </c>
      <c r="L222">
        <v>29.37</v>
      </c>
      <c r="M222" s="119">
        <f>Table5[[#This Row],[Price]]/L223-1</f>
        <v>-4.3322475570032548E-2</v>
      </c>
      <c r="N222" s="16"/>
      <c r="P222" s="46" t="s">
        <v>375</v>
      </c>
      <c r="Q222">
        <v>117.72</v>
      </c>
      <c r="R222" s="119">
        <f>Table6[[#This Row],[Price]]/Q223-1</f>
        <v>-2.8798915805522407E-3</v>
      </c>
      <c r="U222" s="46" t="s">
        <v>375</v>
      </c>
      <c r="V222">
        <v>143.97</v>
      </c>
      <c r="W222" s="119">
        <f>Table8[[#This Row],[Price]]/V223-1</f>
        <v>-1.6127930021185066E-2</v>
      </c>
      <c r="Z222" s="46" t="s">
        <v>375</v>
      </c>
      <c r="AA222">
        <v>397.71</v>
      </c>
      <c r="AB222" s="119">
        <f>Table9[[#This Row],[Price]]/AA223-1</f>
        <v>7.294278550262101E-3</v>
      </c>
    </row>
    <row r="223" spans="1:28">
      <c r="A223" s="117">
        <v>44504</v>
      </c>
      <c r="B223">
        <v>118.34</v>
      </c>
      <c r="C223" s="119">
        <f t="shared" si="3"/>
        <v>4.5591093832832552E-2</v>
      </c>
      <c r="F223" s="47">
        <v>44504</v>
      </c>
      <c r="G223" s="16">
        <v>4185.47</v>
      </c>
      <c r="H223" s="119">
        <f>Table2[[#This Row],[Price]]/G224-1</f>
        <v>1.3725537686494871E-2</v>
      </c>
      <c r="J223" s="46"/>
      <c r="K223" s="117">
        <v>44504</v>
      </c>
      <c r="L223">
        <v>30.7</v>
      </c>
      <c r="M223" s="119">
        <f>Table5[[#This Row],[Price]]/L224-1</f>
        <v>2.2853411687888681E-3</v>
      </c>
      <c r="N223" s="16"/>
      <c r="P223" s="47">
        <v>44504</v>
      </c>
      <c r="Q223">
        <v>118.06</v>
      </c>
      <c r="R223" s="119">
        <f>Table6[[#This Row],[Price]]/Q224-1</f>
        <v>2.6965901183020335E-2</v>
      </c>
      <c r="U223" s="47">
        <v>44504</v>
      </c>
      <c r="V223">
        <v>146.33000000000001</v>
      </c>
      <c r="W223" s="119">
        <f>Table8[[#This Row],[Price]]/V224-1</f>
        <v>2.2571628232005647E-2</v>
      </c>
      <c r="Z223" s="47">
        <v>44504</v>
      </c>
      <c r="AA223">
        <v>394.83</v>
      </c>
      <c r="AB223" s="119">
        <f>Table9[[#This Row],[Price]]/AA224-1</f>
        <v>1.1476879723325117E-2</v>
      </c>
    </row>
    <row r="224" spans="1:28">
      <c r="A224" s="117">
        <v>44290</v>
      </c>
      <c r="B224">
        <v>113.18</v>
      </c>
      <c r="C224" s="119">
        <f t="shared" si="3"/>
        <v>3.4741268970561512E-2</v>
      </c>
      <c r="F224" s="47">
        <v>44290</v>
      </c>
      <c r="G224" s="16">
        <v>4128.8</v>
      </c>
      <c r="H224" s="119">
        <f>Table2[[#This Row],[Price]]/G225-1</f>
        <v>2.7097891225338122E-2</v>
      </c>
      <c r="J224" s="46"/>
      <c r="K224" s="117">
        <v>44290</v>
      </c>
      <c r="L224">
        <v>30.63</v>
      </c>
      <c r="M224" s="119">
        <f>Table5[[#This Row],[Price]]/L225-1</f>
        <v>6.4650677789363842E-2</v>
      </c>
      <c r="N224" s="16"/>
      <c r="P224" s="47">
        <v>44290</v>
      </c>
      <c r="Q224">
        <v>114.96</v>
      </c>
      <c r="R224" s="119">
        <f>Table6[[#This Row],[Price]]/Q225-1</f>
        <v>4.6994535519125691E-2</v>
      </c>
      <c r="U224" s="47">
        <v>44290</v>
      </c>
      <c r="V224">
        <v>143.1</v>
      </c>
      <c r="W224" s="119">
        <f>Table8[[#This Row],[Price]]/V225-1</f>
        <v>-8.1785417244247816E-3</v>
      </c>
      <c r="Z224" s="47">
        <v>44290</v>
      </c>
      <c r="AA224">
        <v>390.35</v>
      </c>
      <c r="AB224" s="119">
        <f>Table9[[#This Row],[Price]]/AA225-1</f>
        <v>4.5449675933365574E-2</v>
      </c>
    </row>
    <row r="225" spans="1:28">
      <c r="A225" s="117">
        <v>44283</v>
      </c>
      <c r="B225">
        <v>109.38</v>
      </c>
      <c r="C225" s="119">
        <f t="shared" si="3"/>
        <v>-4.7315741583258131E-3</v>
      </c>
      <c r="F225" s="47">
        <v>44283</v>
      </c>
      <c r="G225" s="16">
        <v>4019.87</v>
      </c>
      <c r="H225" s="119">
        <f>Table2[[#This Row],[Price]]/G226-1</f>
        <v>1.140509341961593E-2</v>
      </c>
      <c r="J225" s="46"/>
      <c r="K225" s="117" t="s">
        <v>376</v>
      </c>
      <c r="L225">
        <v>28.77</v>
      </c>
      <c r="M225" s="119">
        <f>Table5[[#This Row],[Price]]/L226-1</f>
        <v>-4.8426150121065881E-3</v>
      </c>
      <c r="N225" s="16"/>
      <c r="P225" s="46" t="s">
        <v>376</v>
      </c>
      <c r="Q225">
        <v>109.8</v>
      </c>
      <c r="R225" s="119">
        <f>Table6[[#This Row],[Price]]/Q226-1</f>
        <v>1.6102165463631302E-2</v>
      </c>
      <c r="U225" s="46" t="s">
        <v>376</v>
      </c>
      <c r="V225">
        <v>144.28</v>
      </c>
      <c r="W225" s="119">
        <f>Table8[[#This Row],[Price]]/V226-1</f>
        <v>-3.1547858772989601E-2</v>
      </c>
      <c r="Z225" s="46" t="s">
        <v>376</v>
      </c>
      <c r="AA225">
        <v>373.38</v>
      </c>
      <c r="AB225" s="119">
        <f>Table9[[#This Row],[Price]]/AA226-1</f>
        <v>4.141566265060348E-3</v>
      </c>
    </row>
    <row r="226" spans="1:28">
      <c r="A226" s="117">
        <v>44276</v>
      </c>
      <c r="B226">
        <v>109.9</v>
      </c>
      <c r="C226" s="119">
        <f t="shared" si="3"/>
        <v>3.3477524920067836E-2</v>
      </c>
      <c r="F226" s="47">
        <v>44276</v>
      </c>
      <c r="G226" s="16">
        <v>3974.54</v>
      </c>
      <c r="H226" s="119">
        <f>Table2[[#This Row],[Price]]/G227-1</f>
        <v>1.570110653957224E-2</v>
      </c>
      <c r="J226" s="47"/>
      <c r="K226" s="117" t="s">
        <v>377</v>
      </c>
      <c r="L226">
        <v>28.91</v>
      </c>
      <c r="M226" s="119">
        <f>Table5[[#This Row],[Price]]/L227-1</f>
        <v>1.7241379310344751E-2</v>
      </c>
      <c r="N226" s="16"/>
      <c r="P226" s="46" t="s">
        <v>377</v>
      </c>
      <c r="Q226">
        <v>108.06</v>
      </c>
      <c r="R226" s="119">
        <f>Table6[[#This Row],[Price]]/Q227-1</f>
        <v>9.2626898851433381E-4</v>
      </c>
      <c r="U226" s="46" t="s">
        <v>377</v>
      </c>
      <c r="V226">
        <v>148.97999999999999</v>
      </c>
      <c r="W226" s="119">
        <f>Table8[[#This Row],[Price]]/V227-1</f>
        <v>6.5741469346877413E-2</v>
      </c>
      <c r="Z226" s="46" t="s">
        <v>377</v>
      </c>
      <c r="AA226">
        <v>371.84</v>
      </c>
      <c r="AB226" s="119">
        <f>Table9[[#This Row],[Price]]/AA227-1</f>
        <v>2.2381083310420546E-2</v>
      </c>
    </row>
    <row r="227" spans="1:28">
      <c r="A227" s="117">
        <v>44269</v>
      </c>
      <c r="B227">
        <v>106.34</v>
      </c>
      <c r="C227" s="119">
        <f t="shared" si="3"/>
        <v>-1.3635098784899324E-2</v>
      </c>
      <c r="F227" s="47">
        <v>44269</v>
      </c>
      <c r="G227" s="16">
        <v>3913.1</v>
      </c>
      <c r="H227" s="119">
        <f>Table2[[#This Row],[Price]]/G228-1</f>
        <v>-7.6686260885442392E-3</v>
      </c>
      <c r="J227" s="46"/>
      <c r="K227" s="117" t="s">
        <v>378</v>
      </c>
      <c r="L227">
        <v>28.42</v>
      </c>
      <c r="M227" s="119">
        <f>Table5[[#This Row],[Price]]/L228-1</f>
        <v>-2.2023399862353688E-2</v>
      </c>
      <c r="N227" s="16"/>
      <c r="P227" s="46" t="s">
        <v>378</v>
      </c>
      <c r="Q227">
        <v>107.96</v>
      </c>
      <c r="R227" s="119">
        <f>Table6[[#This Row],[Price]]/Q228-1</f>
        <v>3.0054384123652245E-2</v>
      </c>
      <c r="U227" s="46" t="s">
        <v>378</v>
      </c>
      <c r="V227">
        <v>139.79</v>
      </c>
      <c r="W227" s="119">
        <f>Table8[[#This Row],[Price]]/V228-1</f>
        <v>-3.8649336359260045E-2</v>
      </c>
      <c r="Z227" s="46" t="s">
        <v>378</v>
      </c>
      <c r="AA227">
        <v>363.7</v>
      </c>
      <c r="AB227" s="119">
        <f>Table9[[#This Row],[Price]]/AA228-1</f>
        <v>7.172329761014673E-3</v>
      </c>
    </row>
    <row r="228" spans="1:28">
      <c r="A228" s="117">
        <v>44380</v>
      </c>
      <c r="B228">
        <v>107.81</v>
      </c>
      <c r="C228" s="119">
        <f t="shared" si="3"/>
        <v>2.4809885931558862E-2</v>
      </c>
      <c r="F228" s="47">
        <v>44380</v>
      </c>
      <c r="G228" s="16">
        <v>3943.34</v>
      </c>
      <c r="H228" s="119">
        <f>Table2[[#This Row],[Price]]/G229-1</f>
        <v>2.6392916078856077E-2</v>
      </c>
      <c r="J228" s="46"/>
      <c r="K228" s="117">
        <v>44380</v>
      </c>
      <c r="L228">
        <v>29.06</v>
      </c>
      <c r="M228" s="119">
        <f>Table5[[#This Row],[Price]]/L229-1</f>
        <v>9.0431519699812446E-2</v>
      </c>
      <c r="N228" s="16"/>
      <c r="P228" s="47">
        <v>44380</v>
      </c>
      <c r="Q228">
        <v>104.81</v>
      </c>
      <c r="R228" s="119">
        <f>Table6[[#This Row],[Price]]/Q229-1</f>
        <v>4.6007859676029383E-3</v>
      </c>
      <c r="U228" s="47">
        <v>44380</v>
      </c>
      <c r="V228">
        <v>145.41</v>
      </c>
      <c r="W228" s="119">
        <f>Table8[[#This Row],[Price]]/V229-1</f>
        <v>3.3769372956064192E-2</v>
      </c>
      <c r="Z228" s="47">
        <v>44380</v>
      </c>
      <c r="AA228">
        <v>361.11</v>
      </c>
      <c r="AB228" s="119">
        <f>Table9[[#This Row],[Price]]/AA229-1</f>
        <v>9.347747093023262E-2</v>
      </c>
    </row>
    <row r="229" spans="1:28">
      <c r="A229" s="117">
        <v>44255</v>
      </c>
      <c r="B229">
        <v>105.2</v>
      </c>
      <c r="C229" s="119">
        <f t="shared" si="3"/>
        <v>-2.619642691844859E-2</v>
      </c>
      <c r="F229" s="47">
        <v>44255</v>
      </c>
      <c r="G229" s="16">
        <v>3841.94</v>
      </c>
      <c r="H229" s="119">
        <f>Table2[[#This Row],[Price]]/G230-1</f>
        <v>8.0789263083320684E-3</v>
      </c>
      <c r="J229" s="46"/>
      <c r="K229" s="117" t="s">
        <v>379</v>
      </c>
      <c r="L229">
        <v>26.65</v>
      </c>
      <c r="M229" s="119">
        <f>Table5[[#This Row],[Price]]/L230-1</f>
        <v>-7.5936199722607567E-2</v>
      </c>
      <c r="N229" s="16"/>
      <c r="P229" s="46" t="s">
        <v>379</v>
      </c>
      <c r="Q229">
        <v>104.33</v>
      </c>
      <c r="R229" s="119">
        <f>Table6[[#This Row],[Price]]/Q230-1</f>
        <v>7.7272288225633812E-3</v>
      </c>
      <c r="U229" s="46" t="s">
        <v>379</v>
      </c>
      <c r="V229">
        <v>140.66</v>
      </c>
      <c r="W229" s="119">
        <f>Table8[[#This Row],[Price]]/V230-1</f>
        <v>2.4248161363139786E-2</v>
      </c>
      <c r="Z229" s="46" t="s">
        <v>379</v>
      </c>
      <c r="AA229">
        <v>330.24</v>
      </c>
      <c r="AB229" s="119">
        <f>Table9[[#This Row],[Price]]/AA230-1</f>
        <v>-4.695391186401543E-2</v>
      </c>
    </row>
    <row r="230" spans="1:28">
      <c r="A230" s="117">
        <v>44248</v>
      </c>
      <c r="B230">
        <v>108.03</v>
      </c>
      <c r="C230" s="119">
        <f t="shared" si="3"/>
        <v>4.5080777788526705E-2</v>
      </c>
      <c r="F230" s="47">
        <v>44248</v>
      </c>
      <c r="G230" s="16">
        <v>3811.15</v>
      </c>
      <c r="H230" s="119">
        <f>Table2[[#This Row],[Price]]/G231-1</f>
        <v>-2.4460479533930046E-2</v>
      </c>
      <c r="J230" s="47"/>
      <c r="K230" s="117" t="s">
        <v>380</v>
      </c>
      <c r="L230">
        <v>28.84</v>
      </c>
      <c r="M230" s="119">
        <f>Table5[[#This Row],[Price]]/L231-1</f>
        <v>-2.104548540393758E-2</v>
      </c>
      <c r="N230" s="16"/>
      <c r="P230" s="46" t="s">
        <v>380</v>
      </c>
      <c r="Q230">
        <v>103.53</v>
      </c>
      <c r="R230" s="119">
        <f>Table6[[#This Row],[Price]]/Q231-1</f>
        <v>-1.5219252354228052E-2</v>
      </c>
      <c r="U230" s="46" t="s">
        <v>380</v>
      </c>
      <c r="V230">
        <v>137.33000000000001</v>
      </c>
      <c r="W230" s="119">
        <f>Table8[[#This Row],[Price]]/V231-1</f>
        <v>2.4774270576822799E-2</v>
      </c>
      <c r="Z230" s="46" t="s">
        <v>380</v>
      </c>
      <c r="AA230">
        <v>346.51</v>
      </c>
      <c r="AB230" s="119">
        <f>Table9[[#This Row],[Price]]/AA231-1</f>
        <v>-6.716739352823986E-2</v>
      </c>
    </row>
    <row r="231" spans="1:28">
      <c r="A231" s="117">
        <v>44241</v>
      </c>
      <c r="B231">
        <v>103.37</v>
      </c>
      <c r="C231" s="119">
        <f t="shared" si="3"/>
        <v>-1.8328584995251584E-2</v>
      </c>
      <c r="F231" s="47">
        <v>44241</v>
      </c>
      <c r="G231" s="16">
        <v>3906.71</v>
      </c>
      <c r="H231" s="119">
        <f>Table2[[#This Row],[Price]]/G232-1</f>
        <v>-7.1464332639529227E-3</v>
      </c>
      <c r="J231" s="47"/>
      <c r="K231" s="117" t="s">
        <v>381</v>
      </c>
      <c r="L231">
        <v>29.46</v>
      </c>
      <c r="M231" s="119">
        <f>Table5[[#This Row],[Price]]/L232-1</f>
        <v>-3.5679214402618675E-2</v>
      </c>
      <c r="N231" s="16"/>
      <c r="P231" s="46" t="s">
        <v>381</v>
      </c>
      <c r="Q231">
        <v>105.13</v>
      </c>
      <c r="R231" s="119">
        <f>Table6[[#This Row],[Price]]/Q232-1</f>
        <v>-3.2236654972978007E-3</v>
      </c>
      <c r="U231" s="46" t="s">
        <v>381</v>
      </c>
      <c r="V231">
        <v>134.01</v>
      </c>
      <c r="W231" s="119">
        <f>Table8[[#This Row],[Price]]/V232-1</f>
        <v>4.3285325029194244E-2</v>
      </c>
      <c r="Z231" s="46" t="s">
        <v>381</v>
      </c>
      <c r="AA231">
        <v>371.46</v>
      </c>
      <c r="AB231" s="119">
        <f>Table9[[#This Row],[Price]]/AA232-1</f>
        <v>-3.5594672482280654E-2</v>
      </c>
    </row>
    <row r="232" spans="1:28">
      <c r="A232" s="117">
        <v>44379</v>
      </c>
      <c r="B232">
        <v>105.3</v>
      </c>
      <c r="C232" s="119">
        <f t="shared" si="3"/>
        <v>-1.1081893313298341E-2</v>
      </c>
      <c r="F232" s="47">
        <v>44379</v>
      </c>
      <c r="G232" s="16">
        <v>3934.83</v>
      </c>
      <c r="H232" s="119">
        <f>Table2[[#This Row],[Price]]/G233-1</f>
        <v>1.2349395265550678E-2</v>
      </c>
      <c r="K232" s="117">
        <v>44379</v>
      </c>
      <c r="L232">
        <v>30.55</v>
      </c>
      <c r="M232" s="119">
        <f>Table5[[#This Row],[Price]]/L233-1</f>
        <v>1.360318513603187E-2</v>
      </c>
      <c r="P232" s="47">
        <v>44379</v>
      </c>
      <c r="Q232">
        <v>105.47</v>
      </c>
      <c r="R232" s="119">
        <f>Table6[[#This Row],[Price]]/Q233-1</f>
        <v>1.2340991076513763E-3</v>
      </c>
      <c r="U232" s="47">
        <v>44379</v>
      </c>
      <c r="V232">
        <v>128.44999999999999</v>
      </c>
      <c r="W232" s="119">
        <f>Table8[[#This Row],[Price]]/V233-1</f>
        <v>-2.6746476738899849E-2</v>
      </c>
      <c r="Z232" s="47">
        <v>44379</v>
      </c>
      <c r="AA232">
        <v>385.17</v>
      </c>
      <c r="AB232" s="119">
        <f>Table9[[#This Row],[Price]]/AA233-1</f>
        <v>2.1048166900829779E-2</v>
      </c>
    </row>
    <row r="233" spans="1:28">
      <c r="A233" s="117">
        <v>44227</v>
      </c>
      <c r="B233">
        <v>106.48</v>
      </c>
      <c r="C233" s="119">
        <f t="shared" si="3"/>
        <v>9.988637537444478E-2</v>
      </c>
      <c r="F233" s="47">
        <v>44227</v>
      </c>
      <c r="G233" s="16">
        <v>3886.83</v>
      </c>
      <c r="H233" s="119">
        <f>Table2[[#This Row],[Price]]/G234-1</f>
        <v>4.6467110364435404E-2</v>
      </c>
      <c r="K233" s="117" t="s">
        <v>382</v>
      </c>
      <c r="L233">
        <v>30.14</v>
      </c>
      <c r="M233" s="119">
        <f>Table5[[#This Row],[Price]]/L234-1</f>
        <v>1.8243243243243112E-2</v>
      </c>
      <c r="P233" s="46" t="s">
        <v>382</v>
      </c>
      <c r="Q233">
        <v>105.34</v>
      </c>
      <c r="R233" s="119">
        <f>Table6[[#This Row],[Price]]/Q234-1</f>
        <v>3.7934771898709307E-2</v>
      </c>
      <c r="U233" s="46" t="s">
        <v>382</v>
      </c>
      <c r="V233">
        <v>131.97999999999999</v>
      </c>
      <c r="W233" s="119">
        <f>Table8[[#This Row],[Price]]/V234-1</f>
        <v>0.12909573102917271</v>
      </c>
      <c r="Z233" s="46" t="s">
        <v>382</v>
      </c>
      <c r="AA233">
        <v>377.23</v>
      </c>
      <c r="AB233" s="119">
        <f>Table9[[#This Row],[Price]]/AA234-1</f>
        <v>1.7450641924695365E-2</v>
      </c>
    </row>
    <row r="234" spans="1:28">
      <c r="A234" s="117">
        <v>44220</v>
      </c>
      <c r="B234">
        <v>96.81</v>
      </c>
      <c r="C234" s="119">
        <f t="shared" si="3"/>
        <v>-6.8328361081705258E-2</v>
      </c>
      <c r="F234" s="47">
        <v>44220</v>
      </c>
      <c r="G234" s="16">
        <v>3714.24</v>
      </c>
      <c r="H234" s="119">
        <f>Table2[[#This Row],[Price]]/G235-1</f>
        <v>-3.3120133698818388E-2</v>
      </c>
      <c r="K234" s="117" t="s">
        <v>383</v>
      </c>
      <c r="L234">
        <v>29.6</v>
      </c>
      <c r="M234" s="119">
        <f>Table5[[#This Row],[Price]]/L235-1</f>
        <v>-9.3708165997321569E-3</v>
      </c>
      <c r="P234" s="46" t="s">
        <v>383</v>
      </c>
      <c r="Q234">
        <v>101.49</v>
      </c>
      <c r="R234" s="119">
        <f>Table6[[#This Row],[Price]]/Q235-1</f>
        <v>-5.2292464282379436E-2</v>
      </c>
      <c r="U234" s="46" t="s">
        <v>383</v>
      </c>
      <c r="V234">
        <v>116.89</v>
      </c>
      <c r="W234" s="119">
        <f>Table8[[#This Row],[Price]]/V235-1</f>
        <v>-4.1728152156091158E-2</v>
      </c>
      <c r="Z234" s="46" t="s">
        <v>383</v>
      </c>
      <c r="AA234">
        <v>370.76</v>
      </c>
      <c r="AB234" s="119">
        <f>Table9[[#This Row],[Price]]/AA235-1</f>
        <v>-2.5264873675631683E-2</v>
      </c>
    </row>
    <row r="235" spans="1:28">
      <c r="A235" s="117">
        <v>44213</v>
      </c>
      <c r="B235">
        <v>103.91</v>
      </c>
      <c r="C235" s="119">
        <f t="shared" si="3"/>
        <v>1.5440242353171207E-2</v>
      </c>
      <c r="F235" s="47">
        <v>44213</v>
      </c>
      <c r="G235" s="16">
        <v>3841.47</v>
      </c>
      <c r="H235" s="119">
        <f>Table2[[#This Row],[Price]]/G236-1</f>
        <v>1.9430770251442908E-2</v>
      </c>
      <c r="K235" s="117" t="s">
        <v>384</v>
      </c>
      <c r="L235">
        <v>29.88</v>
      </c>
      <c r="M235" s="119">
        <f>Table5[[#This Row],[Price]]/L236-1</f>
        <v>6.2966915688367209E-2</v>
      </c>
      <c r="P235" s="46" t="s">
        <v>384</v>
      </c>
      <c r="Q235">
        <v>107.09</v>
      </c>
      <c r="R235" s="119">
        <f>Table6[[#This Row],[Price]]/Q236-1</f>
        <v>4.4081785781280303E-3</v>
      </c>
      <c r="U235" s="46" t="s">
        <v>384</v>
      </c>
      <c r="V235">
        <v>121.98</v>
      </c>
      <c r="W235" s="119">
        <f>Table8[[#This Row],[Price]]/V236-1</f>
        <v>7.4331020812685722E-3</v>
      </c>
      <c r="Z235" s="46" t="s">
        <v>384</v>
      </c>
      <c r="AA235">
        <v>380.37</v>
      </c>
      <c r="AB235" s="119">
        <f>Table9[[#This Row],[Price]]/AA236-1</f>
        <v>1.3698265064093995E-2</v>
      </c>
    </row>
    <row r="236" spans="1:28">
      <c r="A236" s="117">
        <v>44470</v>
      </c>
      <c r="B236">
        <v>102.33</v>
      </c>
      <c r="C236" s="119">
        <f t="shared" si="3"/>
        <v>-3.160783571496173E-2</v>
      </c>
      <c r="F236" s="47">
        <v>44470</v>
      </c>
      <c r="G236" s="16">
        <v>3768.25</v>
      </c>
      <c r="H236" s="119">
        <f>Table2[[#This Row],[Price]]/G237-1</f>
        <v>-1.4754175512722623E-2</v>
      </c>
      <c r="K236" s="117">
        <v>44470</v>
      </c>
      <c r="L236">
        <v>28.11</v>
      </c>
      <c r="M236" s="119">
        <f>Table5[[#This Row],[Price]]/L237-1</f>
        <v>2.1390374331551332E-3</v>
      </c>
      <c r="P236" s="47">
        <v>44470</v>
      </c>
      <c r="Q236">
        <v>106.62</v>
      </c>
      <c r="R236" s="119">
        <f>Table6[[#This Row],[Price]]/Q237-1</f>
        <v>-4.9463369108726507E-3</v>
      </c>
      <c r="U236" s="47">
        <v>44470</v>
      </c>
      <c r="V236">
        <v>121.08</v>
      </c>
      <c r="W236" s="119">
        <f>Table8[[#This Row],[Price]]/V237-1</f>
        <v>-2.6296743063932371E-2</v>
      </c>
      <c r="Z236" s="47">
        <v>44470</v>
      </c>
      <c r="AA236">
        <v>375.23</v>
      </c>
      <c r="AB236" s="119">
        <f>Table9[[#This Row],[Price]]/AA237-1</f>
        <v>-3.4976725046935608E-2</v>
      </c>
    </row>
    <row r="237" spans="1:28">
      <c r="A237" s="117">
        <v>44256</v>
      </c>
      <c r="B237">
        <v>105.67</v>
      </c>
      <c r="C237" s="119">
        <f t="shared" si="3"/>
        <v>-1.2245279491493788E-2</v>
      </c>
      <c r="F237" s="47">
        <v>44256</v>
      </c>
      <c r="G237" s="16">
        <v>3824.68</v>
      </c>
      <c r="H237" s="119">
        <f>Table2[[#This Row],[Price]]/G238-1</f>
        <v>1.8266432734214133E-2</v>
      </c>
      <c r="K237" s="117">
        <v>44256</v>
      </c>
      <c r="L237">
        <v>28.05</v>
      </c>
      <c r="M237" s="119">
        <f>Table5[[#This Row],[Price]]/L238-1</f>
        <v>1.1539848539487974E-2</v>
      </c>
      <c r="P237" s="47">
        <v>44256</v>
      </c>
      <c r="Q237">
        <v>107.15</v>
      </c>
      <c r="R237" s="119">
        <f>Table6[[#This Row],[Price]]/Q238-1</f>
        <v>-1.2988209285187846E-2</v>
      </c>
      <c r="U237" s="47">
        <v>44256</v>
      </c>
      <c r="V237">
        <v>124.35</v>
      </c>
      <c r="W237" s="119">
        <f>Table8[[#This Row],[Price]]/V238-1</f>
        <v>4.3905305574210685E-2</v>
      </c>
      <c r="Z237" s="47">
        <v>44256</v>
      </c>
      <c r="AA237">
        <v>388.83</v>
      </c>
      <c r="AB237" s="119">
        <f>Table9[[#This Row],[Price]]/AA238-1</f>
        <v>1.4004068220935695E-2</v>
      </c>
    </row>
    <row r="238" spans="1:28">
      <c r="A238" s="117">
        <v>44192</v>
      </c>
      <c r="B238">
        <v>106.98</v>
      </c>
      <c r="C238" s="119">
        <f t="shared" si="3"/>
        <v>4.8720713655523884E-2</v>
      </c>
      <c r="F238" s="47">
        <v>44192</v>
      </c>
      <c r="G238" s="16">
        <v>3756.07</v>
      </c>
      <c r="H238" s="119">
        <f>Table2[[#This Row],[Price]]/G239-1</f>
        <v>1.4315187979671018E-2</v>
      </c>
      <c r="K238" s="117" t="s">
        <v>385</v>
      </c>
      <c r="L238">
        <v>27.73</v>
      </c>
      <c r="M238" s="119">
        <f>Table5[[#This Row],[Price]]/L239-1</f>
        <v>-1.8407079646017732E-2</v>
      </c>
      <c r="P238" s="46" t="s">
        <v>385</v>
      </c>
      <c r="Q238">
        <v>108.56</v>
      </c>
      <c r="R238" s="119">
        <f>Table6[[#This Row],[Price]]/Q239-1</f>
        <v>9.4848428491722814E-3</v>
      </c>
      <c r="U238" s="46" t="s">
        <v>385</v>
      </c>
      <c r="V238">
        <v>119.12</v>
      </c>
      <c r="W238" s="119">
        <f>Table8[[#This Row],[Price]]/V239-1</f>
        <v>1.0433454915599327E-2</v>
      </c>
      <c r="Z238" s="46" t="s">
        <v>385</v>
      </c>
      <c r="AA238">
        <v>383.46</v>
      </c>
      <c r="AB238" s="119">
        <f>Table9[[#This Row],[Price]]/AA239-1</f>
        <v>-3.3448441005217711E-2</v>
      </c>
    </row>
    <row r="239" spans="1:28">
      <c r="A239" s="117">
        <v>44185</v>
      </c>
      <c r="B239">
        <v>102.01</v>
      </c>
      <c r="C239" s="119">
        <f t="shared" si="3"/>
        <v>-1.2296669248644476E-2</v>
      </c>
      <c r="F239" s="47">
        <v>44185</v>
      </c>
      <c r="G239" s="16">
        <v>3703.06</v>
      </c>
      <c r="H239" s="119">
        <f>Table2[[#This Row],[Price]]/G240-1</f>
        <v>-1.7118625333947257E-3</v>
      </c>
      <c r="K239" s="117" t="s">
        <v>386</v>
      </c>
      <c r="L239">
        <v>28.25</v>
      </c>
      <c r="M239" s="119">
        <f>Table5[[#This Row],[Price]]/L240-1</f>
        <v>-4.2298202326401801E-3</v>
      </c>
      <c r="P239" s="46" t="s">
        <v>386</v>
      </c>
      <c r="Q239">
        <v>107.54</v>
      </c>
      <c r="R239" s="119">
        <f>Table6[[#This Row],[Price]]/Q240-1</f>
        <v>-2.0404445254144643E-2</v>
      </c>
      <c r="U239" s="46" t="s">
        <v>386</v>
      </c>
      <c r="V239">
        <v>117.89</v>
      </c>
      <c r="W239" s="119">
        <f>Table8[[#This Row],[Price]]/V240-1</f>
        <v>1.4893250688705173E-2</v>
      </c>
      <c r="Z239" s="46" t="s">
        <v>386</v>
      </c>
      <c r="AA239">
        <v>396.73</v>
      </c>
      <c r="AB239" s="119">
        <f>Table9[[#This Row],[Price]]/AA240-1</f>
        <v>5.0414660583308901E-5</v>
      </c>
    </row>
    <row r="240" spans="1:28">
      <c r="A240" s="117">
        <v>44178</v>
      </c>
      <c r="B240">
        <v>103.28</v>
      </c>
      <c r="C240" s="119">
        <f t="shared" si="3"/>
        <v>2.7184466019416487E-3</v>
      </c>
      <c r="F240" s="47">
        <v>44178</v>
      </c>
      <c r="G240" s="16">
        <v>3709.41</v>
      </c>
      <c r="H240" s="119">
        <f>Table2[[#This Row],[Price]]/G241-1</f>
        <v>1.2542787419543178E-2</v>
      </c>
      <c r="K240" s="117" t="s">
        <v>387</v>
      </c>
      <c r="L240">
        <v>28.37</v>
      </c>
      <c r="M240" s="119">
        <f>Table5[[#This Row],[Price]]/L241-1</f>
        <v>9.1153846153846141E-2</v>
      </c>
      <c r="P240" s="46" t="s">
        <v>387</v>
      </c>
      <c r="Q240">
        <v>109.78</v>
      </c>
      <c r="R240" s="119">
        <f>Table6[[#This Row],[Price]]/Q241-1</f>
        <v>3.5758090385885621E-2</v>
      </c>
      <c r="U240" s="46" t="s">
        <v>387</v>
      </c>
      <c r="V240">
        <v>116.16</v>
      </c>
      <c r="W240" s="119">
        <f>Table8[[#This Row],[Price]]/V241-1</f>
        <v>3.0518097941802713E-2</v>
      </c>
      <c r="Z240" s="46" t="s">
        <v>387</v>
      </c>
      <c r="AA240">
        <v>396.71</v>
      </c>
      <c r="AB240" s="119">
        <f>Table9[[#This Row],[Price]]/AA241-1</f>
        <v>3.4796671622714381E-2</v>
      </c>
    </row>
    <row r="241" spans="1:28">
      <c r="A241" s="117">
        <v>43994</v>
      </c>
      <c r="B241">
        <v>103</v>
      </c>
      <c r="C241" s="119">
        <f t="shared" si="3"/>
        <v>7.0394994133751165E-3</v>
      </c>
      <c r="F241" s="47">
        <v>43994</v>
      </c>
      <c r="G241" s="16">
        <v>3663.46</v>
      </c>
      <c r="H241" s="119">
        <f>Table2[[#This Row],[Price]]/G242-1</f>
        <v>-9.6401306256622687E-3</v>
      </c>
      <c r="K241" s="117">
        <v>43994</v>
      </c>
      <c r="L241">
        <v>26</v>
      </c>
      <c r="M241" s="119">
        <f>Table5[[#This Row],[Price]]/L242-1</f>
        <v>-2.5852379168227801E-2</v>
      </c>
      <c r="P241" s="47">
        <v>43994</v>
      </c>
      <c r="Q241">
        <v>105.99</v>
      </c>
      <c r="R241" s="119">
        <f>Table6[[#This Row],[Price]]/Q242-1</f>
        <v>1.2280370300397081E-3</v>
      </c>
      <c r="U241" s="47">
        <v>43994</v>
      </c>
      <c r="V241">
        <v>112.72</v>
      </c>
      <c r="W241" s="119">
        <f>Table8[[#This Row],[Price]]/V242-1</f>
        <v>-1.8289496603379196E-2</v>
      </c>
      <c r="Z241" s="47">
        <v>43994</v>
      </c>
      <c r="AA241">
        <v>383.37</v>
      </c>
      <c r="AB241" s="119">
        <f>Table9[[#This Row],[Price]]/AA242-1</f>
        <v>9.9219300765041041E-4</v>
      </c>
    </row>
    <row r="242" spans="1:28">
      <c r="A242" s="117">
        <v>44164</v>
      </c>
      <c r="B242">
        <v>102.28</v>
      </c>
      <c r="C242" s="119">
        <f t="shared" si="3"/>
        <v>3.6691668355970153E-2</v>
      </c>
      <c r="F242" s="47">
        <v>44164</v>
      </c>
      <c r="G242" s="16">
        <v>3699.12</v>
      </c>
      <c r="H242" s="119">
        <f>Table2[[#This Row],[Price]]/G243-1</f>
        <v>1.6702626190443493E-2</v>
      </c>
      <c r="K242" s="117" t="s">
        <v>388</v>
      </c>
      <c r="L242">
        <v>26.69</v>
      </c>
      <c r="M242" s="119">
        <f>Table5[[#This Row],[Price]]/L243-1</f>
        <v>2.8120184899846024E-2</v>
      </c>
      <c r="P242" s="46" t="s">
        <v>388</v>
      </c>
      <c r="Q242">
        <v>105.86</v>
      </c>
      <c r="R242" s="119">
        <f>Table6[[#This Row],[Price]]/Q243-1</f>
        <v>-1.2315730546743842E-2</v>
      </c>
      <c r="U242" s="46" t="s">
        <v>388</v>
      </c>
      <c r="V242">
        <v>114.82</v>
      </c>
      <c r="W242" s="119">
        <f>Table8[[#This Row],[Price]]/V243-1</f>
        <v>4.4292860391086819E-2</v>
      </c>
      <c r="Z242" s="46" t="s">
        <v>388</v>
      </c>
      <c r="AA242">
        <v>382.99</v>
      </c>
      <c r="AB242" s="119">
        <f>Table9[[#This Row],[Price]]/AA243-1</f>
        <v>-1.9156401260020051E-2</v>
      </c>
    </row>
    <row r="243" spans="1:28">
      <c r="A243" s="117">
        <v>44157</v>
      </c>
      <c r="B243">
        <v>98.66</v>
      </c>
      <c r="C243" s="119">
        <f t="shared" si="3"/>
        <v>1.7008555818987636E-2</v>
      </c>
      <c r="F243" s="47">
        <v>44157</v>
      </c>
      <c r="G243" s="16">
        <v>3638.35</v>
      </c>
      <c r="H243" s="119">
        <f>Table2[[#This Row],[Price]]/G244-1</f>
        <v>2.2715134615492794E-2</v>
      </c>
      <c r="K243" s="117" t="s">
        <v>389</v>
      </c>
      <c r="L243">
        <v>25.96</v>
      </c>
      <c r="M243" s="119">
        <f>Table5[[#This Row],[Price]]/L244-1</f>
        <v>4.2553191489360653E-3</v>
      </c>
      <c r="P243" s="46" t="s">
        <v>389</v>
      </c>
      <c r="Q243">
        <v>107.18</v>
      </c>
      <c r="R243" s="119">
        <f>Table6[[#This Row],[Price]]/Q244-1</f>
        <v>2.0859129440899293E-2</v>
      </c>
      <c r="U243" s="46" t="s">
        <v>389</v>
      </c>
      <c r="V243">
        <v>109.95</v>
      </c>
      <c r="W243" s="119">
        <f>Table8[[#This Row],[Price]]/V244-1</f>
        <v>1.3831258644536604E-2</v>
      </c>
      <c r="Z243" s="46" t="s">
        <v>389</v>
      </c>
      <c r="AA243">
        <v>390.47</v>
      </c>
      <c r="AB243" s="119">
        <f>Table9[[#This Row],[Price]]/AA244-1</f>
        <v>2.3359687852964051E-3</v>
      </c>
    </row>
    <row r="244" spans="1:28">
      <c r="A244" s="117">
        <v>44150</v>
      </c>
      <c r="B244">
        <v>97.01</v>
      </c>
      <c r="C244" s="119">
        <f t="shared" si="3"/>
        <v>1.5173712850565124E-2</v>
      </c>
      <c r="F244" s="47">
        <v>44150</v>
      </c>
      <c r="G244" s="16">
        <v>3557.54</v>
      </c>
      <c r="H244" s="119">
        <f>Table2[[#This Row],[Price]]/G245-1</f>
        <v>-7.7012119437123161E-3</v>
      </c>
      <c r="K244" s="117" t="s">
        <v>390</v>
      </c>
      <c r="L244">
        <v>25.85</v>
      </c>
      <c r="M244" s="119">
        <f>Table5[[#This Row],[Price]]/L245-1</f>
        <v>3.2760687175389602E-2</v>
      </c>
      <c r="P244" s="46" t="s">
        <v>390</v>
      </c>
      <c r="Q244">
        <v>104.99</v>
      </c>
      <c r="R244" s="119">
        <f>Table6[[#This Row],[Price]]/Q245-1</f>
        <v>2.0608535044230436E-2</v>
      </c>
      <c r="U244" s="46" t="s">
        <v>390</v>
      </c>
      <c r="V244">
        <v>108.45</v>
      </c>
      <c r="W244" s="119">
        <f>Table8[[#This Row],[Price]]/V245-1</f>
        <v>7.9933079282461517E-3</v>
      </c>
      <c r="Z244" s="46" t="s">
        <v>390</v>
      </c>
      <c r="AA244">
        <v>389.56</v>
      </c>
      <c r="AB244" s="119">
        <f>Table9[[#This Row],[Price]]/AA245-1</f>
        <v>-1.0266940451753026E-4</v>
      </c>
    </row>
    <row r="245" spans="1:28">
      <c r="A245" s="117">
        <v>44054</v>
      </c>
      <c r="B245">
        <v>95.56</v>
      </c>
      <c r="C245" s="119">
        <f t="shared" si="3"/>
        <v>5.4164368450082767E-2</v>
      </c>
      <c r="F245" s="47">
        <v>44054</v>
      </c>
      <c r="G245" s="16">
        <v>3585.15</v>
      </c>
      <c r="H245" s="119">
        <f>Table2[[#This Row],[Price]]/G246-1</f>
        <v>2.1573242454636654E-2</v>
      </c>
      <c r="K245" s="117">
        <v>44054</v>
      </c>
      <c r="L245">
        <v>25.03</v>
      </c>
      <c r="M245" s="119">
        <f>Table5[[#This Row],[Price]]/L246-1</f>
        <v>-5.6184012066364919E-2</v>
      </c>
      <c r="P245" s="47">
        <v>44054</v>
      </c>
      <c r="Q245">
        <v>102.87</v>
      </c>
      <c r="R245" s="119">
        <f>Table6[[#This Row],[Price]]/Q246-1</f>
        <v>3.5117729925538521E-2</v>
      </c>
      <c r="U245" s="47">
        <v>44054</v>
      </c>
      <c r="V245">
        <v>107.59</v>
      </c>
      <c r="W245" s="119">
        <f>Table8[[#This Row],[Price]]/V246-1</f>
        <v>5.356443399921651E-2</v>
      </c>
      <c r="Z245" s="47">
        <v>44054</v>
      </c>
      <c r="AA245">
        <v>389.6</v>
      </c>
      <c r="AB245" s="119">
        <f>Table9[[#This Row],[Price]]/AA246-1</f>
        <v>-2.5634612979867466E-2</v>
      </c>
    </row>
    <row r="246" spans="1:28">
      <c r="A246" s="117">
        <v>43841</v>
      </c>
      <c r="B246">
        <v>90.65</v>
      </c>
      <c r="C246" s="119">
        <f t="shared" si="3"/>
        <v>4.2433302667893358E-2</v>
      </c>
      <c r="F246" s="47">
        <v>43841</v>
      </c>
      <c r="G246" s="16">
        <v>3509.44</v>
      </c>
      <c r="H246" s="119">
        <f>Table2[[#This Row],[Price]]/G247-1</f>
        <v>7.3236369863851625E-2</v>
      </c>
      <c r="K246" s="117">
        <v>43841</v>
      </c>
      <c r="L246">
        <v>26.52</v>
      </c>
      <c r="M246" s="119">
        <f>Table5[[#This Row],[Price]]/L247-1</f>
        <v>0.10362047440699129</v>
      </c>
      <c r="P246" s="47">
        <v>43841</v>
      </c>
      <c r="Q246">
        <v>99.38</v>
      </c>
      <c r="R246" s="119">
        <f>Table6[[#This Row],[Price]]/Q247-1</f>
        <v>6.482374370513222E-2</v>
      </c>
      <c r="U246" s="47">
        <v>43841</v>
      </c>
      <c r="V246">
        <v>102.12</v>
      </c>
      <c r="W246" s="119">
        <f>Table8[[#This Row],[Price]]/V247-1</f>
        <v>0.11096605744125321</v>
      </c>
      <c r="Z246" s="47">
        <v>43841</v>
      </c>
      <c r="AA246">
        <v>399.85</v>
      </c>
      <c r="AB246" s="119">
        <f>Table9[[#This Row],[Price]]/AA247-1</f>
        <v>5.690949460773953E-2</v>
      </c>
    </row>
    <row r="247" spans="1:28">
      <c r="A247" s="117">
        <v>44129</v>
      </c>
      <c r="B247">
        <v>86.96</v>
      </c>
      <c r="C247" s="119">
        <f t="shared" si="3"/>
        <v>-4.2290748898678454E-2</v>
      </c>
      <c r="F247" s="47">
        <v>44129</v>
      </c>
      <c r="G247" s="16">
        <v>3269.96</v>
      </c>
      <c r="H247" s="119">
        <f>Table2[[#This Row],[Price]]/G248-1</f>
        <v>-5.6394806933707242E-2</v>
      </c>
      <c r="K247" s="117" t="s">
        <v>391</v>
      </c>
      <c r="L247">
        <v>24.03</v>
      </c>
      <c r="M247" s="119">
        <f>Table5[[#This Row],[Price]]/L248-1</f>
        <v>-0.10268857356235994</v>
      </c>
      <c r="P247" s="46" t="s">
        <v>391</v>
      </c>
      <c r="Q247">
        <v>93.33</v>
      </c>
      <c r="R247" s="119">
        <f>Table6[[#This Row],[Price]]/Q248-1</f>
        <v>-7.8495260663507094E-2</v>
      </c>
      <c r="U247" s="46" t="s">
        <v>391</v>
      </c>
      <c r="V247">
        <v>91.92</v>
      </c>
      <c r="W247" s="119">
        <f>Table8[[#This Row],[Price]]/V248-1</f>
        <v>-7.6459358987239989E-2</v>
      </c>
      <c r="Z247" s="46" t="s">
        <v>391</v>
      </c>
      <c r="AA247">
        <v>378.32</v>
      </c>
      <c r="AB247" s="119">
        <f>Table9[[#This Row],[Price]]/AA248-1</f>
        <v>-4.0040598832783658E-2</v>
      </c>
    </row>
    <row r="248" spans="1:28">
      <c r="A248" s="117">
        <v>44122</v>
      </c>
      <c r="B248">
        <v>90.8</v>
      </c>
      <c r="C248" s="119">
        <f t="shared" si="3"/>
        <v>2.5756891098057011E-2</v>
      </c>
      <c r="F248" s="47">
        <v>44122</v>
      </c>
      <c r="G248" s="16">
        <v>3465.39</v>
      </c>
      <c r="H248" s="119">
        <f>Table2[[#This Row],[Price]]/G249-1</f>
        <v>-5.2873147502303652E-3</v>
      </c>
      <c r="K248" s="117" t="s">
        <v>392</v>
      </c>
      <c r="L248">
        <v>26.78</v>
      </c>
      <c r="M248" s="119">
        <f>Table5[[#This Row],[Price]]/L249-1</f>
        <v>-3.7327360955574651E-4</v>
      </c>
      <c r="P248" s="46" t="s">
        <v>392</v>
      </c>
      <c r="Q248">
        <v>101.28</v>
      </c>
      <c r="R248" s="119">
        <f>Table6[[#This Row],[Price]]/Q249-1</f>
        <v>2.7910281132649928E-2</v>
      </c>
      <c r="U248" s="46" t="s">
        <v>392</v>
      </c>
      <c r="V248">
        <v>99.53</v>
      </c>
      <c r="W248" s="119">
        <f>Table8[[#This Row],[Price]]/V249-1</f>
        <v>5.9632100262785315E-3</v>
      </c>
      <c r="Z248" s="46" t="s">
        <v>392</v>
      </c>
      <c r="AA248">
        <v>394.1</v>
      </c>
      <c r="AB248" s="119">
        <f>Table9[[#This Row],[Price]]/AA249-1</f>
        <v>-1.339341594692689E-2</v>
      </c>
    </row>
    <row r="249" spans="1:28">
      <c r="A249" s="117">
        <v>44145</v>
      </c>
      <c r="B249">
        <v>88.52</v>
      </c>
      <c r="C249" s="119">
        <f t="shared" si="3"/>
        <v>-1.6553716253749684E-2</v>
      </c>
      <c r="F249" s="47">
        <v>44145</v>
      </c>
      <c r="G249" s="16">
        <v>3483.81</v>
      </c>
      <c r="H249" s="119">
        <f>Table2[[#This Row],[Price]]/G250-1</f>
        <v>1.9211246056374254E-3</v>
      </c>
      <c r="K249" s="117">
        <v>44145</v>
      </c>
      <c r="L249">
        <v>26.79</v>
      </c>
      <c r="M249" s="119">
        <f>Table5[[#This Row],[Price]]/L250-1</f>
        <v>4.4851794071762763E-2</v>
      </c>
      <c r="P249" s="47">
        <v>44145</v>
      </c>
      <c r="Q249">
        <v>98.53</v>
      </c>
      <c r="R249" s="119">
        <f>Table6[[#This Row],[Price]]/Q250-1</f>
        <v>3.1835794324013067E-2</v>
      </c>
      <c r="U249" s="47">
        <v>44145</v>
      </c>
      <c r="V249">
        <v>98.94</v>
      </c>
      <c r="W249" s="119">
        <f>Table8[[#This Row],[Price]]/V250-1</f>
        <v>-2.9904892636532954E-2</v>
      </c>
      <c r="Z249" s="47">
        <v>44145</v>
      </c>
      <c r="AA249">
        <v>399.45</v>
      </c>
      <c r="AB249" s="119">
        <f>Table9[[#This Row],[Price]]/AA250-1</f>
        <v>2.1741910730272318E-2</v>
      </c>
    </row>
    <row r="250" spans="1:28">
      <c r="A250" s="117">
        <v>43931</v>
      </c>
      <c r="B250">
        <v>90.01</v>
      </c>
      <c r="C250" s="119">
        <f t="shared" si="3"/>
        <v>3.9736629317315586E-2</v>
      </c>
      <c r="F250" s="47">
        <v>43931</v>
      </c>
      <c r="G250" s="16">
        <v>3477.13</v>
      </c>
      <c r="H250" s="119">
        <f>Table2[[#This Row],[Price]]/G251-1</f>
        <v>3.8432822448662751E-2</v>
      </c>
      <c r="K250" s="117">
        <v>43931</v>
      </c>
      <c r="L250">
        <v>25.64</v>
      </c>
      <c r="M250" s="119">
        <f>Table5[[#This Row],[Price]]/L251-1</f>
        <v>2.1513944223107595E-2</v>
      </c>
      <c r="P250" s="47">
        <v>43931</v>
      </c>
      <c r="Q250">
        <v>95.49</v>
      </c>
      <c r="R250" s="119">
        <f>Table6[[#This Row],[Price]]/Q251-1</f>
        <v>3.3624041189450615E-3</v>
      </c>
      <c r="U250" s="47">
        <v>43931</v>
      </c>
      <c r="V250">
        <v>101.99</v>
      </c>
      <c r="W250" s="119">
        <f>Table8[[#This Row],[Price]]/V251-1</f>
        <v>-2.1303137894635782E-2</v>
      </c>
      <c r="Z250" s="47">
        <v>43931</v>
      </c>
      <c r="AA250">
        <v>390.95</v>
      </c>
      <c r="AB250" s="119">
        <f>Table9[[#This Row],[Price]]/AA251-1</f>
        <v>-9.873668679976022E-2</v>
      </c>
    </row>
    <row r="251" spans="1:28">
      <c r="A251" s="117">
        <v>44101</v>
      </c>
      <c r="B251">
        <v>86.57</v>
      </c>
      <c r="C251" s="119">
        <f t="shared" si="3"/>
        <v>2.6927639383155455E-2</v>
      </c>
      <c r="F251" s="47">
        <v>44101</v>
      </c>
      <c r="G251" s="16">
        <v>3348.44</v>
      </c>
      <c r="H251" s="119">
        <f>Table2[[#This Row],[Price]]/G252-1</f>
        <v>1.5152525724125843E-2</v>
      </c>
      <c r="K251" s="117" t="s">
        <v>393</v>
      </c>
      <c r="L251">
        <v>25.1</v>
      </c>
      <c r="M251" s="119">
        <f>Table5[[#This Row],[Price]]/L252-1</f>
        <v>8.4371233427078529E-3</v>
      </c>
      <c r="P251" s="46" t="s">
        <v>393</v>
      </c>
      <c r="Q251">
        <v>95.17</v>
      </c>
      <c r="R251" s="119">
        <f>Table6[[#This Row],[Price]]/Q252-1</f>
        <v>4.1475158678047741E-2</v>
      </c>
      <c r="U251" s="46" t="s">
        <v>393</v>
      </c>
      <c r="V251">
        <v>104.21</v>
      </c>
      <c r="W251" s="119">
        <f>Table8[[#This Row],[Price]]/V252-1</f>
        <v>7.2450344756612051E-2</v>
      </c>
      <c r="Z251" s="46" t="s">
        <v>393</v>
      </c>
      <c r="AA251">
        <v>433.78</v>
      </c>
      <c r="AB251" s="119">
        <f>Table9[[#This Row],[Price]]/AA252-1</f>
        <v>3.7552621507845441E-2</v>
      </c>
    </row>
    <row r="252" spans="1:28">
      <c r="A252" s="117">
        <v>44094</v>
      </c>
      <c r="B252">
        <v>84.3</v>
      </c>
      <c r="C252" s="119">
        <f t="shared" si="3"/>
        <v>-7.6515597410241609E-3</v>
      </c>
      <c r="F252" s="47">
        <v>44094</v>
      </c>
      <c r="G252" s="16">
        <v>3298.46</v>
      </c>
      <c r="H252" s="119">
        <f>Table2[[#This Row],[Price]]/G253-1</f>
        <v>-6.3293236570897138E-3</v>
      </c>
      <c r="K252" s="117" t="s">
        <v>394</v>
      </c>
      <c r="L252">
        <v>24.89</v>
      </c>
      <c r="M252" s="119">
        <f>Table5[[#This Row],[Price]]/L253-1</f>
        <v>2.3858494446729717E-2</v>
      </c>
      <c r="P252" s="46" t="s">
        <v>394</v>
      </c>
      <c r="Q252">
        <v>91.38</v>
      </c>
      <c r="R252" s="119">
        <f>Table6[[#This Row],[Price]]/Q253-1</f>
        <v>-7.9253066985126575E-3</v>
      </c>
      <c r="U252" s="46" t="s">
        <v>394</v>
      </c>
      <c r="V252">
        <v>97.17</v>
      </c>
      <c r="W252" s="119">
        <f>Table8[[#This Row],[Price]]/V253-1</f>
        <v>8.00266755585195E-2</v>
      </c>
      <c r="Z252" s="46" t="s">
        <v>394</v>
      </c>
      <c r="AA252">
        <v>418.08</v>
      </c>
      <c r="AB252" s="119">
        <f>Table9[[#This Row],[Price]]/AA253-1</f>
        <v>5.1535501395910455E-2</v>
      </c>
    </row>
    <row r="253" spans="1:28">
      <c r="A253" s="117">
        <v>44087</v>
      </c>
      <c r="B253">
        <v>84.95</v>
      </c>
      <c r="C253" s="119">
        <f t="shared" si="3"/>
        <v>-3.7527852703177489E-3</v>
      </c>
      <c r="F253" s="47">
        <v>44087</v>
      </c>
      <c r="G253" s="16">
        <v>3319.47</v>
      </c>
      <c r="H253" s="119">
        <f>Table2[[#This Row],[Price]]/G254-1</f>
        <v>-6.4352568266102805E-3</v>
      </c>
      <c r="K253" s="117" t="s">
        <v>395</v>
      </c>
      <c r="L253">
        <v>24.31</v>
      </c>
      <c r="M253" s="119">
        <f>Table5[[#This Row],[Price]]/L254-1</f>
        <v>-6.319845857418116E-2</v>
      </c>
      <c r="P253" s="46" t="s">
        <v>395</v>
      </c>
      <c r="Q253">
        <v>92.11</v>
      </c>
      <c r="R253" s="119">
        <f>Table6[[#This Row],[Price]]/Q254-1</f>
        <v>-1.734041400238362E-3</v>
      </c>
      <c r="U253" s="46" t="s">
        <v>395</v>
      </c>
      <c r="V253">
        <v>89.97</v>
      </c>
      <c r="W253" s="119">
        <f>Table8[[#This Row],[Price]]/V254-1</f>
        <v>3.6520737327188968E-2</v>
      </c>
      <c r="Z253" s="46" t="s">
        <v>395</v>
      </c>
      <c r="AA253">
        <v>397.59</v>
      </c>
      <c r="AB253" s="119">
        <f>Table9[[#This Row],[Price]]/AA254-1</f>
        <v>7.373061720887808E-3</v>
      </c>
    </row>
    <row r="254" spans="1:28">
      <c r="A254" s="117">
        <v>43991</v>
      </c>
      <c r="B254">
        <v>85.27</v>
      </c>
      <c r="C254" s="119">
        <f t="shared" si="3"/>
        <v>-1.1591515011011966E-2</v>
      </c>
      <c r="F254" s="47">
        <v>43991</v>
      </c>
      <c r="G254" s="16">
        <v>3340.97</v>
      </c>
      <c r="H254" s="119">
        <f>Table2[[#This Row],[Price]]/G255-1</f>
        <v>-2.5092210005369209E-2</v>
      </c>
      <c r="K254" s="117">
        <v>43991</v>
      </c>
      <c r="L254">
        <v>25.95</v>
      </c>
      <c r="M254" s="119">
        <f>Table5[[#This Row],[Price]]/L255-1</f>
        <v>-1.2181195279786894E-2</v>
      </c>
      <c r="P254" s="47">
        <v>43991</v>
      </c>
      <c r="Q254">
        <v>92.27</v>
      </c>
      <c r="R254" s="119">
        <f>Table6[[#This Row],[Price]]/Q255-1</f>
        <v>-3.098088636841001E-2</v>
      </c>
      <c r="U254" s="47">
        <v>43991</v>
      </c>
      <c r="V254">
        <v>86.8</v>
      </c>
      <c r="W254" s="119">
        <f>Table8[[#This Row],[Price]]/V255-1</f>
        <v>-2.777777777777779E-2</v>
      </c>
      <c r="Z254" s="47">
        <v>43991</v>
      </c>
      <c r="AA254">
        <v>394.68</v>
      </c>
      <c r="AB254" s="119">
        <f>Table9[[#This Row],[Price]]/AA255-1</f>
        <v>3.3707865168539408E-2</v>
      </c>
    </row>
    <row r="255" spans="1:28">
      <c r="A255" s="117">
        <v>44073</v>
      </c>
      <c r="B255">
        <v>86.27</v>
      </c>
      <c r="C255" s="119">
        <f t="shared" si="3"/>
        <v>1.4941176470588236E-2</v>
      </c>
      <c r="F255" s="47">
        <v>44073</v>
      </c>
      <c r="G255" s="16">
        <v>3426.96</v>
      </c>
      <c r="H255" s="119">
        <f>Table2[[#This Row],[Price]]/G256-1</f>
        <v>-2.3104267091598962E-2</v>
      </c>
      <c r="K255" s="117" t="s">
        <v>396</v>
      </c>
      <c r="L255">
        <v>26.27</v>
      </c>
      <c r="M255" s="119">
        <f>Table5[[#This Row],[Price]]/L256-1</f>
        <v>9.2201306185171195E-3</v>
      </c>
      <c r="P255" s="46" t="s">
        <v>396</v>
      </c>
      <c r="Q255">
        <v>95.22</v>
      </c>
      <c r="R255" s="119">
        <f>Table6[[#This Row],[Price]]/Q256-1</f>
        <v>-2.2883530015392561E-2</v>
      </c>
      <c r="U255" s="46" t="s">
        <v>396</v>
      </c>
      <c r="V255">
        <v>89.28</v>
      </c>
      <c r="W255" s="119">
        <f>Table8[[#This Row],[Price]]/V256-1</f>
        <v>-6.4544847540618511E-3</v>
      </c>
      <c r="Z255" s="46" t="s">
        <v>396</v>
      </c>
      <c r="AA255">
        <v>381.81</v>
      </c>
      <c r="AB255" s="119">
        <f>Table9[[#This Row],[Price]]/AA256-1</f>
        <v>-8.2143372277513338E-2</v>
      </c>
    </row>
    <row r="256" spans="1:28">
      <c r="A256" s="117">
        <v>44066</v>
      </c>
      <c r="B256">
        <v>85</v>
      </c>
      <c r="C256" s="119">
        <f t="shared" si="3"/>
        <v>0.10289347346568056</v>
      </c>
      <c r="F256" s="47">
        <v>44066</v>
      </c>
      <c r="G256" s="16">
        <v>3508.01</v>
      </c>
      <c r="H256" s="119">
        <f>Table2[[#This Row],[Price]]/G257-1</f>
        <v>3.2630196988072457E-2</v>
      </c>
      <c r="K256" s="117" t="s">
        <v>397</v>
      </c>
      <c r="L256">
        <v>26.03</v>
      </c>
      <c r="M256" s="119">
        <f>Table5[[#This Row],[Price]]/L257-1</f>
        <v>3.8707102952913131E-2</v>
      </c>
      <c r="P256" s="46" t="s">
        <v>397</v>
      </c>
      <c r="Q256">
        <v>97.45</v>
      </c>
      <c r="R256" s="119">
        <f>Table6[[#This Row],[Price]]/Q257-1</f>
        <v>1.4047866805411147E-2</v>
      </c>
      <c r="U256" s="46" t="s">
        <v>397</v>
      </c>
      <c r="V256">
        <v>89.86</v>
      </c>
      <c r="W256" s="119">
        <f>Table8[[#This Row],[Price]]/V257-1</f>
        <v>8.6446620723008127E-2</v>
      </c>
      <c r="Z256" s="46" t="s">
        <v>397</v>
      </c>
      <c r="AA256">
        <v>415.98</v>
      </c>
      <c r="AB256" s="119">
        <f>Table9[[#This Row],[Price]]/AA257-1</f>
        <v>-8.8634739099355819E-3</v>
      </c>
    </row>
    <row r="257" spans="1:28">
      <c r="A257" s="117">
        <v>44059</v>
      </c>
      <c r="B257">
        <v>77.069999999999993</v>
      </c>
      <c r="C257" s="119">
        <f t="shared" si="3"/>
        <v>-1.6587980094424082E-2</v>
      </c>
      <c r="F257" s="47">
        <v>44059</v>
      </c>
      <c r="G257" s="16">
        <v>3397.16</v>
      </c>
      <c r="H257" s="119">
        <f>Table2[[#This Row],[Price]]/G258-1</f>
        <v>7.2075544420890925E-3</v>
      </c>
      <c r="K257" s="117" t="s">
        <v>398</v>
      </c>
      <c r="L257">
        <v>25.06</v>
      </c>
      <c r="M257" s="119">
        <f>Table5[[#This Row],[Price]]/L258-1</f>
        <v>5.6047197640118007E-2</v>
      </c>
      <c r="P257" s="46" t="s">
        <v>398</v>
      </c>
      <c r="Q257">
        <v>96.1</v>
      </c>
      <c r="R257" s="119">
        <f>Table6[[#This Row],[Price]]/Q258-1</f>
        <v>3.723691311386923E-2</v>
      </c>
      <c r="U257" s="46" t="s">
        <v>398</v>
      </c>
      <c r="V257">
        <v>82.71</v>
      </c>
      <c r="W257" s="119">
        <f>Table8[[#This Row],[Price]]/V258-1</f>
        <v>-1.6176995361008695E-2</v>
      </c>
      <c r="Z257" s="46" t="s">
        <v>398</v>
      </c>
      <c r="AA257">
        <v>419.7</v>
      </c>
      <c r="AB257" s="119">
        <f>Table9[[#This Row],[Price]]/AA258-1</f>
        <v>5.1906062808591669E-2</v>
      </c>
    </row>
    <row r="258" spans="1:28">
      <c r="A258" s="117">
        <v>44082</v>
      </c>
      <c r="B258">
        <v>78.37</v>
      </c>
      <c r="C258" s="119">
        <f t="shared" si="3"/>
        <v>3.4041430267845341E-2</v>
      </c>
      <c r="F258" s="47">
        <v>44082</v>
      </c>
      <c r="G258" s="16">
        <v>3372.85</v>
      </c>
      <c r="H258" s="119">
        <f>Table2[[#This Row],[Price]]/G259-1</f>
        <v>6.4363467093169202E-3</v>
      </c>
      <c r="K258" s="117">
        <v>44082</v>
      </c>
      <c r="L258">
        <v>23.73</v>
      </c>
      <c r="M258" s="119">
        <f>Table5[[#This Row],[Price]]/L259-1</f>
        <v>5.0825921219821435E-3</v>
      </c>
      <c r="P258" s="47">
        <v>44082</v>
      </c>
      <c r="Q258">
        <v>92.65</v>
      </c>
      <c r="R258" s="119">
        <f>Table6[[#This Row],[Price]]/Q259-1</f>
        <v>2.0149746751817021E-2</v>
      </c>
      <c r="U258" s="47">
        <v>44082</v>
      </c>
      <c r="V258">
        <v>84.07</v>
      </c>
      <c r="W258" s="119">
        <f>Table8[[#This Row],[Price]]/V259-1</f>
        <v>6.3369592714394019E-2</v>
      </c>
      <c r="Z258" s="47">
        <v>44082</v>
      </c>
      <c r="AA258">
        <v>398.99</v>
      </c>
      <c r="AB258" s="119">
        <f>Table9[[#This Row],[Price]]/AA259-1</f>
        <v>2.5364925986842035E-2</v>
      </c>
    </row>
    <row r="259" spans="1:28">
      <c r="A259" s="117">
        <v>43869</v>
      </c>
      <c r="B259">
        <v>75.790000000000006</v>
      </c>
      <c r="C259" s="119">
        <f t="shared" si="3"/>
        <v>-9.669410688618818E-3</v>
      </c>
      <c r="F259" s="47">
        <v>43869</v>
      </c>
      <c r="G259" s="16">
        <v>3351.28</v>
      </c>
      <c r="H259" s="119">
        <f>Table2[[#This Row],[Price]]/G260-1</f>
        <v>2.4505368191934274E-2</v>
      </c>
      <c r="K259" s="117">
        <v>43869</v>
      </c>
      <c r="L259">
        <v>23.61</v>
      </c>
      <c r="M259" s="119">
        <f>Table5[[#This Row],[Price]]/L260-1</f>
        <v>2.2077922077921919E-2</v>
      </c>
      <c r="P259" s="47">
        <v>43869</v>
      </c>
      <c r="Q259">
        <v>90.82</v>
      </c>
      <c r="R259" s="119">
        <f>Table6[[#This Row],[Price]]/Q260-1</f>
        <v>-2.5260845689182299E-3</v>
      </c>
      <c r="U259" s="47">
        <v>43869</v>
      </c>
      <c r="V259">
        <v>79.06</v>
      </c>
      <c r="W259" s="119">
        <f>Table8[[#This Row],[Price]]/V260-1</f>
        <v>4.1633728590250385E-2</v>
      </c>
      <c r="Z259" s="47">
        <v>43869</v>
      </c>
      <c r="AA259">
        <v>389.12</v>
      </c>
      <c r="AB259" s="119">
        <f>Table9[[#This Row],[Price]]/AA260-1</f>
        <v>6.4923307726132418E-3</v>
      </c>
    </row>
    <row r="260" spans="1:28">
      <c r="A260" s="117">
        <v>44038</v>
      </c>
      <c r="B260">
        <v>76.53</v>
      </c>
      <c r="C260" s="119">
        <f t="shared" si="3"/>
        <v>9.897070467141722E-3</v>
      </c>
      <c r="F260" s="47">
        <v>44038</v>
      </c>
      <c r="G260" s="16">
        <v>3271.12</v>
      </c>
      <c r="H260" s="119">
        <f>Table2[[#This Row],[Price]]/G261-1</f>
        <v>1.7256338571290719E-2</v>
      </c>
      <c r="K260" s="117" t="s">
        <v>399</v>
      </c>
      <c r="L260">
        <v>23.1</v>
      </c>
      <c r="M260" s="119">
        <f>Table5[[#This Row],[Price]]/L261-1</f>
        <v>2.1671826625387025E-2</v>
      </c>
      <c r="P260" s="46" t="s">
        <v>399</v>
      </c>
      <c r="Q260">
        <v>91.05</v>
      </c>
      <c r="R260" s="119">
        <f>Table6[[#This Row],[Price]]/Q261-1</f>
        <v>-2.2439338630019345E-2</v>
      </c>
      <c r="U260" s="46" t="s">
        <v>399</v>
      </c>
      <c r="V260">
        <v>75.900000000000006</v>
      </c>
      <c r="W260" s="119">
        <f>Table8[[#This Row],[Price]]/V261-1</f>
        <v>-3.4842319430315349E-2</v>
      </c>
      <c r="Z260" s="46" t="s">
        <v>399</v>
      </c>
      <c r="AA260">
        <v>386.61</v>
      </c>
      <c r="AB260" s="119">
        <f>Table9[[#This Row],[Price]]/AA261-1</f>
        <v>-7.7537411801198441E-4</v>
      </c>
    </row>
    <row r="261" spans="1:28">
      <c r="A261" s="117">
        <v>44031</v>
      </c>
      <c r="B261">
        <v>75.78</v>
      </c>
      <c r="C261" s="119">
        <f t="shared" si="3"/>
        <v>2.1844660194174859E-2</v>
      </c>
      <c r="F261" s="47">
        <v>44031</v>
      </c>
      <c r="G261" s="16">
        <v>3215.63</v>
      </c>
      <c r="H261" s="119">
        <f>Table2[[#This Row],[Price]]/G262-1</f>
        <v>-2.8219416819392773E-3</v>
      </c>
      <c r="K261" s="117" t="s">
        <v>400</v>
      </c>
      <c r="L261">
        <v>22.61</v>
      </c>
      <c r="M261" s="119">
        <f>Table5[[#This Row],[Price]]/L262-1</f>
        <v>-4.8415492957746276E-3</v>
      </c>
      <c r="P261" s="46" t="s">
        <v>400</v>
      </c>
      <c r="Q261">
        <v>93.14</v>
      </c>
      <c r="R261" s="119">
        <f>Table6[[#This Row],[Price]]/Q262-1</f>
        <v>2.8375841890250664E-2</v>
      </c>
      <c r="U261" s="46" t="s">
        <v>400</v>
      </c>
      <c r="V261">
        <v>78.64</v>
      </c>
      <c r="W261" s="119">
        <f>Table8[[#This Row],[Price]]/V262-1</f>
        <v>1.4578764030447555E-2</v>
      </c>
      <c r="Z261" s="46" t="s">
        <v>400</v>
      </c>
      <c r="AA261">
        <v>386.91</v>
      </c>
      <c r="AB261" s="119">
        <f>Table9[[#This Row],[Price]]/AA262-1</f>
        <v>-8.4823945466659945E-3</v>
      </c>
    </row>
    <row r="262" spans="1:28">
      <c r="A262" s="117">
        <v>44172</v>
      </c>
      <c r="B262">
        <v>74.16</v>
      </c>
      <c r="C262" s="119">
        <f t="shared" si="3"/>
        <v>-1.7498990442860185E-3</v>
      </c>
      <c r="F262" s="47">
        <v>44172</v>
      </c>
      <c r="G262" s="16">
        <v>3224.73</v>
      </c>
      <c r="H262" s="119">
        <f>Table2[[#This Row],[Price]]/G263-1</f>
        <v>1.246138196066604E-2</v>
      </c>
      <c r="K262" s="117">
        <v>44172</v>
      </c>
      <c r="L262">
        <v>22.72</v>
      </c>
      <c r="M262" s="119">
        <f>Table5[[#This Row],[Price]]/L263-1</f>
        <v>1.610017889087656E-2</v>
      </c>
      <c r="P262" s="47">
        <v>44172</v>
      </c>
      <c r="Q262">
        <v>90.57</v>
      </c>
      <c r="R262" s="119">
        <f>Table6[[#This Row],[Price]]/Q263-1</f>
        <v>3.8170563961485549E-2</v>
      </c>
      <c r="U262" s="47">
        <v>44172</v>
      </c>
      <c r="V262">
        <v>77.510000000000005</v>
      </c>
      <c r="W262" s="119">
        <f>Table8[[#This Row],[Price]]/V263-1</f>
        <v>7.518379803023989E-2</v>
      </c>
      <c r="Z262" s="47">
        <v>44172</v>
      </c>
      <c r="AA262">
        <v>390.22</v>
      </c>
      <c r="AB262" s="119">
        <f>Table9[[#This Row],[Price]]/AA263-1</f>
        <v>-2.0310813185709597E-2</v>
      </c>
    </row>
    <row r="263" spans="1:28">
      <c r="A263" s="117">
        <v>43958</v>
      </c>
      <c r="B263">
        <v>74.290000000000006</v>
      </c>
      <c r="C263" s="119">
        <f t="shared" si="3"/>
        <v>6.9124423963133896E-3</v>
      </c>
      <c r="F263" s="47">
        <v>43958</v>
      </c>
      <c r="G263" s="16">
        <v>3185.04</v>
      </c>
      <c r="H263" s="119">
        <f>Table2[[#This Row],[Price]]/G264-1</f>
        <v>1.75814134779122E-2</v>
      </c>
      <c r="K263" s="117">
        <v>43958</v>
      </c>
      <c r="L263">
        <v>22.36</v>
      </c>
      <c r="M263" s="119">
        <f>Table5[[#This Row],[Price]]/L264-1</f>
        <v>5.8211074301940391E-2</v>
      </c>
      <c r="P263" s="47">
        <v>43958</v>
      </c>
      <c r="Q263">
        <v>87.24</v>
      </c>
      <c r="R263" s="119">
        <f>Table6[[#This Row],[Price]]/Q264-1</f>
        <v>7.8558225508316148E-3</v>
      </c>
      <c r="U263" s="47">
        <v>43958</v>
      </c>
      <c r="V263">
        <v>72.09</v>
      </c>
      <c r="W263" s="119">
        <f>Table8[[#This Row],[Price]]/V264-1</f>
        <v>-3.5972185076223573E-2</v>
      </c>
      <c r="Z263" s="47">
        <v>43958</v>
      </c>
      <c r="AA263">
        <v>398.31</v>
      </c>
      <c r="AB263" s="119">
        <f>Table9[[#This Row],[Price]]/AA264-1</f>
        <v>6.4743778235184068E-2</v>
      </c>
    </row>
    <row r="264" spans="1:28">
      <c r="A264" s="117">
        <v>44010</v>
      </c>
      <c r="B264">
        <v>73.78</v>
      </c>
      <c r="C264" s="119">
        <f t="shared" si="3"/>
        <v>3.0878859857482288E-2</v>
      </c>
      <c r="F264" s="47">
        <v>44010</v>
      </c>
      <c r="G264" s="16">
        <v>3130.01</v>
      </c>
      <c r="H264" s="119">
        <f>Table2[[#This Row],[Price]]/G265-1</f>
        <v>4.0198733819644117E-2</v>
      </c>
      <c r="K264" s="117" t="s">
        <v>401</v>
      </c>
      <c r="L264">
        <v>21.13</v>
      </c>
      <c r="M264" s="119">
        <f>Table5[[#This Row],[Price]]/L265-1</f>
        <v>2.2749273959341565E-2</v>
      </c>
      <c r="P264" s="46" t="s">
        <v>401</v>
      </c>
      <c r="Q264">
        <v>86.56</v>
      </c>
      <c r="R264" s="119">
        <f>Table6[[#This Row],[Price]]/Q265-1</f>
        <v>2.0875103196131617E-2</v>
      </c>
      <c r="U264" s="46" t="s">
        <v>401</v>
      </c>
      <c r="V264">
        <v>74.78</v>
      </c>
      <c r="W264" s="119">
        <f>Table8[[#This Row],[Price]]/V265-1</f>
        <v>2.5085675119945083E-2</v>
      </c>
      <c r="Z264" s="46" t="s">
        <v>401</v>
      </c>
      <c r="AA264">
        <v>374.09</v>
      </c>
      <c r="AB264" s="119">
        <f>Table9[[#This Row],[Price]]/AA265-1</f>
        <v>2.263470107432819E-2</v>
      </c>
    </row>
    <row r="265" spans="1:28">
      <c r="A265" s="117">
        <v>44003</v>
      </c>
      <c r="B265">
        <v>71.569999999999993</v>
      </c>
      <c r="C265" s="119">
        <f t="shared" si="3"/>
        <v>-5.0795755968169876E-2</v>
      </c>
      <c r="F265" s="47">
        <v>44003</v>
      </c>
      <c r="G265" s="16">
        <v>3009.05</v>
      </c>
      <c r="H265" s="119">
        <f>Table2[[#This Row],[Price]]/G266-1</f>
        <v>-2.8630550013880929E-2</v>
      </c>
      <c r="K265" s="117" t="s">
        <v>402</v>
      </c>
      <c r="L265">
        <v>20.66</v>
      </c>
      <c r="M265" s="119">
        <f>Table5[[#This Row],[Price]]/L266-1</f>
        <v>2.1760633036597588E-2</v>
      </c>
      <c r="P265" s="46" t="s">
        <v>402</v>
      </c>
      <c r="Q265">
        <v>84.79</v>
      </c>
      <c r="R265" s="119">
        <f>Table6[[#This Row],[Price]]/Q266-1</f>
        <v>-3.9315658282347621E-2</v>
      </c>
      <c r="U265" s="46" t="s">
        <v>402</v>
      </c>
      <c r="V265">
        <v>72.95</v>
      </c>
      <c r="W265" s="119">
        <f>Table8[[#This Row],[Price]]/V266-1</f>
        <v>3.813860822541626E-2</v>
      </c>
      <c r="Z265" s="46" t="s">
        <v>402</v>
      </c>
      <c r="AA265">
        <v>365.81</v>
      </c>
      <c r="AB265" s="119">
        <f>Table9[[#This Row],[Price]]/AA266-1</f>
        <v>-3.3297217303982496E-2</v>
      </c>
    </row>
    <row r="266" spans="1:28">
      <c r="A266" s="117">
        <v>43996</v>
      </c>
      <c r="B266">
        <v>75.400000000000006</v>
      </c>
      <c r="C266" s="119">
        <f t="shared" si="3"/>
        <v>-1.28305839224927E-2</v>
      </c>
      <c r="F266" s="47">
        <v>43996</v>
      </c>
      <c r="G266" s="16">
        <v>3097.74</v>
      </c>
      <c r="H266" s="119">
        <f>Table2[[#This Row],[Price]]/G267-1</f>
        <v>1.8554504473401234E-2</v>
      </c>
      <c r="K266" s="117" t="s">
        <v>403</v>
      </c>
      <c r="L266">
        <v>20.22</v>
      </c>
      <c r="M266" s="119">
        <f>Table5[[#This Row],[Price]]/L267-1</f>
        <v>1.9153225806451513E-2</v>
      </c>
      <c r="P266" s="46" t="s">
        <v>403</v>
      </c>
      <c r="Q266">
        <v>88.26</v>
      </c>
      <c r="R266" s="119">
        <f>Table6[[#This Row],[Price]]/Q267-1</f>
        <v>-3.3085013146362807E-2</v>
      </c>
      <c r="U266" s="46" t="s">
        <v>403</v>
      </c>
      <c r="V266">
        <v>70.27</v>
      </c>
      <c r="W266" s="119">
        <f>Table8[[#This Row],[Price]]/V267-1</f>
        <v>-7.4664208585725644E-2</v>
      </c>
      <c r="Z266" s="46" t="s">
        <v>403</v>
      </c>
      <c r="AA266">
        <v>378.41</v>
      </c>
      <c r="AB266" s="119">
        <f>Table9[[#This Row],[Price]]/AA267-1</f>
        <v>6.8755784741525439E-4</v>
      </c>
    </row>
    <row r="267" spans="1:28">
      <c r="A267" s="117">
        <v>44018</v>
      </c>
      <c r="B267">
        <v>76.38</v>
      </c>
      <c r="C267" s="119">
        <f t="shared" si="3"/>
        <v>-7.0124178232286449E-2</v>
      </c>
      <c r="F267" s="47">
        <v>44018</v>
      </c>
      <c r="G267" s="16">
        <v>3041.31</v>
      </c>
      <c r="H267" s="119">
        <f>Table2[[#This Row],[Price]]/G268-1</f>
        <v>-4.7784391016709837E-2</v>
      </c>
      <c r="K267" s="117">
        <v>44018</v>
      </c>
      <c r="L267">
        <v>19.84</v>
      </c>
      <c r="M267" s="119">
        <f>Table5[[#This Row],[Price]]/L268-1</f>
        <v>-5.8376839107736167E-2</v>
      </c>
      <c r="P267" s="47">
        <v>44018</v>
      </c>
      <c r="Q267">
        <v>91.28</v>
      </c>
      <c r="R267" s="119">
        <f>Table6[[#This Row],[Price]]/Q268-1</f>
        <v>-5.4289266473269704E-2</v>
      </c>
      <c r="U267" s="47">
        <v>44018</v>
      </c>
      <c r="V267">
        <v>75.94</v>
      </c>
      <c r="W267" s="119">
        <f>Table8[[#This Row],[Price]]/V268-1</f>
        <v>-0.11274681621684779</v>
      </c>
      <c r="Z267" s="47">
        <v>44018</v>
      </c>
      <c r="AA267">
        <v>378.15</v>
      </c>
      <c r="AB267" s="119">
        <f>Table9[[#This Row],[Price]]/AA268-1</f>
        <v>4.6226189527376338E-3</v>
      </c>
    </row>
    <row r="268" spans="1:28">
      <c r="A268" s="117">
        <v>43982</v>
      </c>
      <c r="B268">
        <v>82.14</v>
      </c>
      <c r="C268" s="119">
        <f t="shared" si="3"/>
        <v>5.3211950250032114E-2</v>
      </c>
      <c r="F268" s="47">
        <v>43982</v>
      </c>
      <c r="G268" s="16">
        <v>3193.93</v>
      </c>
      <c r="H268" s="119">
        <f>Table2[[#This Row],[Price]]/G269-1</f>
        <v>4.9147425853477422E-2</v>
      </c>
      <c r="K268" s="117" t="s">
        <v>404</v>
      </c>
      <c r="L268">
        <v>21.07</v>
      </c>
      <c r="M268" s="119">
        <f>Table5[[#This Row],[Price]]/L269-1</f>
        <v>4.9302788844621581E-2</v>
      </c>
      <c r="P268" s="46" t="s">
        <v>404</v>
      </c>
      <c r="Q268">
        <v>96.52</v>
      </c>
      <c r="R268" s="119">
        <f>Table6[[#This Row],[Price]]/Q269-1</f>
        <v>7.5671458820907089E-2</v>
      </c>
      <c r="U268" s="46" t="s">
        <v>404</v>
      </c>
      <c r="V268">
        <v>85.59</v>
      </c>
      <c r="W268" s="119">
        <f>Table8[[#This Row],[Price]]/V269-1</f>
        <v>0.11358313817330212</v>
      </c>
      <c r="Z268" s="46" t="s">
        <v>404</v>
      </c>
      <c r="AA268">
        <v>376.41</v>
      </c>
      <c r="AB268" s="119">
        <f>Table9[[#This Row],[Price]]/AA269-1</f>
        <v>-2.4440182459050219E-2</v>
      </c>
    </row>
    <row r="269" spans="1:28">
      <c r="A269" s="117">
        <v>43975</v>
      </c>
      <c r="B269">
        <v>77.989999999999995</v>
      </c>
      <c r="C269" s="119">
        <f t="shared" si="3"/>
        <v>4.7668126771449604E-3</v>
      </c>
      <c r="F269" s="47">
        <v>43975</v>
      </c>
      <c r="G269" s="16">
        <v>3044.31</v>
      </c>
      <c r="H269" s="119">
        <f>Table2[[#This Row],[Price]]/G270-1</f>
        <v>3.0066487336953829E-2</v>
      </c>
      <c r="K269" s="117" t="s">
        <v>405</v>
      </c>
      <c r="L269">
        <v>20.079999999999998</v>
      </c>
      <c r="M269" s="119">
        <f>Table5[[#This Row],[Price]]/L270-1</f>
        <v>-4.8792041686404608E-2</v>
      </c>
      <c r="P269" s="46" t="s">
        <v>405</v>
      </c>
      <c r="Q269">
        <v>89.73</v>
      </c>
      <c r="R269" s="119">
        <f>Table6[[#This Row],[Price]]/Q270-1</f>
        <v>2.8424068767908262E-2</v>
      </c>
      <c r="U269" s="46" t="s">
        <v>405</v>
      </c>
      <c r="V269">
        <v>76.86</v>
      </c>
      <c r="W269" s="119">
        <f>Table8[[#This Row],[Price]]/V270-1</f>
        <v>1.6263387544625196E-2</v>
      </c>
      <c r="Z269" s="46" t="s">
        <v>405</v>
      </c>
      <c r="AA269">
        <v>385.84</v>
      </c>
      <c r="AB269" s="119">
        <f>Table9[[#This Row],[Price]]/AA270-1</f>
        <v>3.6925557645794083E-2</v>
      </c>
    </row>
    <row r="270" spans="1:28">
      <c r="A270" s="117">
        <v>43968</v>
      </c>
      <c r="B270">
        <v>77.62</v>
      </c>
      <c r="C270" s="119">
        <f t="shared" si="3"/>
        <v>4.6655879180151238E-2</v>
      </c>
      <c r="F270" s="47">
        <v>43968</v>
      </c>
      <c r="G270" s="16">
        <v>2955.45</v>
      </c>
      <c r="H270" s="119">
        <f>Table2[[#This Row],[Price]]/G271-1</f>
        <v>3.2038970562558999E-2</v>
      </c>
      <c r="K270" s="117" t="s">
        <v>406</v>
      </c>
      <c r="L270">
        <v>21.11</v>
      </c>
      <c r="M270" s="119">
        <f>Table5[[#This Row],[Price]]/L271-1</f>
        <v>8.6464230571281497E-2</v>
      </c>
      <c r="P270" s="46" t="s">
        <v>406</v>
      </c>
      <c r="Q270">
        <v>87.25</v>
      </c>
      <c r="R270" s="119">
        <f>Table6[[#This Row],[Price]]/Q271-1</f>
        <v>2.7679623085983485E-2</v>
      </c>
      <c r="U270" s="46" t="s">
        <v>406</v>
      </c>
      <c r="V270">
        <v>75.63</v>
      </c>
      <c r="W270" s="119">
        <f>Table8[[#This Row],[Price]]/V271-1</f>
        <v>8.6481827323660276E-2</v>
      </c>
      <c r="Z270" s="46" t="s">
        <v>406</v>
      </c>
      <c r="AA270">
        <v>372.1</v>
      </c>
      <c r="AB270" s="119">
        <f>Table9[[#This Row],[Price]]/AA271-1</f>
        <v>-1.0477608765025015E-2</v>
      </c>
    </row>
    <row r="271" spans="1:28">
      <c r="A271" s="117">
        <v>44109</v>
      </c>
      <c r="B271">
        <v>74.16</v>
      </c>
      <c r="C271" s="119">
        <f t="shared" si="3"/>
        <v>-4.7643508411455038E-2</v>
      </c>
      <c r="F271" s="47">
        <v>44109</v>
      </c>
      <c r="G271" s="16">
        <v>2863.7</v>
      </c>
      <c r="H271" s="119">
        <f>Table2[[#This Row],[Price]]/G272-1</f>
        <v>-2.2561266980681394E-2</v>
      </c>
      <c r="K271" s="117">
        <v>44109</v>
      </c>
      <c r="L271">
        <v>19.43</v>
      </c>
      <c r="M271" s="119">
        <f>Table5[[#This Row],[Price]]/L272-1</f>
        <v>4.9136069114470882E-2</v>
      </c>
      <c r="P271" s="47">
        <v>44109</v>
      </c>
      <c r="Q271">
        <v>84.9</v>
      </c>
      <c r="R271" s="119">
        <f>Table6[[#This Row],[Price]]/Q272-1</f>
        <v>-1.4852634021814803E-2</v>
      </c>
      <c r="U271" s="47">
        <v>44109</v>
      </c>
      <c r="V271">
        <v>69.61</v>
      </c>
      <c r="W271" s="119">
        <f>Table8[[#This Row],[Price]]/V272-1</f>
        <v>-6.8388650963597475E-2</v>
      </c>
      <c r="Z271" s="47">
        <v>44109</v>
      </c>
      <c r="AA271">
        <v>376.04</v>
      </c>
      <c r="AB271" s="119">
        <f>Table9[[#This Row],[Price]]/AA272-1</f>
        <v>1.8774890953916268E-2</v>
      </c>
    </row>
    <row r="272" spans="1:28">
      <c r="A272" s="117">
        <v>43895</v>
      </c>
      <c r="B272">
        <v>77.87</v>
      </c>
      <c r="C272" s="119">
        <f t="shared" si="3"/>
        <v>5.5292044992546474E-2</v>
      </c>
      <c r="F272" s="47">
        <v>43895</v>
      </c>
      <c r="G272" s="16">
        <v>2929.8</v>
      </c>
      <c r="H272" s="119">
        <f>Table2[[#This Row],[Price]]/G273-1</f>
        <v>3.5005352014159108E-2</v>
      </c>
      <c r="K272" s="117">
        <v>43895</v>
      </c>
      <c r="L272">
        <v>18.52</v>
      </c>
      <c r="M272" s="119">
        <f>Table5[[#This Row],[Price]]/L273-1</f>
        <v>5.8285714285714274E-2</v>
      </c>
      <c r="P272" s="47">
        <v>43895</v>
      </c>
      <c r="Q272">
        <v>86.18</v>
      </c>
      <c r="R272" s="119">
        <f>Table6[[#This Row],[Price]]/Q273-1</f>
        <v>2.8278248419043139E-2</v>
      </c>
      <c r="U272" s="47">
        <v>43895</v>
      </c>
      <c r="V272">
        <v>74.72</v>
      </c>
      <c r="W272" s="119">
        <f>Table8[[#This Row],[Price]]/V273-1</f>
        <v>6.9720830350751717E-2</v>
      </c>
      <c r="Z272" s="47">
        <v>43895</v>
      </c>
      <c r="AA272">
        <v>369.11</v>
      </c>
      <c r="AB272" s="119">
        <f>Table9[[#This Row],[Price]]/AA273-1</f>
        <v>3.3053456479149146E-2</v>
      </c>
    </row>
    <row r="273" spans="1:28">
      <c r="A273" s="117">
        <v>43947</v>
      </c>
      <c r="B273">
        <v>73.790000000000006</v>
      </c>
      <c r="C273" s="119">
        <f t="shared" si="3"/>
        <v>-2.3683514157184282E-2</v>
      </c>
      <c r="F273" s="47">
        <v>43947</v>
      </c>
      <c r="G273" s="16">
        <v>2830.71</v>
      </c>
      <c r="H273" s="119">
        <f>Table2[[#This Row],[Price]]/G274-1</f>
        <v>-2.1256794771462584E-3</v>
      </c>
      <c r="K273" s="117" t="s">
        <v>407</v>
      </c>
      <c r="L273">
        <v>17.5</v>
      </c>
      <c r="M273" s="119">
        <f>Table5[[#This Row],[Price]]/L274-1</f>
        <v>-8.4985835694050271E-3</v>
      </c>
      <c r="P273" s="46" t="s">
        <v>407</v>
      </c>
      <c r="Q273">
        <v>83.81</v>
      </c>
      <c r="R273" s="119">
        <f>Table6[[#This Row],[Price]]/Q274-1</f>
        <v>-2.4217021772033998E-2</v>
      </c>
      <c r="U273" s="46" t="s">
        <v>407</v>
      </c>
      <c r="V273">
        <v>69.849999999999994</v>
      </c>
      <c r="W273" s="119">
        <f>Table8[[#This Row],[Price]]/V274-1</f>
        <v>1.496657948270852E-2</v>
      </c>
      <c r="Z273" s="46" t="s">
        <v>407</v>
      </c>
      <c r="AA273">
        <v>357.3</v>
      </c>
      <c r="AB273" s="119">
        <f>Table9[[#This Row],[Price]]/AA274-1</f>
        <v>-2.7199215878461191E-2</v>
      </c>
    </row>
    <row r="274" spans="1:28">
      <c r="A274" s="117">
        <v>43940</v>
      </c>
      <c r="B274">
        <v>75.58</v>
      </c>
      <c r="C274" s="119">
        <f t="shared" si="3"/>
        <v>-1.9714656290531707E-2</v>
      </c>
      <c r="F274" s="47">
        <v>43940</v>
      </c>
      <c r="G274" s="16">
        <v>2836.74</v>
      </c>
      <c r="H274" s="119">
        <f>Table2[[#This Row],[Price]]/G275-1</f>
        <v>-1.3156796170544438E-2</v>
      </c>
      <c r="K274" s="117" t="s">
        <v>408</v>
      </c>
      <c r="L274">
        <v>17.649999999999999</v>
      </c>
      <c r="M274" s="119">
        <f>Table5[[#This Row],[Price]]/L275-1</f>
        <v>7.5563680682510626E-2</v>
      </c>
      <c r="P274" s="46" t="s">
        <v>408</v>
      </c>
      <c r="Q274">
        <v>85.89</v>
      </c>
      <c r="R274" s="119">
        <f>Table6[[#This Row],[Price]]/Q275-1</f>
        <v>2.043483426398951E-2</v>
      </c>
      <c r="U274" s="46" t="s">
        <v>408</v>
      </c>
      <c r="V274">
        <v>68.819999999999993</v>
      </c>
      <c r="W274" s="119">
        <f>Table8[[#This Row],[Price]]/V275-1</f>
        <v>8.634569850039453E-2</v>
      </c>
      <c r="Z274" s="46" t="s">
        <v>408</v>
      </c>
      <c r="AA274">
        <v>367.29</v>
      </c>
      <c r="AB274" s="119">
        <f>Table9[[#This Row],[Price]]/AA275-1</f>
        <v>1.1901810066947682E-2</v>
      </c>
    </row>
    <row r="275" spans="1:28">
      <c r="A275" s="117">
        <v>44169</v>
      </c>
      <c r="B275">
        <v>77.099999999999994</v>
      </c>
      <c r="C275" s="119">
        <f t="shared" si="3"/>
        <v>4.3584190579317728E-2</v>
      </c>
      <c r="F275" s="47">
        <v>44169</v>
      </c>
      <c r="G275" s="16">
        <v>2874.56</v>
      </c>
      <c r="H275" s="119">
        <f>Table2[[#This Row],[Price]]/G276-1</f>
        <v>3.0374719515954274E-2</v>
      </c>
      <c r="K275" s="117">
        <v>44169</v>
      </c>
      <c r="L275">
        <v>16.41</v>
      </c>
      <c r="M275" s="119">
        <f>Table5[[#This Row],[Price]]/L276-1</f>
        <v>6.4202334630350189E-2</v>
      </c>
      <c r="P275" s="47">
        <v>44169</v>
      </c>
      <c r="Q275">
        <v>84.17</v>
      </c>
      <c r="R275" s="119">
        <f>Table6[[#This Row],[Price]]/Q276-1</f>
        <v>4.7281323877068626E-2</v>
      </c>
      <c r="U275" s="47">
        <v>44169</v>
      </c>
      <c r="V275">
        <v>63.35</v>
      </c>
      <c r="W275" s="119">
        <f>Table8[[#This Row],[Price]]/V276-1</f>
        <v>-1.538700652782099E-2</v>
      </c>
      <c r="Z275" s="47">
        <v>44169</v>
      </c>
      <c r="AA275">
        <v>362.97</v>
      </c>
      <c r="AB275" s="119">
        <f>Table9[[#This Row],[Price]]/AA276-1</f>
        <v>5.6250727505529063E-2</v>
      </c>
    </row>
    <row r="276" spans="1:28">
      <c r="A276" s="117">
        <v>43955</v>
      </c>
      <c r="B276">
        <v>73.88</v>
      </c>
      <c r="C276" s="119">
        <f t="shared" si="3"/>
        <v>0.17176843774781925</v>
      </c>
      <c r="F276" s="47">
        <v>43955</v>
      </c>
      <c r="G276" s="16">
        <v>2789.82</v>
      </c>
      <c r="H276" s="119">
        <f>Table2[[#This Row],[Price]]/G277-1</f>
        <v>0.12101741908263519</v>
      </c>
      <c r="K276" s="117">
        <v>43955</v>
      </c>
      <c r="L276">
        <v>15.42</v>
      </c>
      <c r="M276" s="119">
        <f>Table5[[#This Row],[Price]]/L277-1</f>
        <v>0.26186579378068742</v>
      </c>
      <c r="P276" s="47">
        <v>43955</v>
      </c>
      <c r="Q276">
        <v>80.37</v>
      </c>
      <c r="R276" s="119">
        <f>Table6[[#This Row],[Price]]/Q277-1</f>
        <v>0.26966824644549781</v>
      </c>
      <c r="U276" s="47">
        <v>43955</v>
      </c>
      <c r="V276">
        <v>64.34</v>
      </c>
      <c r="W276" s="119">
        <f>Table8[[#This Row],[Price]]/V277-1</f>
        <v>0.41468777484608643</v>
      </c>
      <c r="Z276" s="47">
        <v>43955</v>
      </c>
      <c r="AA276">
        <v>343.64</v>
      </c>
      <c r="AB276" s="119">
        <f>Table9[[#This Row],[Price]]/AA277-1</f>
        <v>4.6948785912317437E-2</v>
      </c>
    </row>
    <row r="277" spans="1:28">
      <c r="A277" s="117">
        <v>43919</v>
      </c>
      <c r="B277">
        <v>63.05</v>
      </c>
      <c r="C277" s="119">
        <f t="shared" si="3"/>
        <v>-4.9593005728067574E-2</v>
      </c>
      <c r="F277" s="47">
        <v>43919</v>
      </c>
      <c r="G277" s="16">
        <v>2488.65</v>
      </c>
      <c r="H277" s="119">
        <f>Table2[[#This Row],[Price]]/G278-1</f>
        <v>-2.0783247490625434E-2</v>
      </c>
      <c r="K277" s="117" t="s">
        <v>409</v>
      </c>
      <c r="L277">
        <v>12.22</v>
      </c>
      <c r="M277" s="119">
        <f>Table5[[#This Row],[Price]]/L278-1</f>
        <v>-3.779527559055107E-2</v>
      </c>
      <c r="P277" s="46" t="s">
        <v>409</v>
      </c>
      <c r="Q277">
        <v>63.3</v>
      </c>
      <c r="R277" s="119">
        <f>Table6[[#This Row],[Price]]/Q278-1</f>
        <v>-7.6316941485480849E-2</v>
      </c>
      <c r="U277" s="46" t="s">
        <v>409</v>
      </c>
      <c r="V277">
        <v>45.48</v>
      </c>
      <c r="W277" s="119">
        <f>Table8[[#This Row],[Price]]/V278-1</f>
        <v>-0.16794731064764001</v>
      </c>
      <c r="Z277" s="46" t="s">
        <v>409</v>
      </c>
      <c r="AA277">
        <v>328.23</v>
      </c>
      <c r="AB277" s="119">
        <f>Table9[[#This Row],[Price]]/AA278-1</f>
        <v>-3.1026746177008846E-2</v>
      </c>
    </row>
    <row r="278" spans="1:28">
      <c r="A278" s="117">
        <v>43912</v>
      </c>
      <c r="B278">
        <v>66.34</v>
      </c>
      <c r="C278" s="119">
        <f t="shared" si="3"/>
        <v>0.14320179217646056</v>
      </c>
      <c r="F278" s="47">
        <v>43912</v>
      </c>
      <c r="G278" s="16">
        <v>2541.4699999999998</v>
      </c>
      <c r="H278" s="119">
        <f>Table2[[#This Row],[Price]]/G279-1</f>
        <v>0.10262829078666491</v>
      </c>
      <c r="K278" s="117" t="s">
        <v>410</v>
      </c>
      <c r="L278">
        <v>12.7</v>
      </c>
      <c r="M278" s="119">
        <f>Table5[[#This Row],[Price]]/L279-1</f>
        <v>0.12190812720848054</v>
      </c>
      <c r="P278" s="46" t="s">
        <v>410</v>
      </c>
      <c r="Q278">
        <v>68.53</v>
      </c>
      <c r="R278" s="119">
        <f>Table6[[#This Row],[Price]]/Q279-1</f>
        <v>0.17992424242424243</v>
      </c>
      <c r="U278" s="46" t="s">
        <v>410</v>
      </c>
      <c r="V278">
        <v>54.66</v>
      </c>
      <c r="W278" s="119">
        <f>Table8[[#This Row],[Price]]/V279-1</f>
        <v>0.4015384615384614</v>
      </c>
      <c r="Z278" s="46" t="s">
        <v>410</v>
      </c>
      <c r="AA278">
        <v>338.74</v>
      </c>
      <c r="AB278" s="119">
        <f>Table9[[#This Row],[Price]]/AA279-1</f>
        <v>0.12932155359226538</v>
      </c>
    </row>
    <row r="279" spans="1:28">
      <c r="A279" s="117">
        <v>43905</v>
      </c>
      <c r="B279">
        <v>58.03</v>
      </c>
      <c r="C279" s="119">
        <f t="shared" ref="C279:C282" si="4">B279/B280-1</f>
        <v>-0.17005148741418763</v>
      </c>
      <c r="F279" s="47">
        <v>43905</v>
      </c>
      <c r="G279" s="16">
        <v>2304.92</v>
      </c>
      <c r="H279" s="119">
        <f>Table2[[#This Row],[Price]]/G280-1</f>
        <v>-0.14979601773502216</v>
      </c>
      <c r="K279" s="117" t="s">
        <v>411</v>
      </c>
      <c r="L279">
        <v>11.32</v>
      </c>
      <c r="M279" s="119">
        <f>Table5[[#This Row],[Price]]/L280-1</f>
        <v>-0.1022997620935765</v>
      </c>
      <c r="P279" s="46" t="s">
        <v>411</v>
      </c>
      <c r="Q279">
        <v>58.08</v>
      </c>
      <c r="R279" s="119">
        <f>Table6[[#This Row],[Price]]/Q280-1</f>
        <v>-0.25975019118021914</v>
      </c>
      <c r="U279" s="46" t="s">
        <v>411</v>
      </c>
      <c r="V279">
        <v>39</v>
      </c>
      <c r="W279" s="119">
        <f>Table8[[#This Row],[Price]]/V280-1</f>
        <v>-0.40293937538273106</v>
      </c>
      <c r="Z279" s="46" t="s">
        <v>411</v>
      </c>
      <c r="AA279">
        <v>299.95</v>
      </c>
      <c r="AB279" s="119">
        <f>Table9[[#This Row],[Price]]/AA280-1</f>
        <v>-5.2679783974986627E-2</v>
      </c>
    </row>
    <row r="280" spans="1:28">
      <c r="A280" s="117">
        <v>44046</v>
      </c>
      <c r="B280">
        <v>69.92</v>
      </c>
      <c r="C280" s="119">
        <f t="shared" si="4"/>
        <v>-7.1940536235731378E-2</v>
      </c>
      <c r="F280" s="47">
        <v>44046</v>
      </c>
      <c r="G280" s="16">
        <v>2711.02</v>
      </c>
      <c r="H280" s="119">
        <f>Table2[[#This Row],[Price]]/G281-1</f>
        <v>-8.7926469450303912E-2</v>
      </c>
      <c r="K280" s="117">
        <v>44046</v>
      </c>
      <c r="L280">
        <v>12.61</v>
      </c>
      <c r="M280" s="119">
        <f>Table5[[#This Row],[Price]]/L281-1</f>
        <v>-0.12793914246196414</v>
      </c>
      <c r="P280" s="47">
        <v>44046</v>
      </c>
      <c r="Q280">
        <v>78.459999999999994</v>
      </c>
      <c r="R280" s="119">
        <f>Table6[[#This Row],[Price]]/Q281-1</f>
        <v>-0.12237136465324394</v>
      </c>
      <c r="U280" s="47">
        <v>44046</v>
      </c>
      <c r="V280">
        <v>65.319999999999993</v>
      </c>
      <c r="W280" s="119">
        <f>Table8[[#This Row],[Price]]/V281-1</f>
        <v>-0.25899035734543407</v>
      </c>
      <c r="Z280" s="47">
        <v>44046</v>
      </c>
      <c r="AA280">
        <v>316.63</v>
      </c>
      <c r="AB280" s="119">
        <f>Table9[[#This Row],[Price]]/AA281-1</f>
        <v>-5.8797300912576955E-2</v>
      </c>
    </row>
    <row r="281" spans="1:28">
      <c r="A281" s="117">
        <v>43833</v>
      </c>
      <c r="B281">
        <v>75.34</v>
      </c>
      <c r="C281" s="119">
        <f t="shared" si="4"/>
        <v>-3.9398189468315747E-2</v>
      </c>
      <c r="F281" s="47">
        <v>43833</v>
      </c>
      <c r="G281" s="16">
        <v>2972.37</v>
      </c>
      <c r="H281" s="119">
        <f>Table2[[#This Row],[Price]]/G282-1</f>
        <v>6.1437536811748128E-3</v>
      </c>
      <c r="K281" s="117">
        <v>43833</v>
      </c>
      <c r="L281">
        <v>14.46</v>
      </c>
      <c r="M281" s="119">
        <f>Table5[[#This Row],[Price]]/L282-1</f>
        <v>-6.5287653522947631E-2</v>
      </c>
      <c r="P281" s="47">
        <v>43833</v>
      </c>
      <c r="Q281">
        <v>89.4</v>
      </c>
      <c r="R281" s="119">
        <f>Table6[[#This Row],[Price]]/Q282-1</f>
        <v>1.6806722689075571E-3</v>
      </c>
      <c r="U281" s="47">
        <v>43833</v>
      </c>
      <c r="V281">
        <v>88.15</v>
      </c>
      <c r="W281" s="119">
        <f>Table8[[#This Row],[Price]]/V282-1</f>
        <v>-9.5897435897435823E-2</v>
      </c>
      <c r="Z281" s="47">
        <v>43833</v>
      </c>
      <c r="AA281">
        <v>336.41</v>
      </c>
      <c r="AB281" s="119">
        <f>Table9[[#This Row],[Price]]/AA282-1</f>
        <v>-8.9848583043655728E-3</v>
      </c>
    </row>
    <row r="282" spans="1:28">
      <c r="A282" s="117">
        <v>43884</v>
      </c>
      <c r="B282">
        <v>78.430000000000007</v>
      </c>
      <c r="C282" s="119">
        <f t="shared" si="4"/>
        <v>-0.10222069597069594</v>
      </c>
      <c r="F282" s="47">
        <v>43884</v>
      </c>
      <c r="G282" s="16">
        <v>2954.22</v>
      </c>
      <c r="H282" s="119">
        <f>Table2[[#This Row],[Price]]/G283-1</f>
        <v>-0.11490674855816052</v>
      </c>
      <c r="K282" s="117" t="s">
        <v>412</v>
      </c>
      <c r="L282">
        <v>15.47</v>
      </c>
      <c r="M282" s="119">
        <f>Table5[[#This Row],[Price]]/L283-1</f>
        <v>-0.15923913043478255</v>
      </c>
      <c r="P282" s="46" t="s">
        <v>412</v>
      </c>
      <c r="Q282">
        <v>89.25</v>
      </c>
      <c r="R282" s="119">
        <f>Table6[[#This Row],[Price]]/Q283-1</f>
        <v>-0.13776446720123658</v>
      </c>
      <c r="U282" s="46" t="s">
        <v>412</v>
      </c>
      <c r="V282">
        <v>97.5</v>
      </c>
      <c r="W282" s="119">
        <f>Table8[[#This Row],[Price]]/V283-1</f>
        <v>-0.19488026424442606</v>
      </c>
      <c r="Z282" s="46" t="s">
        <v>412</v>
      </c>
      <c r="AA282">
        <v>339.46</v>
      </c>
      <c r="AB282" s="119">
        <f>Table9[[#This Row],[Price]]/AA283-1</f>
        <v>-8.7374986557694378E-2</v>
      </c>
    </row>
    <row r="283" spans="1:28">
      <c r="A283" s="117">
        <v>43877</v>
      </c>
      <c r="B283">
        <v>87.36</v>
      </c>
      <c r="F283" s="47">
        <v>43877</v>
      </c>
      <c r="G283" s="16">
        <v>3337.75</v>
      </c>
      <c r="K283" s="117" t="s">
        <v>413</v>
      </c>
      <c r="L283">
        <v>18.399999999999999</v>
      </c>
      <c r="P283" s="46" t="s">
        <v>413</v>
      </c>
      <c r="Q283">
        <v>103.51</v>
      </c>
      <c r="R283" s="119"/>
      <c r="U283" s="46" t="s">
        <v>413</v>
      </c>
      <c r="V283">
        <v>121.1</v>
      </c>
      <c r="Z283" s="46" t="s">
        <v>413</v>
      </c>
      <c r="AA283">
        <v>371.96</v>
      </c>
      <c r="AB283" s="119"/>
    </row>
    <row r="284" spans="1:28">
      <c r="A284" s="118" t="s">
        <v>146</v>
      </c>
      <c r="C284" s="120">
        <f>SLOPE(C23:C282,H23:H282)</f>
        <v>1.0370343578191175</v>
      </c>
      <c r="F284" s="118" t="s">
        <v>146</v>
      </c>
      <c r="G284" s="16"/>
      <c r="H284" s="6">
        <f>SLOPE(H23:H282,H23:H282)</f>
        <v>1</v>
      </c>
      <c r="K284" s="118" t="s">
        <v>146</v>
      </c>
      <c r="M284" s="120">
        <f>SLOPE(M23:M282,H23:H282)</f>
        <v>1.1375857465739556</v>
      </c>
      <c r="P284" s="118" t="s">
        <v>146</v>
      </c>
      <c r="R284" s="120">
        <f>SLOPE(R23:R282,H23:H282)</f>
        <v>1.0450647153098402</v>
      </c>
      <c r="U284" s="118" t="s">
        <v>146</v>
      </c>
      <c r="W284" s="120">
        <f>SLOPE(W23:W282,H23:H282)</f>
        <v>1.5678190772792249</v>
      </c>
      <c r="Z284" s="118" t="s">
        <v>146</v>
      </c>
      <c r="AB284" s="120">
        <f>SLOPE(AB23:AB282,H23:H282)</f>
        <v>0.73236730709335318</v>
      </c>
    </row>
  </sheetData>
  <pageMargins left="0.7" right="0.7" top="0.75" bottom="0.75" header="0.3" footer="0.3"/>
  <ignoredErrors>
    <ignoredError sqref="C284 R284" calculatedColumn="1"/>
  </ignoredErrors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7062-67D4-43C7-B6FA-58C20E9185F1}">
  <dimension ref="A1:M61"/>
  <sheetViews>
    <sheetView showGridLines="0" topLeftCell="A17" zoomScale="66" zoomScaleNormal="66" workbookViewId="0">
      <selection activeCell="G60" sqref="G60"/>
    </sheetView>
  </sheetViews>
  <sheetFormatPr defaultRowHeight="14.5"/>
  <cols>
    <col min="1" max="1" width="3.453125" customWidth="1"/>
    <col min="2" max="2" width="35.08984375" customWidth="1"/>
    <col min="3" max="3" width="34.81640625" customWidth="1"/>
    <col min="4" max="4" width="18" bestFit="1" customWidth="1"/>
    <col min="5" max="5" width="10.36328125" bestFit="1" customWidth="1"/>
    <col min="6" max="6" width="11.08984375" bestFit="1" customWidth="1"/>
    <col min="7" max="7" width="20.453125" bestFit="1" customWidth="1"/>
    <col min="8" max="8" width="13.36328125" customWidth="1"/>
    <col min="9" max="10" width="11.7265625" customWidth="1"/>
    <col min="11" max="11" width="13.81640625" bestFit="1" customWidth="1"/>
    <col min="12" max="12" width="16.6328125" customWidth="1"/>
    <col min="13" max="13" width="16.36328125" customWidth="1"/>
    <col min="16" max="16" width="14.81640625" customWidth="1"/>
  </cols>
  <sheetData>
    <row r="1" spans="1:13">
      <c r="A1" s="165"/>
      <c r="B1" s="76" t="s">
        <v>19</v>
      </c>
      <c r="C1" s="6"/>
    </row>
    <row r="2" spans="1:13">
      <c r="B2" s="75" t="s">
        <v>196</v>
      </c>
    </row>
    <row r="3" spans="1:13">
      <c r="B3" s="166" t="s">
        <v>458</v>
      </c>
      <c r="C3" s="167"/>
      <c r="D3" s="167"/>
      <c r="E3" s="167"/>
      <c r="F3" s="167"/>
      <c r="G3" s="167"/>
      <c r="H3" s="167"/>
      <c r="I3" s="167"/>
      <c r="J3" s="167"/>
      <c r="K3" s="167"/>
      <c r="L3" s="78"/>
      <c r="M3" s="78"/>
    </row>
    <row r="4" spans="1:13">
      <c r="B4" s="168" t="s">
        <v>128</v>
      </c>
      <c r="C4" s="169"/>
      <c r="D4" s="169" t="s">
        <v>459</v>
      </c>
      <c r="E4" s="169"/>
      <c r="F4" s="169" t="s">
        <v>460</v>
      </c>
      <c r="G4" s="204" t="s">
        <v>461</v>
      </c>
      <c r="H4" s="203" t="s">
        <v>453</v>
      </c>
      <c r="I4" s="203" t="s">
        <v>462</v>
      </c>
      <c r="J4" s="203" t="s">
        <v>463</v>
      </c>
      <c r="K4" s="169" t="s">
        <v>464</v>
      </c>
      <c r="L4" s="208" t="s">
        <v>465</v>
      </c>
      <c r="M4" s="208" t="s">
        <v>489</v>
      </c>
    </row>
    <row r="5" spans="1:13">
      <c r="B5" s="6" t="s">
        <v>124</v>
      </c>
      <c r="D5" s="119">
        <f>'Regression Beta'!M284</f>
        <v>1.1375857465739556</v>
      </c>
      <c r="F5" s="201">
        <f>AVERAGE(D21:D23)</f>
        <v>0</v>
      </c>
      <c r="H5" s="201">
        <f>AVERAGE(G21:G23)</f>
        <v>61151.666666666664</v>
      </c>
      <c r="J5" s="26">
        <f>AVERAGE(H21:H23)</f>
        <v>0.27</v>
      </c>
      <c r="K5" s="119">
        <f>D5/M5</f>
        <v>1.1375857465739556</v>
      </c>
      <c r="M5" s="119">
        <f>1+(1-J5)*F5/H5</f>
        <v>1</v>
      </c>
    </row>
    <row r="6" spans="1:13">
      <c r="B6" s="6" t="s">
        <v>125</v>
      </c>
      <c r="D6" s="119">
        <f>'Regression Beta'!R284</f>
        <v>1.0450647153098402</v>
      </c>
      <c r="F6" s="142">
        <f>AVERAGE(D26:D28)</f>
        <v>11250</v>
      </c>
      <c r="G6" s="143"/>
      <c r="H6" s="142">
        <f>AVERAGE(G26:G28)</f>
        <v>36714.666666666664</v>
      </c>
      <c r="I6" s="143"/>
      <c r="J6" s="26">
        <f>AVERAGE(H26:H28)</f>
        <v>0.27</v>
      </c>
      <c r="K6" s="119">
        <f t="shared" ref="K6:K9" si="0">D6/M6</f>
        <v>0.85403121350546662</v>
      </c>
      <c r="L6" s="145"/>
      <c r="M6" s="119">
        <f t="shared" ref="M6:M9" si="1">1+(1-J6)*F6/H6</f>
        <v>1.2236844494479953</v>
      </c>
    </row>
    <row r="7" spans="1:13">
      <c r="B7" s="6" t="s">
        <v>126</v>
      </c>
      <c r="D7" s="119">
        <f>'Regression Beta'!W284</f>
        <v>1.5678190772792249</v>
      </c>
      <c r="F7" s="145">
        <f>AVERAGE(D31:D33)</f>
        <v>1052.1000000000001</v>
      </c>
      <c r="G7" s="143"/>
      <c r="H7" s="142">
        <f>AVERAGE(G31:G33)</f>
        <v>17574.666666666668</v>
      </c>
      <c r="I7" s="143"/>
      <c r="J7" s="26">
        <f>AVERAGE(H31:H33)</f>
        <v>0.27</v>
      </c>
      <c r="K7" s="119">
        <f t="shared" si="0"/>
        <v>1.5021724270444061</v>
      </c>
      <c r="L7" s="145"/>
      <c r="M7" s="119">
        <f t="shared" si="1"/>
        <v>1.0437011417950079</v>
      </c>
    </row>
    <row r="8" spans="1:13">
      <c r="B8" s="6" t="s">
        <v>127</v>
      </c>
      <c r="D8" s="119">
        <f>'Regression Beta'!AB284</f>
        <v>0.73236730709335318</v>
      </c>
      <c r="F8" s="145">
        <f>AVERAGE(D36:D38)</f>
        <v>4508.7966666666662</v>
      </c>
      <c r="G8" s="143"/>
      <c r="H8" s="142">
        <f>AVERAGE(G36:G38)</f>
        <v>13981</v>
      </c>
      <c r="I8" s="143"/>
      <c r="J8" s="26">
        <f>AVERAGE(H36:H38)</f>
        <v>0.27</v>
      </c>
      <c r="K8" s="119">
        <f t="shared" si="0"/>
        <v>0.59280786315639911</v>
      </c>
      <c r="L8" s="145"/>
      <c r="M8" s="119">
        <f t="shared" si="1"/>
        <v>1.2354210404596715</v>
      </c>
    </row>
    <row r="9" spans="1:13">
      <c r="B9" s="6" t="s">
        <v>252</v>
      </c>
      <c r="D9" s="119">
        <f>'Regression Beta'!AG110</f>
        <v>2.2083894985507748</v>
      </c>
      <c r="F9" s="145">
        <f>AVERAGE(D41:D43)</f>
        <v>5.1133333333333333</v>
      </c>
      <c r="G9" s="143"/>
      <c r="H9" s="142">
        <f>AVERAGE(G41:G43)</f>
        <v>5995.666666666667</v>
      </c>
      <c r="I9" s="143"/>
      <c r="J9" s="26">
        <f>AVERAGE(H41:H43)</f>
        <v>0.27</v>
      </c>
      <c r="K9" s="119">
        <f t="shared" si="0"/>
        <v>2.2070154728284295</v>
      </c>
      <c r="L9" s="145"/>
      <c r="M9" s="119">
        <f t="shared" si="1"/>
        <v>1.0006225718574526</v>
      </c>
    </row>
    <row r="10" spans="1:13" ht="15" thickBot="1">
      <c r="B10" s="170" t="s">
        <v>466</v>
      </c>
      <c r="C10" s="15"/>
      <c r="D10" s="200"/>
      <c r="E10" s="28"/>
      <c r="F10" s="202">
        <f>MEDIAN(F5:F9)</f>
        <v>1052.1000000000001</v>
      </c>
      <c r="G10" s="147"/>
      <c r="H10" s="146">
        <f>MEDIAN(H5:H9)</f>
        <v>17574.666666666668</v>
      </c>
      <c r="I10" s="147"/>
      <c r="J10" s="205"/>
      <c r="K10" s="209">
        <f>AVERAGE(K5:K9)</f>
        <v>1.2587225446217314</v>
      </c>
      <c r="L10" s="128"/>
      <c r="M10" s="200"/>
    </row>
    <row r="12" spans="1:13">
      <c r="B12" s="76" t="s">
        <v>19</v>
      </c>
      <c r="D12" s="119">
        <f>'Regression Beta'!C284</f>
        <v>1.0370343578191175</v>
      </c>
      <c r="F12" s="206">
        <f>AVERAGE(D46:D48)</f>
        <v>13693.333333333334</v>
      </c>
      <c r="H12" s="201">
        <f>AVERAGE(G46:G48)</f>
        <v>104733</v>
      </c>
      <c r="J12" s="26">
        <f>AVERAGE(H46:H48)</f>
        <v>0.27</v>
      </c>
      <c r="K12" s="119">
        <f>K10*M12</f>
        <v>1.3788600216892406</v>
      </c>
      <c r="M12" s="119">
        <f>1+(1-J12)*F12/H12</f>
        <v>1.0954439702226932</v>
      </c>
    </row>
    <row r="14" spans="1:13">
      <c r="B14" s="210" t="s">
        <v>467</v>
      </c>
      <c r="C14" s="211">
        <f>K12</f>
        <v>1.3788600216892406</v>
      </c>
      <c r="J14" s="26"/>
      <c r="L14" s="148"/>
    </row>
    <row r="15" spans="1:13">
      <c r="B15" s="195" t="s">
        <v>468</v>
      </c>
      <c r="C15" s="207">
        <f>D12</f>
        <v>1.0370343578191175</v>
      </c>
      <c r="D15" s="149"/>
      <c r="F15" s="142"/>
      <c r="G15" s="143"/>
      <c r="H15" s="142"/>
      <c r="I15" s="143"/>
      <c r="J15" s="26"/>
      <c r="K15" s="144"/>
      <c r="L15" s="150"/>
    </row>
    <row r="17" spans="2:8">
      <c r="C17" s="173" t="s">
        <v>469</v>
      </c>
      <c r="D17" s="172"/>
      <c r="E17" s="417"/>
      <c r="F17" s="417"/>
      <c r="G17" s="417"/>
      <c r="H17" s="172"/>
    </row>
    <row r="18" spans="2:8">
      <c r="C18" s="172"/>
      <c r="D18" s="171" t="s">
        <v>460</v>
      </c>
      <c r="E18" s="418" t="s">
        <v>453</v>
      </c>
      <c r="F18" s="418"/>
      <c r="G18" s="418"/>
      <c r="H18" s="172"/>
    </row>
    <row r="19" spans="2:8">
      <c r="B19" s="174"/>
      <c r="C19" s="71"/>
      <c r="D19" s="172"/>
      <c r="E19" s="171" t="s">
        <v>470</v>
      </c>
      <c r="F19" s="171" t="s">
        <v>471</v>
      </c>
      <c r="G19" s="171" t="s">
        <v>472</v>
      </c>
      <c r="H19" s="173" t="s">
        <v>463</v>
      </c>
    </row>
    <row r="20" spans="2:8">
      <c r="B20" s="174"/>
      <c r="C20" s="6" t="s">
        <v>124</v>
      </c>
      <c r="D20" s="196"/>
      <c r="E20" s="197"/>
      <c r="F20" s="197"/>
      <c r="G20" s="197"/>
      <c r="H20" s="198"/>
    </row>
    <row r="21" spans="2:8">
      <c r="C21" s="199">
        <v>2024</v>
      </c>
      <c r="D21" s="153">
        <v>0</v>
      </c>
      <c r="E21" s="153">
        <v>0</v>
      </c>
      <c r="F21" s="153">
        <v>0</v>
      </c>
      <c r="G21" s="153">
        <v>82227</v>
      </c>
      <c r="H21" s="156">
        <v>0.27</v>
      </c>
    </row>
    <row r="22" spans="2:8">
      <c r="C22" s="199">
        <v>2023</v>
      </c>
      <c r="D22" s="153">
        <v>0</v>
      </c>
      <c r="E22" s="153">
        <v>0</v>
      </c>
      <c r="F22" s="153">
        <v>0</v>
      </c>
      <c r="G22" s="153">
        <v>62765</v>
      </c>
      <c r="H22" s="156">
        <v>0.27</v>
      </c>
    </row>
    <row r="23" spans="2:8">
      <c r="C23" s="199">
        <v>2022</v>
      </c>
      <c r="D23" s="153">
        <v>0</v>
      </c>
      <c r="E23" s="153">
        <v>0</v>
      </c>
      <c r="F23" s="153">
        <v>0</v>
      </c>
      <c r="G23" s="153">
        <v>38463</v>
      </c>
      <c r="H23" s="156">
        <v>0.27</v>
      </c>
    </row>
    <row r="24" spans="2:8">
      <c r="C24" s="152"/>
      <c r="D24" s="151"/>
      <c r="E24" s="157"/>
      <c r="F24" s="151"/>
      <c r="G24" s="153"/>
      <c r="H24" s="151"/>
    </row>
    <row r="25" spans="2:8">
      <c r="C25" s="6" t="s">
        <v>125</v>
      </c>
      <c r="D25" s="151"/>
      <c r="E25" s="157"/>
      <c r="F25" s="151"/>
      <c r="G25" s="153"/>
      <c r="H25" s="151"/>
    </row>
    <row r="26" spans="2:8">
      <c r="C26" s="199">
        <v>2024</v>
      </c>
      <c r="D26" s="153">
        <v>11250</v>
      </c>
      <c r="E26" s="153">
        <v>0</v>
      </c>
      <c r="F26" s="153">
        <v>0</v>
      </c>
      <c r="G26" s="153">
        <v>37440</v>
      </c>
      <c r="H26" s="156">
        <v>0.27</v>
      </c>
    </row>
    <row r="27" spans="2:8">
      <c r="C27" s="199">
        <v>2023</v>
      </c>
      <c r="D27" s="153">
        <v>11100</v>
      </c>
      <c r="E27" s="153">
        <v>0</v>
      </c>
      <c r="F27" s="153">
        <v>0</v>
      </c>
      <c r="G27" s="153">
        <v>36625</v>
      </c>
      <c r="H27" s="156">
        <v>0.27</v>
      </c>
    </row>
    <row r="28" spans="2:8">
      <c r="C28" s="199">
        <v>2022</v>
      </c>
      <c r="D28" s="153">
        <v>11400</v>
      </c>
      <c r="E28" s="153">
        <v>0</v>
      </c>
      <c r="F28" s="153">
        <v>0</v>
      </c>
      <c r="G28" s="153">
        <v>36079</v>
      </c>
      <c r="H28" s="156">
        <v>0.27</v>
      </c>
    </row>
    <row r="29" spans="2:8">
      <c r="C29" s="151"/>
      <c r="D29" s="151"/>
      <c r="E29" s="157"/>
      <c r="F29" s="151"/>
      <c r="G29" s="153"/>
      <c r="H29" s="151"/>
    </row>
    <row r="30" spans="2:8">
      <c r="C30" s="6" t="s">
        <v>126</v>
      </c>
      <c r="D30" s="151"/>
      <c r="E30" s="157"/>
      <c r="F30" s="151"/>
      <c r="G30" s="153"/>
      <c r="H30" s="151"/>
    </row>
    <row r="31" spans="2:8">
      <c r="C31" s="199">
        <v>2024</v>
      </c>
      <c r="D31" s="153">
        <v>1370.4</v>
      </c>
      <c r="E31" s="153">
        <v>0</v>
      </c>
      <c r="F31" s="153">
        <v>0</v>
      </c>
      <c r="G31" s="153">
        <v>17617</v>
      </c>
      <c r="H31" s="156">
        <v>0.27</v>
      </c>
    </row>
    <row r="32" spans="2:8">
      <c r="C32" s="199">
        <v>2023</v>
      </c>
      <c r="D32" s="153">
        <v>884.9</v>
      </c>
      <c r="E32" s="153">
        <v>0</v>
      </c>
      <c r="F32" s="153">
        <v>0</v>
      </c>
      <c r="G32" s="153">
        <v>19504</v>
      </c>
      <c r="H32" s="156">
        <v>0.27</v>
      </c>
    </row>
    <row r="33" spans="3:8">
      <c r="C33" s="199">
        <v>2022</v>
      </c>
      <c r="D33" s="153">
        <v>901</v>
      </c>
      <c r="E33" s="153">
        <v>0</v>
      </c>
      <c r="F33" s="153">
        <v>0</v>
      </c>
      <c r="G33" s="153">
        <v>15603</v>
      </c>
      <c r="H33" s="156">
        <v>0.27</v>
      </c>
    </row>
    <row r="34" spans="3:8">
      <c r="C34" s="151"/>
      <c r="D34" s="151"/>
      <c r="E34" s="157"/>
      <c r="F34" s="151"/>
      <c r="G34" s="153"/>
      <c r="H34" s="151"/>
    </row>
    <row r="35" spans="3:8">
      <c r="C35" s="6" t="s">
        <v>127</v>
      </c>
      <c r="D35" s="151"/>
      <c r="E35" s="157"/>
      <c r="F35" s="151"/>
      <c r="G35" s="153"/>
      <c r="H35" s="151"/>
    </row>
    <row r="36" spans="3:8">
      <c r="C36" s="199">
        <v>2024</v>
      </c>
      <c r="D36" s="159">
        <v>3764.5</v>
      </c>
      <c r="E36" s="153">
        <v>0</v>
      </c>
      <c r="F36" s="153">
        <v>0</v>
      </c>
      <c r="G36" s="153">
        <v>14836</v>
      </c>
      <c r="H36" s="156">
        <v>0.27</v>
      </c>
    </row>
    <row r="37" spans="3:8">
      <c r="C37" s="199">
        <v>2023</v>
      </c>
      <c r="D37" s="159">
        <v>4865.3599999999997</v>
      </c>
      <c r="E37" s="153">
        <v>0</v>
      </c>
      <c r="F37" s="153">
        <v>0</v>
      </c>
      <c r="G37" s="153">
        <v>14379</v>
      </c>
      <c r="H37" s="156">
        <v>0.27</v>
      </c>
    </row>
    <row r="38" spans="3:8">
      <c r="C38" s="199">
        <v>2022</v>
      </c>
      <c r="D38" s="159">
        <v>4896.53</v>
      </c>
      <c r="E38" s="153">
        <v>0</v>
      </c>
      <c r="F38" s="153">
        <v>0</v>
      </c>
      <c r="G38" s="153">
        <v>12728</v>
      </c>
      <c r="H38" s="156">
        <v>0.27</v>
      </c>
    </row>
    <row r="39" spans="3:8">
      <c r="C39" s="151"/>
      <c r="D39" s="151"/>
      <c r="E39" s="157"/>
      <c r="F39" s="155"/>
      <c r="G39" s="153"/>
      <c r="H39" s="151"/>
    </row>
    <row r="40" spans="3:8">
      <c r="C40" s="6" t="s">
        <v>252</v>
      </c>
      <c r="D40" s="151"/>
      <c r="E40" s="157"/>
      <c r="F40" s="151"/>
      <c r="G40" s="153"/>
      <c r="H40" s="151"/>
    </row>
    <row r="41" spans="3:8">
      <c r="C41" s="199">
        <v>2024</v>
      </c>
      <c r="D41" s="159">
        <v>0</v>
      </c>
      <c r="E41" s="153">
        <v>0</v>
      </c>
      <c r="F41" s="153">
        <v>0</v>
      </c>
      <c r="G41" s="153">
        <v>13104</v>
      </c>
      <c r="H41" s="156">
        <v>0.27</v>
      </c>
    </row>
    <row r="42" spans="3:8">
      <c r="C42" s="199">
        <v>2023</v>
      </c>
      <c r="D42" s="159">
        <v>0</v>
      </c>
      <c r="E42" s="153">
        <v>0</v>
      </c>
      <c r="F42" s="153">
        <v>0</v>
      </c>
      <c r="G42" s="153">
        <v>4883</v>
      </c>
      <c r="H42" s="156">
        <v>0.27</v>
      </c>
    </row>
    <row r="43" spans="3:8">
      <c r="C43" s="199">
        <v>2022</v>
      </c>
      <c r="D43" s="175">
        <v>15.34</v>
      </c>
      <c r="E43" s="153">
        <v>0</v>
      </c>
      <c r="F43" s="153">
        <v>0</v>
      </c>
      <c r="G43" s="153">
        <v>0</v>
      </c>
      <c r="H43" s="156">
        <v>0.27</v>
      </c>
    </row>
    <row r="44" spans="3:8">
      <c r="C44" s="152"/>
      <c r="D44" s="159"/>
      <c r="E44" s="154"/>
      <c r="F44" s="155"/>
      <c r="G44" s="153"/>
      <c r="H44" s="156"/>
    </row>
    <row r="45" spans="3:8">
      <c r="C45" s="158" t="s">
        <v>473</v>
      </c>
      <c r="D45" s="151"/>
      <c r="E45" s="157"/>
      <c r="F45" s="155"/>
      <c r="G45" s="153"/>
      <c r="H45" s="151"/>
    </row>
    <row r="46" spans="3:8">
      <c r="C46" s="199">
        <v>2024</v>
      </c>
      <c r="D46" s="160">
        <v>14340</v>
      </c>
      <c r="E46" s="153">
        <v>0</v>
      </c>
      <c r="F46" s="153">
        <v>0</v>
      </c>
      <c r="G46" s="153">
        <v>110328</v>
      </c>
      <c r="H46" s="156">
        <v>0.27</v>
      </c>
    </row>
    <row r="47" spans="3:8">
      <c r="C47" s="199">
        <v>2023</v>
      </c>
      <c r="D47" s="160">
        <v>13590</v>
      </c>
      <c r="E47" s="153">
        <v>0</v>
      </c>
      <c r="F47" s="153">
        <v>0</v>
      </c>
      <c r="G47" s="153">
        <v>104541</v>
      </c>
      <c r="H47" s="156">
        <v>0.27</v>
      </c>
    </row>
    <row r="48" spans="3:8">
      <c r="C48" s="199">
        <v>2022</v>
      </c>
      <c r="D48" s="160">
        <v>13150</v>
      </c>
      <c r="E48" s="153">
        <v>0</v>
      </c>
      <c r="F48" s="153">
        <v>0</v>
      </c>
      <c r="G48" s="153">
        <v>99330</v>
      </c>
      <c r="H48" s="156">
        <v>0.27</v>
      </c>
    </row>
    <row r="49" spans="3:8">
      <c r="C49" s="151"/>
      <c r="D49" s="151"/>
      <c r="E49" s="151"/>
      <c r="F49" s="151"/>
      <c r="G49" s="153"/>
      <c r="H49" s="151"/>
    </row>
    <row r="50" spans="3:8">
      <c r="C50" s="158"/>
      <c r="D50" s="151"/>
      <c r="E50" s="157"/>
      <c r="F50" s="155"/>
      <c r="G50" s="153"/>
      <c r="H50" s="151"/>
    </row>
    <row r="51" spans="3:8">
      <c r="C51" s="161"/>
      <c r="D51" s="151"/>
      <c r="E51" s="154"/>
      <c r="F51" s="155"/>
      <c r="G51" s="162"/>
      <c r="H51" s="156"/>
    </row>
    <row r="52" spans="3:8">
      <c r="C52" s="161"/>
      <c r="D52" s="151"/>
      <c r="E52" s="154"/>
      <c r="F52" s="155"/>
      <c r="G52" s="153"/>
      <c r="H52" s="156"/>
    </row>
    <row r="53" spans="3:8">
      <c r="C53" s="161"/>
      <c r="D53" s="151"/>
      <c r="E53" s="154"/>
      <c r="F53" s="155"/>
      <c r="G53" s="153"/>
      <c r="H53" s="156"/>
    </row>
    <row r="54" spans="3:8">
      <c r="C54" s="151"/>
      <c r="D54" s="151"/>
      <c r="E54" s="151"/>
      <c r="F54" s="151"/>
      <c r="G54" s="151"/>
      <c r="H54" s="151"/>
    </row>
    <row r="55" spans="3:8">
      <c r="C55" s="158"/>
      <c r="D55" s="151"/>
      <c r="E55" s="157"/>
      <c r="F55" s="155"/>
      <c r="G55" s="153"/>
      <c r="H55" s="151"/>
    </row>
    <row r="56" spans="3:8">
      <c r="C56" s="161"/>
      <c r="D56" s="163"/>
      <c r="E56" s="164"/>
      <c r="F56" s="155"/>
      <c r="G56" s="153"/>
      <c r="H56" s="156"/>
    </row>
    <row r="57" spans="3:8">
      <c r="C57" s="161"/>
      <c r="D57" s="163"/>
      <c r="E57" s="164"/>
      <c r="F57" s="155"/>
      <c r="G57" s="153"/>
      <c r="H57" s="156"/>
    </row>
    <row r="58" spans="3:8">
      <c r="C58" s="161"/>
      <c r="D58" s="163"/>
      <c r="E58" s="164"/>
      <c r="F58" s="155"/>
      <c r="G58" s="153"/>
      <c r="H58" s="156"/>
    </row>
    <row r="59" spans="3:8">
      <c r="C59" t="s">
        <v>487</v>
      </c>
    </row>
    <row r="60" spans="3:8">
      <c r="C60" t="s">
        <v>486</v>
      </c>
    </row>
    <row r="61" spans="3:8">
      <c r="C61" t="s">
        <v>488</v>
      </c>
    </row>
  </sheetData>
  <mergeCells count="2">
    <mergeCell ref="E17:G17"/>
    <mergeCell ref="E18:G18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102A-03C2-4AD1-859D-EBB48ABBEEA8}">
  <dimension ref="A1:X996"/>
  <sheetViews>
    <sheetView showGridLines="0" topLeftCell="M1" zoomScaleNormal="100" workbookViewId="0">
      <selection activeCell="S14" sqref="S14"/>
    </sheetView>
  </sheetViews>
  <sheetFormatPr defaultColWidth="14.453125" defaultRowHeight="15" customHeight="1"/>
  <cols>
    <col min="1" max="1" width="14.54296875" customWidth="1"/>
    <col min="2" max="12" width="12.54296875" customWidth="1"/>
    <col min="13" max="13" width="14.08984375" customWidth="1"/>
    <col min="14" max="14" width="17.90625" customWidth="1"/>
    <col min="15" max="15" width="17.54296875" customWidth="1"/>
    <col min="16" max="16" width="15.54296875" customWidth="1"/>
    <col min="17" max="26" width="8.6328125" customWidth="1"/>
  </cols>
  <sheetData>
    <row r="1" spans="1:24" ht="14.25" customHeight="1"/>
    <row r="2" spans="1:24" ht="14.25" customHeight="1">
      <c r="A2" s="23" t="s">
        <v>533</v>
      </c>
      <c r="C2" s="295" t="s">
        <v>145</v>
      </c>
      <c r="G2" t="s">
        <v>466</v>
      </c>
      <c r="H2">
        <f t="array" ref="H2">_xlfn.IFS($G$2=Output!$F$26,1,'Valuation '!$G$2=Output!$F$27,2,'Valuation '!$G$2=Output!$F$28,3)</f>
        <v>1</v>
      </c>
      <c r="W2" s="212" t="s">
        <v>466</v>
      </c>
      <c r="X2">
        <v>1</v>
      </c>
    </row>
    <row r="3" spans="1:24" ht="14.25" customHeight="1">
      <c r="W3" s="212" t="s">
        <v>532</v>
      </c>
      <c r="X3">
        <v>2</v>
      </c>
    </row>
    <row r="4" spans="1:24" ht="14.25" customHeight="1">
      <c r="B4" s="296"/>
      <c r="C4" s="419" t="s">
        <v>513</v>
      </c>
      <c r="D4" s="420"/>
      <c r="E4" s="419" t="s">
        <v>524</v>
      </c>
      <c r="F4" s="420"/>
      <c r="G4" s="421" t="s">
        <v>523</v>
      </c>
      <c r="H4" s="421" t="s">
        <v>522</v>
      </c>
      <c r="I4" s="421" t="s">
        <v>521</v>
      </c>
      <c r="J4" s="421" t="s">
        <v>520</v>
      </c>
      <c r="K4" s="421" t="s">
        <v>519</v>
      </c>
      <c r="L4" s="419" t="s">
        <v>518</v>
      </c>
      <c r="M4" s="420"/>
      <c r="N4" s="421" t="s">
        <v>517</v>
      </c>
      <c r="O4" s="419" t="s">
        <v>512</v>
      </c>
      <c r="P4" s="420"/>
      <c r="W4" s="212" t="s">
        <v>531</v>
      </c>
      <c r="X4">
        <v>3</v>
      </c>
    </row>
    <row r="5" spans="1:24" ht="14.25" customHeight="1">
      <c r="B5" s="296" t="s">
        <v>511</v>
      </c>
      <c r="C5" s="296" t="s">
        <v>510</v>
      </c>
      <c r="D5" s="296" t="s">
        <v>509</v>
      </c>
      <c r="E5" s="296" t="s">
        <v>510</v>
      </c>
      <c r="F5" s="296" t="s">
        <v>509</v>
      </c>
      <c r="G5" s="422"/>
      <c r="H5" s="422"/>
      <c r="I5" s="422"/>
      <c r="J5" s="422"/>
      <c r="K5" s="422"/>
      <c r="L5" s="296" t="s">
        <v>510</v>
      </c>
      <c r="M5" s="296" t="s">
        <v>509</v>
      </c>
      <c r="N5" s="422"/>
      <c r="O5" s="296" t="s">
        <v>510</v>
      </c>
      <c r="P5" s="296" t="s">
        <v>509</v>
      </c>
    </row>
    <row r="6" spans="1:24" ht="14.25" customHeight="1">
      <c r="C6" s="300">
        <v>0.1</v>
      </c>
      <c r="D6" s="300">
        <v>0.1</v>
      </c>
      <c r="G6" s="237"/>
      <c r="H6" s="237"/>
      <c r="I6" s="237"/>
      <c r="J6" s="237"/>
      <c r="K6" s="237"/>
      <c r="N6" s="237"/>
    </row>
    <row r="7" spans="1:24" ht="14.25" customHeight="1">
      <c r="A7" s="212" t="s">
        <v>530</v>
      </c>
      <c r="B7" s="301">
        <f>C62</f>
        <v>6921</v>
      </c>
      <c r="C7" s="302">
        <f ca="1">CHOOSE($H$2,Output!$H$26,Output!$H$27,Output!$H$28)*(1-'Valuation '!$C$6)</f>
        <v>28.306781551546688</v>
      </c>
      <c r="D7" s="302">
        <f ca="1">CHOOSE($H$2,Output!$H$26,Output!$H$27,Output!$H$28)*(1+'Valuation '!$C$6)</f>
        <v>34.597177451890396</v>
      </c>
      <c r="E7" s="299">
        <f ca="1">$B7*$C7</f>
        <v>195911.23511825464</v>
      </c>
      <c r="F7" s="299">
        <f ca="1">$B7*$D7</f>
        <v>239447.06514453344</v>
      </c>
      <c r="G7" s="303">
        <v>7.1</v>
      </c>
      <c r="H7" s="303">
        <f>1249.2+14312.2</f>
        <v>15561.400000000001</v>
      </c>
      <c r="I7" s="303">
        <v>0</v>
      </c>
      <c r="J7" s="303">
        <v>3671.4</v>
      </c>
      <c r="K7" s="303">
        <f>227.3+285.8+449.3</f>
        <v>962.40000000000009</v>
      </c>
      <c r="L7" s="65">
        <f ca="1">E7+J7+K7-H7-I7-G7</f>
        <v>184976.53511825463</v>
      </c>
      <c r="M7" s="65">
        <f ca="1">F7-H7-G7-I7+J7+K7</f>
        <v>228512.36514453343</v>
      </c>
      <c r="N7" s="304">
        <f>$C$45</f>
        <v>1142.9326077298979</v>
      </c>
      <c r="O7" s="234">
        <f ca="1">L7/N7</f>
        <v>161.84378139814956</v>
      </c>
      <c r="P7" s="234">
        <f ca="1">M7/N7</f>
        <v>199.93511743304495</v>
      </c>
    </row>
    <row r="8" spans="1:24" ht="14.25" customHeight="1">
      <c r="A8" s="212" t="s">
        <v>529</v>
      </c>
      <c r="B8" s="301">
        <f>D62</f>
        <v>6517</v>
      </c>
      <c r="C8" s="302">
        <f ca="1">CHOOSE($H$2,Output!$M$26,Output!$M$27,Output!$M$28)*(1-'Valuation '!$C$6)</f>
        <v>27.81897575496183</v>
      </c>
      <c r="D8" s="302">
        <f ca="1">CHOOSE($H$2,Output!$M$26,Output!$M$27,Output!$M$28)*(1+'Valuation '!$C$6)</f>
        <v>34.000970367175576</v>
      </c>
      <c r="E8" s="299">
        <f ca="1">$B8*$C8</f>
        <v>181296.26499508624</v>
      </c>
      <c r="F8" s="299">
        <f ca="1">$B8*$D8</f>
        <v>221584.32388288324</v>
      </c>
      <c r="G8" s="303">
        <f>G7</f>
        <v>7.1</v>
      </c>
      <c r="H8" s="303">
        <f>H7</f>
        <v>15561.400000000001</v>
      </c>
      <c r="I8" s="303">
        <v>0</v>
      </c>
      <c r="J8" s="303">
        <f>J7</f>
        <v>3671.4</v>
      </c>
      <c r="K8" s="303">
        <f>K7</f>
        <v>962.40000000000009</v>
      </c>
      <c r="L8" s="65">
        <f ca="1">E8+J8+K8-H8-I8-G8</f>
        <v>170361.56499508623</v>
      </c>
      <c r="M8" s="65">
        <f ca="1">F8-H8-G8-I8+J8+K8</f>
        <v>210649.62388288323</v>
      </c>
      <c r="N8" s="304">
        <f>$C$45</f>
        <v>1142.9326077298979</v>
      </c>
      <c r="O8" s="234">
        <f ca="1">L8/N8</f>
        <v>149.05652690534376</v>
      </c>
      <c r="P8" s="234">
        <f ca="1">M8/N8</f>
        <v>184.30625083072678</v>
      </c>
    </row>
    <row r="9" spans="1:24" ht="14.25" customHeight="1">
      <c r="A9" s="212" t="s">
        <v>528</v>
      </c>
      <c r="B9" s="301">
        <f>E62</f>
        <v>7593</v>
      </c>
      <c r="C9" s="302">
        <f ca="1">CHOOSE($H$2,Output!$R$26,Output!$R$27,Output!$R$28)*(1-'Valuation '!$C$6)</f>
        <v>23.725819166015626</v>
      </c>
      <c r="D9" s="302">
        <f ca="1">CHOOSE($H$2,Output!$R$26,Output!$R$27,Output!$R$28)*(1+'Valuation '!$C$6)</f>
        <v>28.99822342513021</v>
      </c>
      <c r="E9" s="299">
        <f ca="1">$B9*$C9</f>
        <v>180150.14492755666</v>
      </c>
      <c r="F9" s="299">
        <f ca="1">$B9*$D9</f>
        <v>220183.51046701369</v>
      </c>
      <c r="G9" s="303">
        <f>G7</f>
        <v>7.1</v>
      </c>
      <c r="H9" s="303">
        <f>H7</f>
        <v>15561.400000000001</v>
      </c>
      <c r="I9" s="303">
        <v>0</v>
      </c>
      <c r="J9" s="303">
        <f>J7</f>
        <v>3671.4</v>
      </c>
      <c r="K9" s="303">
        <f>K7</f>
        <v>962.40000000000009</v>
      </c>
      <c r="L9" s="65">
        <f ca="1">E9+J9+K9-H9-I9-G9</f>
        <v>169215.44492755664</v>
      </c>
      <c r="M9" s="65">
        <f ca="1">F9-H9-G9-I9+J9+K9</f>
        <v>209248.81046701368</v>
      </c>
      <c r="N9" s="304">
        <f>$C$45</f>
        <v>1142.9326077298979</v>
      </c>
      <c r="O9" s="234">
        <f ca="1">L9/N9</f>
        <v>148.05373806217128</v>
      </c>
      <c r="P9" s="234">
        <f ca="1">M9/N9</f>
        <v>183.08062002240482</v>
      </c>
    </row>
    <row r="10" spans="1:24" ht="14.25" customHeight="1" thickBot="1"/>
    <row r="11" spans="1:24" ht="14.25" customHeight="1" thickBot="1">
      <c r="L11" s="212" t="s">
        <v>506</v>
      </c>
      <c r="O11" s="305">
        <f ca="1">MEDIAN(O7:O9)</f>
        <v>149.05652690534376</v>
      </c>
      <c r="P11" s="305">
        <f ca="1">MEDIAN(P7:P9)</f>
        <v>184.30625083072678</v>
      </c>
    </row>
    <row r="12" spans="1:24" ht="14.25" customHeight="1"/>
    <row r="13" spans="1:24" ht="14.25" customHeight="1">
      <c r="B13" s="296"/>
      <c r="C13" s="419" t="s">
        <v>513</v>
      </c>
      <c r="D13" s="420"/>
      <c r="E13" s="419" t="s">
        <v>524</v>
      </c>
      <c r="F13" s="420"/>
      <c r="G13" s="421" t="s">
        <v>523</v>
      </c>
      <c r="H13" s="421" t="s">
        <v>522</v>
      </c>
      <c r="I13" s="421" t="s">
        <v>521</v>
      </c>
      <c r="J13" s="421" t="s">
        <v>520</v>
      </c>
      <c r="K13" s="421" t="s">
        <v>519</v>
      </c>
      <c r="L13" s="419" t="s">
        <v>518</v>
      </c>
      <c r="M13" s="420"/>
      <c r="N13" s="421" t="s">
        <v>517</v>
      </c>
      <c r="O13" s="419" t="s">
        <v>512</v>
      </c>
      <c r="P13" s="420"/>
    </row>
    <row r="14" spans="1:24" ht="14.25" customHeight="1">
      <c r="B14" s="296" t="s">
        <v>511</v>
      </c>
      <c r="C14" s="296" t="s">
        <v>510</v>
      </c>
      <c r="D14" s="296" t="s">
        <v>509</v>
      </c>
      <c r="E14" s="296" t="s">
        <v>510</v>
      </c>
      <c r="F14" s="296" t="s">
        <v>509</v>
      </c>
      <c r="G14" s="422"/>
      <c r="H14" s="422"/>
      <c r="I14" s="422"/>
      <c r="J14" s="422"/>
      <c r="K14" s="422"/>
      <c r="L14" s="296" t="s">
        <v>510</v>
      </c>
      <c r="M14" s="296" t="s">
        <v>509</v>
      </c>
      <c r="N14" s="422"/>
      <c r="O14" s="296" t="s">
        <v>510</v>
      </c>
      <c r="P14" s="296" t="s">
        <v>509</v>
      </c>
    </row>
    <row r="15" spans="1:24" ht="14.25" customHeight="1">
      <c r="C15" s="300">
        <v>0.1</v>
      </c>
      <c r="D15" s="300">
        <v>0.1</v>
      </c>
      <c r="G15" s="237"/>
      <c r="H15" s="237"/>
      <c r="I15" s="237"/>
      <c r="J15" s="237"/>
      <c r="K15" s="237"/>
      <c r="N15" s="237"/>
    </row>
    <row r="16" spans="1:24" ht="14.25" customHeight="1">
      <c r="A16" s="212" t="s">
        <v>527</v>
      </c>
      <c r="B16" s="301">
        <f>C63</f>
        <v>5409</v>
      </c>
      <c r="C16" s="302">
        <f ca="1">CHOOSE($H$2,Output!$I$26,Output!$I$27,Output!$I$28)*(1-'Valuation '!$C$15)</f>
        <v>32.793469751206707</v>
      </c>
      <c r="D16" s="302">
        <f ca="1">CHOOSE($H$2,Output!$I$26,Output!$I$27,Output!$I$28)*(1+'Valuation '!$C$15)</f>
        <v>40.080907473697089</v>
      </c>
      <c r="E16" s="299">
        <f ca="1">B16*C16</f>
        <v>177379.87788427708</v>
      </c>
      <c r="F16" s="299">
        <f ca="1">B16*D16</f>
        <v>216797.62852522754</v>
      </c>
      <c r="G16" s="303">
        <f>G7</f>
        <v>7.1</v>
      </c>
      <c r="H16" s="303">
        <f>H7</f>
        <v>15561.400000000001</v>
      </c>
      <c r="I16" s="303">
        <f>I7</f>
        <v>0</v>
      </c>
      <c r="J16" s="303">
        <f>J7</f>
        <v>3671.4</v>
      </c>
      <c r="K16" s="303">
        <f>K7</f>
        <v>962.40000000000009</v>
      </c>
      <c r="L16" s="65">
        <f ca="1">E16+J16+K16-H16-I16-G16</f>
        <v>166445.17788427707</v>
      </c>
      <c r="M16" s="65">
        <f ca="1">F16-H16-G16-I16+J16+K16</f>
        <v>205862.92852522753</v>
      </c>
      <c r="N16" s="304">
        <f>$C$45</f>
        <v>1142.9326077298979</v>
      </c>
      <c r="O16" s="234">
        <f ca="1">L16/N16</f>
        <v>145.62991444864966</v>
      </c>
      <c r="P16" s="234">
        <f ca="1">M16/N16</f>
        <v>180.1181689392117</v>
      </c>
    </row>
    <row r="17" spans="1:16" ht="14.25" customHeight="1">
      <c r="A17" s="212" t="s">
        <v>526</v>
      </c>
      <c r="B17" s="301">
        <f>D63</f>
        <v>4844</v>
      </c>
      <c r="C17" s="302">
        <f ca="1">CHOOSE($H$2,Output!$N$26,Output!$N$27,Output!$N$28)*(1-'Valuation '!$C$15)</f>
        <v>32.321825489135257</v>
      </c>
      <c r="D17" s="302">
        <f ca="1">CHOOSE($H$2,Output!$N$26,Output!$N$27,Output!$N$28)*(1+'Valuation '!$C$15)</f>
        <v>39.504453375609756</v>
      </c>
      <c r="E17" s="299">
        <f ca="1">B17*C17</f>
        <v>156566.92266937118</v>
      </c>
      <c r="F17" s="299">
        <f ca="1">B17*D17</f>
        <v>191359.57215145367</v>
      </c>
      <c r="G17" s="303">
        <f>G7</f>
        <v>7.1</v>
      </c>
      <c r="H17" s="303">
        <f>H7</f>
        <v>15561.400000000001</v>
      </c>
      <c r="I17" s="303">
        <f>I7</f>
        <v>0</v>
      </c>
      <c r="J17" s="303">
        <f>J8</f>
        <v>3671.4</v>
      </c>
      <c r="K17" s="303">
        <f>K7</f>
        <v>962.40000000000009</v>
      </c>
      <c r="L17" s="65">
        <f ca="1">E17+J17+K17-H17-I17-G17</f>
        <v>145632.22266937117</v>
      </c>
      <c r="M17" s="65">
        <f ca="1">F17-H17-G17-I17+J17+K17</f>
        <v>180424.87215145366</v>
      </c>
      <c r="N17" s="304">
        <f>N16</f>
        <v>1142.9326077298979</v>
      </c>
      <c r="O17" s="234">
        <f ca="1">L17/N17</f>
        <v>127.41978108282962</v>
      </c>
      <c r="P17" s="234">
        <f ca="1">M17/N17</f>
        <v>157.86133926987614</v>
      </c>
    </row>
    <row r="18" spans="1:16" ht="14.25" customHeight="1">
      <c r="A18" s="212" t="s">
        <v>525</v>
      </c>
      <c r="B18" s="301">
        <f>E63</f>
        <v>5885</v>
      </c>
      <c r="C18" s="302">
        <f ca="1">CHOOSE($H$2,Output!$S$26,Output!$S$27,Output!$S$28)*(1-'Valuation '!$C$15)</f>
        <v>27.175882355704697</v>
      </c>
      <c r="D18" s="302">
        <f ca="1">CHOOSE($H$2,Output!$S$26,Output!$S$27,Output!$S$28)*(1+'Valuation '!$C$15)</f>
        <v>33.21496732363908</v>
      </c>
      <c r="E18" s="299">
        <f ca="1">B18*C18</f>
        <v>159930.06766332214</v>
      </c>
      <c r="F18" s="299">
        <f ca="1">B18*D18</f>
        <v>195470.08269961597</v>
      </c>
      <c r="G18" s="303">
        <f>G7</f>
        <v>7.1</v>
      </c>
      <c r="H18" s="303">
        <f>H7</f>
        <v>15561.400000000001</v>
      </c>
      <c r="I18" s="303">
        <f>I7</f>
        <v>0</v>
      </c>
      <c r="J18" s="303">
        <f>J9</f>
        <v>3671.4</v>
      </c>
      <c r="K18" s="303">
        <f>K7</f>
        <v>962.40000000000009</v>
      </c>
      <c r="L18" s="65">
        <f ca="1">E18+J18+K18-H18-I18-G18</f>
        <v>148995.36766332213</v>
      </c>
      <c r="M18" s="65">
        <f ca="1">F18-H18-G18-I18+J18+K18</f>
        <v>184535.38269961596</v>
      </c>
      <c r="N18" s="304">
        <f>N17</f>
        <v>1142.9326077298979</v>
      </c>
      <c r="O18" s="234">
        <f ca="1">L18/N18</f>
        <v>130.36233865027086</v>
      </c>
      <c r="P18" s="234">
        <f ca="1">M18/N18</f>
        <v>161.457798518971</v>
      </c>
    </row>
    <row r="19" spans="1:16" ht="14.25" customHeight="1" thickBot="1"/>
    <row r="20" spans="1:16" ht="14.25" customHeight="1" thickBot="1">
      <c r="L20" s="212" t="s">
        <v>506</v>
      </c>
      <c r="O20" s="305">
        <f ca="1">MEDIAN(O16:O18)</f>
        <v>130.36233865027086</v>
      </c>
      <c r="P20" s="305">
        <f ca="1">MEDIAN(P16:P18)</f>
        <v>161.457798518971</v>
      </c>
    </row>
    <row r="21" spans="1:16" ht="14.25" customHeight="1"/>
    <row r="22" spans="1:16" ht="14.25" customHeight="1">
      <c r="B22" s="296"/>
      <c r="C22" s="419" t="s">
        <v>513</v>
      </c>
      <c r="D22" s="420"/>
      <c r="E22" s="419" t="s">
        <v>524</v>
      </c>
      <c r="F22" s="420"/>
      <c r="G22" s="421" t="s">
        <v>523</v>
      </c>
      <c r="H22" s="421" t="s">
        <v>522</v>
      </c>
      <c r="I22" s="421" t="s">
        <v>521</v>
      </c>
      <c r="J22" s="421" t="s">
        <v>520</v>
      </c>
      <c r="K22" s="421" t="s">
        <v>519</v>
      </c>
      <c r="L22" s="419" t="s">
        <v>518</v>
      </c>
      <c r="M22" s="420"/>
      <c r="N22" s="421" t="s">
        <v>517</v>
      </c>
      <c r="O22" s="419" t="s">
        <v>512</v>
      </c>
      <c r="P22" s="420"/>
    </row>
    <row r="23" spans="1:16" ht="14.25" customHeight="1">
      <c r="B23" s="296" t="s">
        <v>511</v>
      </c>
      <c r="C23" s="296" t="s">
        <v>510</v>
      </c>
      <c r="D23" s="296" t="s">
        <v>509</v>
      </c>
      <c r="E23" s="296" t="s">
        <v>510</v>
      </c>
      <c r="F23" s="296" t="s">
        <v>509</v>
      </c>
      <c r="G23" s="422"/>
      <c r="H23" s="422"/>
      <c r="I23" s="422"/>
      <c r="J23" s="422"/>
      <c r="K23" s="422"/>
      <c r="L23" s="296" t="s">
        <v>510</v>
      </c>
      <c r="M23" s="296" t="s">
        <v>509</v>
      </c>
      <c r="N23" s="422"/>
      <c r="O23" s="296" t="s">
        <v>510</v>
      </c>
      <c r="P23" s="296" t="s">
        <v>509</v>
      </c>
    </row>
    <row r="24" spans="1:16" ht="14.25" customHeight="1">
      <c r="C24" s="300">
        <v>0.1</v>
      </c>
      <c r="D24" s="300">
        <v>0.1</v>
      </c>
      <c r="G24" s="237"/>
      <c r="H24" s="237"/>
      <c r="I24" s="237"/>
      <c r="J24" s="237"/>
      <c r="K24" s="237"/>
      <c r="N24" s="237"/>
    </row>
    <row r="25" spans="1:16" ht="14.25" customHeight="1">
      <c r="A25" s="212" t="s">
        <v>516</v>
      </c>
      <c r="B25" s="301">
        <f>C61</f>
        <v>36176</v>
      </c>
      <c r="C25" s="302">
        <f ca="1">CHOOSE($H$2,Output!$G$26,Output!$G$27,Output!$G$28)*(1-'Valuation '!$C$24)</f>
        <v>6.1819971775446989</v>
      </c>
      <c r="D25" s="302">
        <f ca="1">CHOOSE($H$2,Output!$G$26,Output!$G$27,Output!$G$28)*(1+'Valuation '!$C$24)</f>
        <v>7.5557743281101875</v>
      </c>
      <c r="E25" s="306">
        <f ca="1">B25*C25</f>
        <v>223639.92989485702</v>
      </c>
      <c r="F25" s="306">
        <f ca="1">B25*D25</f>
        <v>273337.69209371414</v>
      </c>
      <c r="G25" s="303">
        <f>G7</f>
        <v>7.1</v>
      </c>
      <c r="H25" s="303">
        <f>H7</f>
        <v>15561.400000000001</v>
      </c>
      <c r="I25" s="303">
        <f>I7</f>
        <v>0</v>
      </c>
      <c r="J25" s="303">
        <f>J7</f>
        <v>3671.4</v>
      </c>
      <c r="K25" s="303">
        <f>K7</f>
        <v>962.40000000000009</v>
      </c>
      <c r="L25" s="65">
        <f ca="1">E25+J25+K25-H25-I25-G25</f>
        <v>212705.22989485701</v>
      </c>
      <c r="M25" s="65">
        <f ca="1">F25-H25-G25-I25+J25+K25</f>
        <v>262402.99209371413</v>
      </c>
      <c r="N25" s="304">
        <f>$C$45</f>
        <v>1142.9326077298979</v>
      </c>
      <c r="O25" s="234">
        <f ca="1">L25/N25</f>
        <v>186.10478733066674</v>
      </c>
      <c r="P25" s="234">
        <f ca="1">M25/N25</f>
        <v>229.58745801723262</v>
      </c>
    </row>
    <row r="26" spans="1:16" ht="14.25" customHeight="1">
      <c r="A26" s="212" t="s">
        <v>515</v>
      </c>
      <c r="B26" s="301">
        <f>D61</f>
        <v>37440</v>
      </c>
      <c r="C26" s="302">
        <f ca="1">CHOOSE($H$2,Output!$L$26,Output!$L$27,Output!$L$28)*(1-'Valuation '!$C$24)</f>
        <v>5.8584718973505723</v>
      </c>
      <c r="D26" s="302">
        <f ca="1">CHOOSE($H$2,Output!$L$26,Output!$L$27,Output!$L$28)*(1+'Valuation '!$C$24)</f>
        <v>7.1603545412062557</v>
      </c>
      <c r="E26" s="306">
        <f ca="1">B26*C26</f>
        <v>219341.18783680542</v>
      </c>
      <c r="F26" s="306">
        <f ca="1">B26*D26</f>
        <v>268083.67402276222</v>
      </c>
      <c r="G26" s="303">
        <f>G7</f>
        <v>7.1</v>
      </c>
      <c r="H26" s="303">
        <f>H7</f>
        <v>15561.400000000001</v>
      </c>
      <c r="I26" s="303">
        <f>I7</f>
        <v>0</v>
      </c>
      <c r="J26" s="303">
        <f>J7</f>
        <v>3671.4</v>
      </c>
      <c r="K26" s="303">
        <f>K7</f>
        <v>962.40000000000009</v>
      </c>
      <c r="L26" s="65">
        <f ca="1">E26+J26+K26-H26-I26-G26</f>
        <v>208406.48783680541</v>
      </c>
      <c r="M26" s="65">
        <f ca="1">F26-H26-G26-I26+J26+K26</f>
        <v>257148.97402276221</v>
      </c>
      <c r="N26" s="304">
        <f>$C$45</f>
        <v>1142.9326077298979</v>
      </c>
      <c r="O26" s="234">
        <f ca="1">L26/N26</f>
        <v>182.34363638530192</v>
      </c>
      <c r="P26" s="234">
        <f ca="1">M26/N26</f>
        <v>224.99049575067562</v>
      </c>
    </row>
    <row r="27" spans="1:16" ht="14.25" customHeight="1">
      <c r="A27" s="212" t="s">
        <v>514</v>
      </c>
      <c r="B27" s="301">
        <f>E61</f>
        <v>40037</v>
      </c>
      <c r="C27" s="302">
        <f ca="1">CHOOSE($H$2,Output!$Q$26,Output!$Q$27,Output!$Q$28)*(1-'Valuation '!$C$24)</f>
        <v>5.5193329789308585</v>
      </c>
      <c r="D27" s="302">
        <f ca="1">CHOOSE($H$2,Output!$Q$26,Output!$Q$27,Output!$Q$28)*(1+'Valuation '!$C$24)</f>
        <v>6.7458514186932712</v>
      </c>
      <c r="E27" s="306">
        <f ca="1">B27*C27</f>
        <v>220977.53447745478</v>
      </c>
      <c r="F27" s="306">
        <f ca="1">B27*D27</f>
        <v>270083.6532502225</v>
      </c>
      <c r="G27" s="303">
        <f>G7</f>
        <v>7.1</v>
      </c>
      <c r="H27" s="303">
        <f>H7</f>
        <v>15561.400000000001</v>
      </c>
      <c r="I27" s="303">
        <f>I7</f>
        <v>0</v>
      </c>
      <c r="J27" s="303">
        <f>J7</f>
        <v>3671.4</v>
      </c>
      <c r="K27" s="303">
        <f>K7</f>
        <v>962.40000000000009</v>
      </c>
      <c r="L27" s="65">
        <f ca="1">E27+J27+K27-H27-I27-G27</f>
        <v>210042.83447745477</v>
      </c>
      <c r="M27" s="65">
        <f ca="1">F27-H27-G27-I27+J27+K27</f>
        <v>259148.95325022249</v>
      </c>
      <c r="N27" s="304">
        <f>$C$45</f>
        <v>1142.9326077298979</v>
      </c>
      <c r="O27" s="234">
        <f ca="1">L27/N27</f>
        <v>183.77534515761482</v>
      </c>
      <c r="P27" s="234">
        <f ca="1">M27/N27</f>
        <v>226.74036202794693</v>
      </c>
    </row>
    <row r="28" spans="1:16" ht="14.25" customHeight="1" thickBot="1"/>
    <row r="29" spans="1:16" ht="14.25" customHeight="1" thickBot="1">
      <c r="L29" s="212" t="s">
        <v>506</v>
      </c>
      <c r="O29" s="305">
        <f ca="1">MEDIAN(O25:O27)</f>
        <v>183.77534515761482</v>
      </c>
      <c r="P29" s="305">
        <f ca="1">MEDIAN(P25:P27)</f>
        <v>226.74036202794693</v>
      </c>
    </row>
    <row r="30" spans="1:16" ht="14.25" customHeight="1"/>
    <row r="31" spans="1:16" ht="14.25" customHeight="1">
      <c r="B31" s="296"/>
      <c r="C31" s="419" t="s">
        <v>513</v>
      </c>
      <c r="D31" s="420"/>
      <c r="E31" s="426"/>
      <c r="F31" s="427"/>
      <c r="G31" s="428"/>
      <c r="H31" s="428"/>
      <c r="I31" s="428"/>
      <c r="J31" s="428"/>
      <c r="K31" s="428"/>
      <c r="L31" s="426"/>
      <c r="M31" s="427"/>
      <c r="N31" s="428"/>
      <c r="O31" s="419" t="s">
        <v>512</v>
      </c>
      <c r="P31" s="420"/>
    </row>
    <row r="32" spans="1:16" ht="14.25" customHeight="1">
      <c r="B32" s="296" t="s">
        <v>511</v>
      </c>
      <c r="C32" s="296" t="s">
        <v>510</v>
      </c>
      <c r="D32" s="296" t="s">
        <v>509</v>
      </c>
      <c r="G32" s="427"/>
      <c r="H32" s="427"/>
      <c r="I32" s="427"/>
      <c r="J32" s="427"/>
      <c r="K32" s="427"/>
      <c r="N32" s="427"/>
      <c r="O32" s="296" t="s">
        <v>510</v>
      </c>
      <c r="P32" s="296" t="s">
        <v>509</v>
      </c>
    </row>
    <row r="33" spans="1:16" ht="14.25" customHeight="1">
      <c r="C33" s="300">
        <v>0.1</v>
      </c>
      <c r="D33" s="300">
        <v>0.1</v>
      </c>
      <c r="G33" s="237"/>
      <c r="H33" s="237"/>
      <c r="I33" s="237"/>
      <c r="J33" s="237"/>
      <c r="K33" s="237"/>
      <c r="N33" s="237"/>
    </row>
    <row r="34" spans="1:16" ht="14.25" customHeight="1">
      <c r="A34" s="212" t="s">
        <v>508</v>
      </c>
      <c r="B34" s="307">
        <v>2.88</v>
      </c>
      <c r="C34" s="302">
        <f ca="1">CHOOSE($H$2,Output!$O$26,Output!$O$27,Output!$O$28)*(1-'Valuation '!$C$33)</f>
        <v>40.206416395869184</v>
      </c>
      <c r="D34" s="302">
        <f ca="1">CHOOSE($H$2,Output!$O$26,Output!$O$27,Output!$O$28)*(1+'Valuation '!$C$33)</f>
        <v>49.141175594951228</v>
      </c>
      <c r="E34" s="65"/>
      <c r="F34" s="65"/>
      <c r="G34" s="236"/>
      <c r="H34" s="236"/>
      <c r="I34" s="236"/>
      <c r="J34" s="236"/>
      <c r="K34" s="236"/>
      <c r="L34" s="65"/>
      <c r="M34" s="65"/>
      <c r="N34" s="235"/>
      <c r="O34" s="234">
        <f ca="1">$B34*C34</f>
        <v>115.79447922010324</v>
      </c>
      <c r="P34" s="234">
        <f ca="1">$B34*D34</f>
        <v>141.52658571345953</v>
      </c>
    </row>
    <row r="35" spans="1:16" ht="14.25" customHeight="1">
      <c r="A35" s="212" t="s">
        <v>507</v>
      </c>
      <c r="B35" s="307">
        <v>3.1</v>
      </c>
      <c r="C35" s="302">
        <f ca="1">CHOOSE($H$2,Output!$T$26,Output!$T$27,Output!$T$28)*(1-'Valuation '!$C$33)</f>
        <v>33.757121280346816</v>
      </c>
      <c r="D35" s="302">
        <f ca="1">CHOOSE($H$2,Output!$T$26,Output!$T$27,Output!$T$28)*(1+'Valuation '!$C$33)</f>
        <v>41.258703787090553</v>
      </c>
      <c r="E35" s="65"/>
      <c r="F35" s="65"/>
      <c r="G35" s="236"/>
      <c r="H35" s="236"/>
      <c r="I35" s="236"/>
      <c r="J35" s="236"/>
      <c r="K35" s="236"/>
      <c r="L35" s="65"/>
      <c r="M35" s="65"/>
      <c r="N35" s="235"/>
      <c r="O35" s="234">
        <f ca="1">$B35*C35</f>
        <v>104.64707596907513</v>
      </c>
      <c r="P35" s="234">
        <f ca="1">$B35*D35</f>
        <v>127.90198173998071</v>
      </c>
    </row>
    <row r="36" spans="1:16" ht="14.25" customHeight="1" thickBot="1"/>
    <row r="37" spans="1:16" ht="14.25" customHeight="1" thickBot="1">
      <c r="L37" s="212" t="s">
        <v>506</v>
      </c>
      <c r="O37" s="305">
        <f ca="1">MEDIAN(O34:O35)</f>
        <v>110.22077759458918</v>
      </c>
      <c r="P37" s="305">
        <f ca="1">MEDIAN(P34:P35)</f>
        <v>134.71428372672011</v>
      </c>
    </row>
    <row r="38" spans="1:16" ht="14.25" customHeight="1">
      <c r="O38" s="234"/>
      <c r="P38" s="234"/>
    </row>
    <row r="39" spans="1:16" ht="14.25" customHeight="1">
      <c r="O39" s="234"/>
      <c r="P39" s="234"/>
    </row>
    <row r="40" spans="1:16" ht="14.25" customHeight="1">
      <c r="N40" s="234"/>
      <c r="O40" s="234"/>
      <c r="P40" s="234"/>
    </row>
    <row r="41" spans="1:16" ht="14.25" customHeight="1"/>
    <row r="42" spans="1:16" ht="14.25" customHeight="1">
      <c r="A42" s="233" t="s">
        <v>505</v>
      </c>
      <c r="B42" s="233"/>
      <c r="C42" s="233"/>
    </row>
    <row r="43" spans="1:16" ht="14.25" customHeight="1"/>
    <row r="44" spans="1:16" ht="14.25" customHeight="1">
      <c r="A44" s="212" t="s">
        <v>504</v>
      </c>
      <c r="C44" s="314">
        <v>1133.8</v>
      </c>
    </row>
    <row r="45" spans="1:16" ht="14.25" customHeight="1">
      <c r="A45" s="212" t="s">
        <v>503</v>
      </c>
      <c r="C45" s="308">
        <f>C44+H54</f>
        <v>1142.9326077298979</v>
      </c>
    </row>
    <row r="46" spans="1:16" ht="14.25" customHeight="1"/>
    <row r="47" spans="1:16" ht="14.25" customHeight="1"/>
    <row r="48" spans="1:16" ht="14.25" customHeight="1" thickBot="1">
      <c r="A48" s="212" t="s">
        <v>502</v>
      </c>
      <c r="C48" s="315">
        <v>112.55</v>
      </c>
    </row>
    <row r="49" spans="1:10" ht="14.25" customHeight="1" thickBot="1">
      <c r="A49" s="423" t="s">
        <v>501</v>
      </c>
      <c r="B49" s="424"/>
      <c r="C49" s="424"/>
      <c r="D49" s="424"/>
      <c r="E49" s="424"/>
      <c r="F49" s="424"/>
      <c r="G49" s="424"/>
      <c r="H49" s="425"/>
    </row>
    <row r="50" spans="1:10" ht="14.25" customHeight="1">
      <c r="A50" s="232"/>
      <c r="B50" s="231"/>
      <c r="C50" s="231" t="s">
        <v>500</v>
      </c>
      <c r="D50" s="230"/>
      <c r="E50" s="229" t="s">
        <v>499</v>
      </c>
      <c r="F50" s="229"/>
      <c r="G50" s="229"/>
      <c r="H50" s="228" t="s">
        <v>498</v>
      </c>
    </row>
    <row r="51" spans="1:10" ht="14.25" customHeight="1" thickBot="1">
      <c r="A51" s="224"/>
      <c r="B51" s="227" t="s">
        <v>497</v>
      </c>
      <c r="C51" s="227" t="s">
        <v>142</v>
      </c>
      <c r="D51" s="227" t="s">
        <v>496</v>
      </c>
      <c r="E51" s="227" t="s">
        <v>495</v>
      </c>
      <c r="F51" s="227" t="s">
        <v>437</v>
      </c>
      <c r="G51" s="223" t="s">
        <v>494</v>
      </c>
      <c r="H51" s="226" t="s">
        <v>493</v>
      </c>
    </row>
    <row r="52" spans="1:10" ht="14.25" customHeight="1">
      <c r="A52" s="225"/>
      <c r="B52" s="313">
        <v>0.9</v>
      </c>
      <c r="C52" s="311">
        <v>58.45</v>
      </c>
      <c r="D52" s="310" t="str">
        <f>IF(C52&lt;$C$48,"Yes","No")</f>
        <v>Yes</v>
      </c>
      <c r="E52" s="311">
        <f>IF(D52="Yes",B52,0)</f>
        <v>0.9</v>
      </c>
      <c r="F52" s="299">
        <f>E52*C52</f>
        <v>52.605000000000004</v>
      </c>
      <c r="G52" s="311">
        <f>F52/$C$48</f>
        <v>0.46739227010217688</v>
      </c>
      <c r="H52" s="312">
        <f>E52-G52</f>
        <v>0.43260772989782315</v>
      </c>
      <c r="I52" s="35">
        <f>B52*(1-C52/C48)</f>
        <v>0.43260772989782315</v>
      </c>
      <c r="J52" t="b">
        <f>H52=I52</f>
        <v>1</v>
      </c>
    </row>
    <row r="53" spans="1:10" ht="14.25" customHeight="1">
      <c r="A53" s="225"/>
      <c r="B53" s="313">
        <v>8.6999999999999993</v>
      </c>
      <c r="C53" s="311">
        <v>0</v>
      </c>
      <c r="D53" s="310" t="str">
        <f>IF(C53&lt;$C$48,"Yes","No")</f>
        <v>Yes</v>
      </c>
      <c r="E53" s="311">
        <f>IF(D53="Yes",B53,0)</f>
        <v>8.6999999999999993</v>
      </c>
      <c r="F53" s="299">
        <f>E53*C53</f>
        <v>0</v>
      </c>
      <c r="G53" s="311">
        <f>F53/$C$48</f>
        <v>0</v>
      </c>
      <c r="H53" s="312">
        <f>E53-G53</f>
        <v>8.6999999999999993</v>
      </c>
    </row>
    <row r="54" spans="1:10" ht="14.25" customHeight="1" thickBot="1">
      <c r="A54" s="224"/>
      <c r="B54" s="223"/>
      <c r="C54" s="223"/>
      <c r="D54" s="223"/>
      <c r="E54" s="223"/>
      <c r="F54" s="223"/>
      <c r="G54" s="223"/>
      <c r="H54" s="309">
        <f>SUM(H52:H53)</f>
        <v>9.1326077298978223</v>
      </c>
    </row>
    <row r="55" spans="1:10" ht="14.25" customHeight="1"/>
    <row r="56" spans="1:10" ht="14.25" customHeight="1"/>
    <row r="57" spans="1:10" ht="14.25" customHeight="1"/>
    <row r="58" spans="1:10" ht="14.25" customHeight="1"/>
    <row r="59" spans="1:10" ht="14.25" customHeight="1"/>
    <row r="60" spans="1:10" ht="14.25" customHeight="1">
      <c r="A60" s="297" t="s">
        <v>145</v>
      </c>
      <c r="B60" s="298"/>
      <c r="C60" s="298">
        <v>2024</v>
      </c>
      <c r="D60" s="298">
        <v>2025</v>
      </c>
      <c r="E60" s="298">
        <v>2026</v>
      </c>
      <c r="F60" s="222"/>
      <c r="G60" s="221"/>
    </row>
    <row r="61" spans="1:10" ht="14.25" customHeight="1">
      <c r="A61" s="219" t="s">
        <v>492</v>
      </c>
      <c r="B61" s="29"/>
      <c r="C61" s="29">
        <v>36176</v>
      </c>
      <c r="D61" s="29">
        <v>37440</v>
      </c>
      <c r="E61" s="29">
        <v>40037</v>
      </c>
      <c r="G61" s="220"/>
    </row>
    <row r="62" spans="1:10" ht="14.25" customHeight="1">
      <c r="A62" s="219" t="s">
        <v>491</v>
      </c>
      <c r="B62" s="29"/>
      <c r="C62" s="29">
        <v>6921</v>
      </c>
      <c r="D62" s="29">
        <v>6517</v>
      </c>
      <c r="E62" s="29">
        <v>7593</v>
      </c>
      <c r="G62" s="218"/>
    </row>
    <row r="63" spans="1:10" ht="14.25" customHeight="1">
      <c r="A63" s="217" t="s">
        <v>105</v>
      </c>
      <c r="B63" s="216"/>
      <c r="C63" s="216">
        <v>5409</v>
      </c>
      <c r="D63" s="216">
        <v>4844</v>
      </c>
      <c r="E63" s="216">
        <v>5885</v>
      </c>
      <c r="F63" s="215"/>
      <c r="G63" s="214"/>
    </row>
    <row r="64" spans="1:10" ht="14.25" customHeight="1">
      <c r="A64" s="213" t="s">
        <v>490</v>
      </c>
      <c r="F64" s="212"/>
    </row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</sheetData>
  <mergeCells count="41">
    <mergeCell ref="A49:H49"/>
    <mergeCell ref="L31:M31"/>
    <mergeCell ref="N31:N32"/>
    <mergeCell ref="O31:P31"/>
    <mergeCell ref="C31:D31"/>
    <mergeCell ref="E31:F31"/>
    <mergeCell ref="G31:G32"/>
    <mergeCell ref="H31:H32"/>
    <mergeCell ref="I31:I32"/>
    <mergeCell ref="J31:J32"/>
    <mergeCell ref="K31:K32"/>
    <mergeCell ref="C22:D22"/>
    <mergeCell ref="E22:F22"/>
    <mergeCell ref="G22:G23"/>
    <mergeCell ref="H22:H23"/>
    <mergeCell ref="I22:I23"/>
    <mergeCell ref="C13:D13"/>
    <mergeCell ref="E13:F13"/>
    <mergeCell ref="G13:G14"/>
    <mergeCell ref="H13:H14"/>
    <mergeCell ref="I13:I14"/>
    <mergeCell ref="J4:J5"/>
    <mergeCell ref="K22:K23"/>
    <mergeCell ref="L13:M13"/>
    <mergeCell ref="N13:N14"/>
    <mergeCell ref="O13:P13"/>
    <mergeCell ref="J13:J14"/>
    <mergeCell ref="K4:K5"/>
    <mergeCell ref="K13:K14"/>
    <mergeCell ref="L4:M4"/>
    <mergeCell ref="N4:N5"/>
    <mergeCell ref="O4:P4"/>
    <mergeCell ref="L22:M22"/>
    <mergeCell ref="N22:N23"/>
    <mergeCell ref="O22:P22"/>
    <mergeCell ref="J22:J23"/>
    <mergeCell ref="C4:D4"/>
    <mergeCell ref="E4:F4"/>
    <mergeCell ref="G4:G5"/>
    <mergeCell ref="H4:H5"/>
    <mergeCell ref="I4:I5"/>
  </mergeCells>
  <dataValidations count="1">
    <dataValidation type="list" allowBlank="1" showInputMessage="1" showErrorMessage="1" sqref="G2" xr:uid="{2DCC3829-22AE-4AD1-8CD1-29DAFC4435A7}">
      <formula1>$W$2:$W$4</formula1>
    </dataValidation>
  </dataValidations>
  <pageMargins left="0.7" right="0.7" top="0.75" bottom="0.75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9A2B-479C-4E09-879D-F2BEF896EC1E}">
  <dimension ref="A1:U1001"/>
  <sheetViews>
    <sheetView showGridLines="0" zoomScale="90" zoomScaleNormal="90" workbookViewId="0">
      <pane xSplit="1" ySplit="14" topLeftCell="B15" activePane="bottomRight" state="frozen"/>
      <selection pane="topRight" activeCell="B1" sqref="B1"/>
      <selection pane="bottomLeft" activeCell="A14" sqref="A14"/>
      <selection pane="bottomRight" activeCell="H6" sqref="H6"/>
    </sheetView>
  </sheetViews>
  <sheetFormatPr defaultColWidth="14.453125" defaultRowHeight="15" customHeight="1"/>
  <cols>
    <col min="1" max="1" width="31.7265625" customWidth="1"/>
    <col min="2" max="4" width="8.6328125" customWidth="1"/>
    <col min="5" max="5" width="9.90625" customWidth="1"/>
    <col min="6" max="6" width="15" customWidth="1"/>
    <col min="7" max="7" width="8.6328125" customWidth="1"/>
    <col min="8" max="8" width="9.90625" bestFit="1" customWidth="1"/>
    <col min="9" max="10" width="8.6328125" customWidth="1"/>
    <col min="11" max="11" width="1.90625" customWidth="1"/>
    <col min="12" max="12" width="8.6328125" customWidth="1"/>
    <col min="13" max="13" width="10.453125" customWidth="1"/>
    <col min="14" max="15" width="8.6328125" customWidth="1"/>
    <col min="16" max="16" width="1.90625" customWidth="1"/>
    <col min="17" max="17" width="8.6328125" customWidth="1"/>
    <col min="18" max="18" width="10.453125" customWidth="1"/>
    <col min="19" max="26" width="8.6328125" customWidth="1"/>
  </cols>
  <sheetData>
    <row r="1" spans="1:21" ht="15" customHeight="1">
      <c r="A1" s="76" t="s">
        <v>19</v>
      </c>
    </row>
    <row r="2" spans="1:21" ht="25.5" customHeight="1">
      <c r="A2" s="255" t="s">
        <v>576</v>
      </c>
    </row>
    <row r="3" spans="1:21" ht="14.25" customHeight="1">
      <c r="A3" s="75" t="s">
        <v>575</v>
      </c>
    </row>
    <row r="4" spans="1:21" ht="0.75" customHeight="1"/>
    <row r="5" spans="1:21" ht="0.75" customHeight="1"/>
    <row r="6" spans="1:21" ht="14.25" customHeight="1"/>
    <row r="7" spans="1:21" ht="14.25" customHeight="1">
      <c r="A7" s="212" t="s">
        <v>574</v>
      </c>
      <c r="C7" s="195" t="s">
        <v>685</v>
      </c>
      <c r="D7" s="195"/>
    </row>
    <row r="8" spans="1:21" ht="14.25" customHeight="1">
      <c r="A8" s="212" t="s">
        <v>573</v>
      </c>
      <c r="C8" s="195" t="s">
        <v>572</v>
      </c>
      <c r="D8" s="195"/>
    </row>
    <row r="9" spans="1:21" ht="14.25" customHeight="1">
      <c r="A9" s="212" t="s">
        <v>571</v>
      </c>
      <c r="C9" s="195" t="s">
        <v>570</v>
      </c>
      <c r="D9" s="195"/>
    </row>
    <row r="10" spans="1:21" ht="0.75" customHeight="1"/>
    <row r="11" spans="1:21" ht="0.75" customHeight="1"/>
    <row r="12" spans="1:21" ht="14.25" customHeight="1">
      <c r="B12" s="254" t="s">
        <v>569</v>
      </c>
      <c r="C12" s="254"/>
      <c r="D12" s="254" t="s">
        <v>568</v>
      </c>
      <c r="E12" s="254" t="s">
        <v>567</v>
      </c>
      <c r="F12" s="254" t="s">
        <v>566</v>
      </c>
      <c r="G12" s="254" t="s">
        <v>565</v>
      </c>
      <c r="H12" s="254" t="s">
        <v>564</v>
      </c>
      <c r="I12" s="254" t="s">
        <v>563</v>
      </c>
      <c r="J12" s="254" t="s">
        <v>562</v>
      </c>
      <c r="K12" s="254"/>
      <c r="L12" s="254" t="s">
        <v>561</v>
      </c>
      <c r="M12" s="254" t="s">
        <v>560</v>
      </c>
      <c r="N12" s="254" t="s">
        <v>559</v>
      </c>
      <c r="O12" s="254" t="s">
        <v>558</v>
      </c>
      <c r="Q12" s="212" t="s">
        <v>557</v>
      </c>
      <c r="R12" s="254" t="s">
        <v>556</v>
      </c>
      <c r="S12" s="254" t="s">
        <v>555</v>
      </c>
      <c r="T12" s="254" t="s">
        <v>554</v>
      </c>
      <c r="U12" s="254" t="s">
        <v>553</v>
      </c>
    </row>
    <row r="13" spans="1:21" ht="14.25" customHeight="1">
      <c r="A13" s="316"/>
      <c r="B13" s="429" t="s">
        <v>552</v>
      </c>
      <c r="C13" s="429" t="s">
        <v>551</v>
      </c>
      <c r="D13" s="316"/>
      <c r="E13" s="316"/>
      <c r="F13" s="316"/>
      <c r="G13" s="431" t="s">
        <v>550</v>
      </c>
      <c r="H13" s="432"/>
      <c r="I13" s="432"/>
      <c r="J13" s="432"/>
      <c r="K13" s="78"/>
      <c r="L13" s="431" t="s">
        <v>549</v>
      </c>
      <c r="M13" s="432"/>
      <c r="N13" s="432"/>
      <c r="O13" s="432"/>
      <c r="P13" s="317"/>
      <c r="Q13" s="433" t="s">
        <v>548</v>
      </c>
      <c r="R13" s="432"/>
      <c r="S13" s="432"/>
      <c r="T13" s="432"/>
      <c r="U13" s="318"/>
    </row>
    <row r="14" spans="1:21" ht="14.25" customHeight="1">
      <c r="A14" s="319" t="s">
        <v>547</v>
      </c>
      <c r="B14" s="430"/>
      <c r="C14" s="430"/>
      <c r="D14" s="320" t="s">
        <v>440</v>
      </c>
      <c r="E14" s="320" t="s">
        <v>546</v>
      </c>
      <c r="F14" s="320" t="s">
        <v>545</v>
      </c>
      <c r="G14" s="320" t="s">
        <v>544</v>
      </c>
      <c r="H14" s="320" t="s">
        <v>543</v>
      </c>
      <c r="I14" s="320" t="s">
        <v>542</v>
      </c>
      <c r="J14" s="320" t="s">
        <v>541</v>
      </c>
      <c r="K14" s="317"/>
      <c r="L14" s="320" t="s">
        <v>544</v>
      </c>
      <c r="M14" s="320" t="s">
        <v>543</v>
      </c>
      <c r="N14" s="320" t="s">
        <v>542</v>
      </c>
      <c r="O14" s="320" t="s">
        <v>541</v>
      </c>
      <c r="P14" s="317"/>
      <c r="Q14" s="320" t="s">
        <v>544</v>
      </c>
      <c r="R14" s="320" t="s">
        <v>543</v>
      </c>
      <c r="S14" s="320" t="s">
        <v>542</v>
      </c>
      <c r="T14" s="320" t="s">
        <v>541</v>
      </c>
      <c r="U14" s="316" t="s">
        <v>540</v>
      </c>
    </row>
    <row r="15" spans="1:21" ht="14.25" customHeight="1">
      <c r="A15" s="212" t="s">
        <v>539</v>
      </c>
      <c r="B15" t="s">
        <v>570</v>
      </c>
      <c r="C15" s="207">
        <v>1</v>
      </c>
      <c r="D15" s="246">
        <f t="array" aca="1" ref="D15" ca="1">INDIRECT($A15&amp;"!"&amp;D$12)</f>
        <v>57.08</v>
      </c>
      <c r="E15" s="246">
        <f t="array" aca="1" ref="E15" ca="1">INDIRECT($A15&amp;"!"&amp;E$12)*$C15</f>
        <v>77866.426419999989</v>
      </c>
      <c r="F15" s="246">
        <f t="array" aca="1" ref="F15" ca="1">INDIRECT($A15&amp;"!"&amp;F$12)*$C15</f>
        <v>80984.129419999997</v>
      </c>
      <c r="G15" s="253">
        <f t="array" aca="1" ref="G15" ca="1">$F15/(INDIRECT($A15&amp;"!"&amp;G$12)*$C15)</f>
        <v>6.5167532628575984</v>
      </c>
      <c r="H15" s="253">
        <f t="array" aca="1" ref="H15" ca="1">$F15/(INDIRECT($A15&amp;"!"&amp;H$12)*$C15)</f>
        <v>31.45197950171854</v>
      </c>
      <c r="I15" s="253">
        <f t="array" aca="1" ref="I15" ca="1">$F15/(INDIRECT($A15&amp;"!"&amp;I$12)*$C15)</f>
        <v>36.437188612451898</v>
      </c>
      <c r="J15" s="253">
        <f t="array" aca="1" ref="J15" ca="1">$E15/(INDIRECT($A15&amp;"!"&amp;J$12)*$C15)</f>
        <v>43.50553631261505</v>
      </c>
      <c r="K15" s="251"/>
      <c r="L15" s="253">
        <f t="array" aca="1" ref="L15" ca="1">$F15/(INDIRECT($A15&amp;"!"&amp;L$12)*$C15)</f>
        <v>6.3933156564300937</v>
      </c>
      <c r="M15" s="253">
        <f t="array" aca="1" ref="M15" ca="1">$F15/(INDIRECT($A15&amp;"!"&amp;M$12)*$C15)</f>
        <v>30.909973061068701</v>
      </c>
      <c r="N15" s="253">
        <f t="array" aca="1" ref="N15" ca="1">$F15/(INDIRECT($A15&amp;"!"&amp;N$12)*$C15)</f>
        <v>35.913139432372503</v>
      </c>
      <c r="O15" s="253">
        <f t="array" aca="1" ref="O15" ca="1">$E15/(INDIRECT($A15&amp;"!"&amp;O$12)*$C15)</f>
        <v>44.673795995410202</v>
      </c>
      <c r="P15" s="251"/>
      <c r="Q15" s="251">
        <f t="array" aca="1" ref="Q15" ca="1">$F15/(INDIRECT($A15&amp;"!"&amp;Q$12)*$C15)</f>
        <v>5.6419206785564997</v>
      </c>
      <c r="R15" s="251">
        <f t="array" aca="1" ref="R15" ca="1">$F15/(INDIRECT($A15&amp;"!"&amp;R$12)*$C15)</f>
        <v>26.362021295572916</v>
      </c>
      <c r="S15" s="251">
        <f t="array" aca="1" ref="S15" ca="1">$F15/(INDIRECT($A15&amp;"!"&amp;S$12)*$C15)</f>
        <v>30.195424839671887</v>
      </c>
      <c r="T15" s="251">
        <f t="array" aca="1" ref="T15" ca="1">$E15/(INDIRECT($A15&amp;"!"&amp;T$12)*$C15)</f>
        <v>37.507912533718681</v>
      </c>
      <c r="U15" s="250">
        <f t="array" aca="1" ref="U15" ca="1">INDIRECT($A15&amp;"!"&amp;U$12)</f>
        <v>0</v>
      </c>
    </row>
    <row r="16" spans="1:21" ht="14.25" customHeight="1">
      <c r="A16" s="212" t="s">
        <v>538</v>
      </c>
      <c r="B16" t="s">
        <v>570</v>
      </c>
      <c r="C16" s="207">
        <v>1</v>
      </c>
      <c r="D16" s="246">
        <f t="array" aca="1" ref="D16" ca="1">INDIRECT($A16&amp;"!"&amp;D$12)</f>
        <v>147.91</v>
      </c>
      <c r="E16" s="246">
        <f t="array" aca="1" ref="E16" ca="1">INDIRECT($A16&amp;"!"&amp;E$12)*$C16</f>
        <v>41655.944753759999</v>
      </c>
      <c r="F16" s="246">
        <f t="array" aca="1" ref="F16" ca="1">INDIRECT($A16&amp;"!"&amp;F$12)*$C16</f>
        <v>52862.944753759999</v>
      </c>
      <c r="G16" s="253">
        <f t="array" aca="1" ref="G16" ca="1">$F16/(INDIRECT($A16&amp;"!"&amp;G$12)*$C16)</f>
        <v>6.8688857528274427</v>
      </c>
      <c r="H16" s="253">
        <f t="array" aca="1" ref="H16" ca="1">$F16/(INDIRECT($A16&amp;"!"&amp;H$12)*$C16)</f>
        <v>20.092339321079436</v>
      </c>
      <c r="I16" s="253">
        <f t="array" aca="1" ref="I16" ca="1">$F16/(INDIRECT($A16&amp;"!"&amp;I$12)*$C16)</f>
        <v>21.665141292524591</v>
      </c>
      <c r="J16" s="253">
        <f t="array" aca="1" ref="J16" ca="1">$E16/(INDIRECT($A16&amp;"!"&amp;J$12)*$C16)</f>
        <v>27.333297082519685</v>
      </c>
      <c r="K16" s="240"/>
      <c r="L16" s="253">
        <f t="array" aca="1" ref="L16" ca="1">$F16/(INDIRECT($A16&amp;"!"&amp;L$12)*$C16)</f>
        <v>6.5094132192784135</v>
      </c>
      <c r="M16" s="253">
        <f t="array" aca="1" ref="M16" ca="1">$F16/(INDIRECT($A16&amp;"!"&amp;M$12)*$C16)</f>
        <v>18.464179096667831</v>
      </c>
      <c r="N16" s="253">
        <f t="array" aca="1" ref="N16" ca="1">$F16/(INDIRECT($A16&amp;"!"&amp;N$12)*$C16)</f>
        <v>19.710270228844145</v>
      </c>
      <c r="O16" s="253">
        <f t="array" aca="1" ref="O16" ca="1">$E16/(INDIRECT($A16&amp;"!"&amp;O$12)*$C16)</f>
        <v>24.913842556076556</v>
      </c>
      <c r="Q16" s="251">
        <f t="array" aca="1" ref="Q16" ca="1">$F16/(INDIRECT($A16&amp;"!"&amp;Q$12)*$C16)</f>
        <v>6.1325921988120644</v>
      </c>
      <c r="R16" s="251">
        <f t="array" aca="1" ref="R16" ca="1">$F16/(INDIRECT($A16&amp;"!"&amp;R$12)*$C16)</f>
        <v>17.168868059032153</v>
      </c>
      <c r="S16" s="251">
        <f t="array" aca="1" ref="S16" ca="1">$F16/(INDIRECT($A16&amp;"!"&amp;S$12)*$C16)</f>
        <v>18.279026540027662</v>
      </c>
      <c r="T16" s="251">
        <f t="array" aca="1" ref="T16" ca="1">$E16/(INDIRECT($A16&amp;"!"&amp;T$12)*$C16)</f>
        <v>22.713165078386041</v>
      </c>
      <c r="U16" s="250">
        <f t="array" aca="1" ref="U16" ca="1">INDIRECT($A16&amp;"!"&amp;U$12)</f>
        <v>0</v>
      </c>
    </row>
    <row r="17" spans="1:21" ht="14.25" customHeight="1">
      <c r="A17" s="212" t="s">
        <v>537</v>
      </c>
      <c r="B17" t="s">
        <v>570</v>
      </c>
      <c r="C17" s="207">
        <v>1</v>
      </c>
      <c r="D17" s="246">
        <f t="array" aca="1" ref="D17" ca="1">INDIRECT($A17&amp;"!"&amp;D$12)</f>
        <v>191.19</v>
      </c>
      <c r="E17" s="246">
        <f t="array" aca="1" ref="E17" ca="1">INDIRECT($A17&amp;"!"&amp;E$12)*$C17</f>
        <v>22554.350815340003</v>
      </c>
      <c r="F17" s="246">
        <f t="array" aca="1" ref="F17" ca="1">INDIRECT($A17&amp;"!"&amp;F$12)*$C17</f>
        <v>28670.250815340005</v>
      </c>
      <c r="G17" s="253">
        <f t="array" aca="1" ref="G17" ca="1">$F17/(INDIRECT($A17&amp;"!"&amp;G$12)*$C17)</f>
        <v>2.4760344772339824</v>
      </c>
      <c r="H17" s="253">
        <f t="array" aca="1" ref="H17" ca="1">$F17/(INDIRECT($A17&amp;"!"&amp;H$12)*$C17)</f>
        <v>15.659102526265775</v>
      </c>
      <c r="I17" s="253">
        <f t="array" aca="1" ref="I17" ca="1">$F17/(INDIRECT($A17&amp;"!"&amp;I$12)*$C17)</f>
        <v>21.330444769987356</v>
      </c>
      <c r="J17" s="253">
        <f t="array" aca="1" ref="J17" ca="1">$E17/(INDIRECT($A17&amp;"!"&amp;J$12)*$C17)</f>
        <v>21.618279320751469</v>
      </c>
      <c r="K17" s="251"/>
      <c r="L17" s="253">
        <f t="array" aca="1" ref="L17" ca="1">$F17/(INDIRECT($A17&amp;"!"&amp;L$12)*$C17)</f>
        <v>2.369050637526029</v>
      </c>
      <c r="M17" s="253">
        <f t="array" aca="1" ref="M17" ca="1">$F17/(INDIRECT($A17&amp;"!"&amp;M$12)*$C17)</f>
        <v>14.583037037304173</v>
      </c>
      <c r="N17" s="253">
        <f t="array" aca="1" ref="N17" ca="1">$F17/(INDIRECT($A17&amp;"!"&amp;N$12)*$C17)</f>
        <v>19.813580383787148</v>
      </c>
      <c r="O17" s="253">
        <f t="array" aca="1" ref="O17" ca="1">$E17/(INDIRECT($A17&amp;"!"&amp;O$12)*$C17)</f>
        <v>20.429665593605076</v>
      </c>
      <c r="P17" s="251"/>
      <c r="Q17" s="251">
        <f t="array" aca="1" ref="Q17" ca="1">$F17/(INDIRECT($A17&amp;"!"&amp;Q$12)*$C17)</f>
        <v>2.1934244369474412</v>
      </c>
      <c r="R17" s="251">
        <f t="array" aca="1" ref="R17" ca="1">$F17/(INDIRECT($A17&amp;"!"&amp;R$12)*$C17)</f>
        <v>13.285565716098242</v>
      </c>
      <c r="S17" s="251">
        <f t="array" aca="1" ref="S17" ca="1">$F17/(INDIRECT($A17&amp;"!"&amp;S$12)*$C17)</f>
        <v>17.885371687673118</v>
      </c>
      <c r="T17" s="251">
        <f t="array" aca="1" ref="T17" ca="1">$E17/(INDIRECT($A17&amp;"!"&amp;T$12)*$C17)</f>
        <v>18.247856646715213</v>
      </c>
      <c r="U17" s="250">
        <f t="array" aca="1" ref="U17" ca="1">INDIRECT($A17&amp;"!"&amp;U$12)</f>
        <v>0</v>
      </c>
    </row>
    <row r="18" spans="1:21" ht="14.25" customHeight="1">
      <c r="A18" s="212" t="s">
        <v>536</v>
      </c>
      <c r="B18" t="s">
        <v>570</v>
      </c>
      <c r="C18" s="207">
        <v>1</v>
      </c>
      <c r="D18" s="246">
        <f t="array" aca="1" ref="D18" ca="1">INDIRECT($A18&amp;"!"&amp;D$12)</f>
        <v>476.66</v>
      </c>
      <c r="E18" s="246">
        <f t="array" aca="1" ref="E18" ca="1">INDIRECT($A18&amp;"!"&amp;E$12)*$C18</f>
        <v>126390.13092192002</v>
      </c>
      <c r="F18" s="246">
        <f t="array" aca="1" ref="F18" ca="1">INDIRECT($A18&amp;"!"&amp;F$12)*$C18</f>
        <v>131380.60792192002</v>
      </c>
      <c r="G18" s="253">
        <f t="array" aca="1" ref="G18" ca="1">$F18/(INDIRECT($A18&amp;"!"&amp;G$12)*$C18)</f>
        <v>26.853295578224127</v>
      </c>
      <c r="H18" s="253">
        <f t="array" aca="1" ref="H18" ca="1">$F18/(INDIRECT($A18&amp;"!"&amp;H$12)*$C18)</f>
        <v>129.34535870273251</v>
      </c>
      <c r="I18" s="253">
        <f t="array" aca="1" ref="I18" ca="1">$F18/(INDIRECT($A18&amp;"!"&amp;I$12)*$C18)</f>
        <v>142.49090908510371</v>
      </c>
      <c r="J18" s="253">
        <f t="array" aca="1" ref="J18" ca="1">$E18/(INDIRECT($A18&amp;"!"&amp;J$12)*$C18)</f>
        <v>198.39284681733565</v>
      </c>
      <c r="K18" s="240"/>
      <c r="L18" s="253">
        <f t="array" aca="1" ref="L18" ca="1">$F18/(INDIRECT($A18&amp;"!"&amp;L$12)*$C18)</f>
        <v>26.498710754723682</v>
      </c>
      <c r="M18" s="253">
        <f t="array" aca="1" ref="M18" ca="1">$F18/(INDIRECT($A18&amp;"!"&amp;M$12)*$C18)</f>
        <v>127.06054924750485</v>
      </c>
      <c r="N18" s="253">
        <f t="array" aca="1" ref="N18" ca="1">$F18/(INDIRECT($A18&amp;"!"&amp;N$12)*$C18)</f>
        <v>140.06461398925376</v>
      </c>
      <c r="O18" s="253">
        <f t="array" aca="1" ref="O18" ca="1">$E18/(INDIRECT($A18&amp;"!"&amp;O$12)*$C18)</f>
        <v>211.77970998981237</v>
      </c>
      <c r="Q18" s="251">
        <f t="array" aca="1" ref="Q18" ca="1">$F18/(INDIRECT($A18&amp;"!"&amp;Q$12)*$C18)</f>
        <v>24.826267558941801</v>
      </c>
      <c r="R18" s="251">
        <f t="array" aca="1" ref="R18" ca="1">$F18/(INDIRECT($A18&amp;"!"&amp;R$12)*$C18)</f>
        <v>118.5745558862094</v>
      </c>
      <c r="S18" s="251">
        <f t="array" aca="1" ref="S18" ca="1">$F18/(INDIRECT($A18&amp;"!"&amp;S$12)*$C18)</f>
        <v>130.33790468444445</v>
      </c>
      <c r="T18" s="251">
        <f t="array" aca="1" ref="T18" ca="1">$E18/(INDIRECT($A18&amp;"!"&amp;T$12)*$C18)</f>
        <v>194.98631737414379</v>
      </c>
      <c r="U18" s="250">
        <f t="array" aca="1" ref="U18" ca="1">INDIRECT($A18&amp;"!"&amp;U$12)</f>
        <v>0</v>
      </c>
    </row>
    <row r="19" spans="1:21" ht="14.25" customHeight="1" thickBot="1">
      <c r="A19" s="212" t="s">
        <v>535</v>
      </c>
      <c r="B19" t="s">
        <v>570</v>
      </c>
      <c r="C19" s="207">
        <v>1</v>
      </c>
      <c r="D19" s="246">
        <f t="array" aca="1" ref="D19" ca="1">INDIRECT($A19&amp;"!"&amp;D$12)</f>
        <v>131.07</v>
      </c>
      <c r="E19" s="246">
        <f t="array" aca="1" ref="E19" ca="1">INDIRECT($A19&amp;"!"&amp;E$12)*$C19</f>
        <v>15630.549815949998</v>
      </c>
      <c r="F19" s="246">
        <f t="array" aca="1" ref="F19" ca="1">INDIRECT($A19&amp;"!"&amp;F$12)*$C19</f>
        <v>15643.137815949998</v>
      </c>
      <c r="G19" s="253">
        <f t="array" aca="1" ref="G19" ca="1">$F19/(INDIRECT($A19&amp;"!"&amp;G$12)*$C19)</f>
        <v>13.620482538500182</v>
      </c>
      <c r="H19" s="253">
        <f t="array" aca="1" ref="H19" ca="1">$F19/(INDIRECT($A19&amp;"!"&amp;H$12)*$C19)</f>
        <v>92.42239798619849</v>
      </c>
      <c r="I19" s="253">
        <f t="array" aca="1" ref="I19" ca="1">$F19/(INDIRECT($A19&amp;"!"&amp;I$12)*$C19)</f>
        <v>205.89036057740392</v>
      </c>
      <c r="J19" s="253">
        <f t="array" aca="1" ref="J19" ca="1">$E19/(INDIRECT($A19&amp;"!"&amp;J$12)*$C19)</f>
        <v>172.35521586042253</v>
      </c>
      <c r="K19" s="240"/>
      <c r="L19" s="253">
        <f t="array" aca="1" ref="L19" ca="1">$F19/(INDIRECT($A19&amp;"!"&amp;L$12)*$C19)</f>
        <v>13.200960182236285</v>
      </c>
      <c r="M19" s="253">
        <f t="array" aca="1" ref="M19" ca="1">$F19/(INDIRECT($A19&amp;"!"&amp;M$12)*$C19)</f>
        <v>98.570496634845611</v>
      </c>
      <c r="N19" s="253">
        <f t="array" aca="1" ref="N19" ca="1">$F19/(INDIRECT($A19&amp;"!"&amp;N$12)*$C19)</f>
        <v>257.45783107225145</v>
      </c>
      <c r="O19" s="253">
        <f t="array" aca="1" ref="O19" ca="1">$E19/(INDIRECT($A19&amp;"!"&amp;O$12)*$C19)</f>
        <v>247.63228479008237</v>
      </c>
      <c r="Q19" s="251">
        <f t="array" aca="1" ref="Q19" ca="1">$F19/(INDIRECT($A19&amp;"!"&amp;Q$12)*$C19)</f>
        <v>10.923978921752791</v>
      </c>
      <c r="R19" s="251">
        <f t="array" aca="1" ref="R19" ca="1">$F19/(INDIRECT($A19&amp;"!"&amp;R$12)*$C19)</f>
        <v>77.71057037232984</v>
      </c>
      <c r="S19" s="251">
        <f t="array" aca="1" ref="S19" ca="1">$F19/(INDIRECT($A19&amp;"!"&amp;S$12)*$C19)</f>
        <v>185.10398551591524</v>
      </c>
      <c r="T19" s="251">
        <f t="array" aca="1" ref="T19" ca="1">$E19/(INDIRECT($A19&amp;"!"&amp;T$12)*$C19)</f>
        <v>189.71416210644495</v>
      </c>
      <c r="U19" s="250">
        <f t="array" aca="1" ref="U19" ca="1">INDIRECT($A19&amp;"!"&amp;U$12)</f>
        <v>0</v>
      </c>
    </row>
    <row r="20" spans="1:21" ht="14.25" hidden="1" customHeight="1">
      <c r="A20" s="212"/>
      <c r="C20" s="252">
        <v>1</v>
      </c>
      <c r="D20" s="246" t="e">
        <f t="array" aca="1" ref="D20" ca="1">INDIRECT($A20&amp;"!"&amp;D$12)</f>
        <v>#REF!</v>
      </c>
      <c r="E20" s="246" t="e">
        <f t="array" aca="1" ref="E20" ca="1">INDIRECT($A20&amp;"!"&amp;E$12)*$C20</f>
        <v>#REF!</v>
      </c>
      <c r="F20" s="246" t="e">
        <f t="array" aca="1" ref="F20" ca="1">INDIRECT($A20&amp;"!"&amp;F$12)*$C20</f>
        <v>#REF!</v>
      </c>
      <c r="G20" s="251" t="e">
        <f t="array" aca="1" ref="G20" ca="1">$F20/(INDIRECT($A20&amp;"!"&amp;G$12)*$C20)</f>
        <v>#REF!</v>
      </c>
      <c r="H20" s="251" t="e">
        <f t="array" aca="1" ref="H20" ca="1">$F20/(INDIRECT($A20&amp;"!"&amp;H$12)*$C20)</f>
        <v>#REF!</v>
      </c>
      <c r="I20" s="251" t="e">
        <f t="array" aca="1" ref="I20" ca="1">$F20/(INDIRECT($A20&amp;"!"&amp;I$12)*$C20)</f>
        <v>#REF!</v>
      </c>
      <c r="J20" s="251" t="e">
        <f t="array" aca="1" ref="J20" ca="1">$E20/(INDIRECT($A20&amp;"!"&amp;J$12)*$C20)</f>
        <v>#REF!</v>
      </c>
      <c r="K20" s="240"/>
      <c r="L20" s="251" t="e">
        <f t="array" aca="1" ref="L20" ca="1">$F20/(INDIRECT($A20&amp;"!"&amp;L$12)*$C20)</f>
        <v>#REF!</v>
      </c>
      <c r="M20" s="251" t="e">
        <f t="array" aca="1" ref="M20" ca="1">$F20/(INDIRECT($A20&amp;"!"&amp;M$12)*$C20)</f>
        <v>#REF!</v>
      </c>
      <c r="N20" s="251" t="e">
        <f t="array" aca="1" ref="N20" ca="1">$F20/(INDIRECT($A20&amp;"!"&amp;N$12)*$C20)</f>
        <v>#REF!</v>
      </c>
      <c r="O20" s="251" t="e">
        <f t="array" aca="1" ref="O20" ca="1">$E20/(INDIRECT($A20&amp;"!"&amp;O$12)*$C20)</f>
        <v>#REF!</v>
      </c>
      <c r="Q20" s="251" t="e">
        <f t="array" aca="1" ref="Q20" ca="1">$F20/(INDIRECT($A20&amp;"!"&amp;Q$12)*$C20)</f>
        <v>#REF!</v>
      </c>
      <c r="R20" s="251" t="e">
        <f t="array" aca="1" ref="R20" ca="1">$F20/(INDIRECT($A20&amp;"!"&amp;R$12)*$C20)</f>
        <v>#REF!</v>
      </c>
      <c r="S20" s="251" t="e">
        <f t="array" aca="1" ref="S20" ca="1">$F20/(INDIRECT($A20&amp;"!"&amp;S$12)*$C20)</f>
        <v>#REF!</v>
      </c>
      <c r="T20" s="251" t="e">
        <f t="array" aca="1" ref="T20" ca="1">$E20/(INDIRECT($A20&amp;"!"&amp;T$12)*$C20)</f>
        <v>#REF!</v>
      </c>
      <c r="U20" s="250" t="e">
        <f t="array" aca="1" ref="U20" ca="1">INDIRECT($A20&amp;"!"&amp;U$12)</f>
        <v>#REF!</v>
      </c>
    </row>
    <row r="21" spans="1:21" ht="14.25" hidden="1" customHeight="1">
      <c r="A21" s="212"/>
      <c r="C21" s="252">
        <v>1</v>
      </c>
      <c r="D21" s="246" t="e">
        <f t="array" aca="1" ref="D21" ca="1">INDIRECT($A21&amp;"!"&amp;D$12)</f>
        <v>#REF!</v>
      </c>
      <c r="E21" s="246" t="e">
        <f t="array" aca="1" ref="E21" ca="1">INDIRECT($A21&amp;"!"&amp;E$12)*$C21</f>
        <v>#REF!</v>
      </c>
      <c r="F21" s="246" t="e">
        <f t="array" aca="1" ref="F21" ca="1">INDIRECT($A21&amp;"!"&amp;F$12)*$C21</f>
        <v>#REF!</v>
      </c>
      <c r="G21" s="251" t="e">
        <f t="array" aca="1" ref="G21" ca="1">$F21/(INDIRECT($A21&amp;"!"&amp;G$12)*$C21)</f>
        <v>#REF!</v>
      </c>
      <c r="H21" s="251" t="e">
        <f t="array" aca="1" ref="H21" ca="1">$F21/(INDIRECT($A21&amp;"!"&amp;H$12)*$C21)</f>
        <v>#REF!</v>
      </c>
      <c r="I21" s="251" t="e">
        <f t="array" aca="1" ref="I21" ca="1">$F21/(INDIRECT($A21&amp;"!"&amp;I$12)*$C21)</f>
        <v>#REF!</v>
      </c>
      <c r="J21" s="251" t="e">
        <f t="array" aca="1" ref="J21" ca="1">$E21/(INDIRECT($A21&amp;"!"&amp;J$12)*$C21)</f>
        <v>#REF!</v>
      </c>
      <c r="K21" s="240"/>
      <c r="L21" s="251" t="e">
        <f t="array" aca="1" ref="L21" ca="1">$F21/(INDIRECT($A21&amp;"!"&amp;L$12)*$C21)</f>
        <v>#REF!</v>
      </c>
      <c r="M21" s="251" t="e">
        <f t="array" aca="1" ref="M21" ca="1">$F21/(INDIRECT($A21&amp;"!"&amp;M$12)*$C21)</f>
        <v>#REF!</v>
      </c>
      <c r="N21" s="251" t="e">
        <f t="array" aca="1" ref="N21" ca="1">$F21/(INDIRECT($A21&amp;"!"&amp;N$12)*$C21)</f>
        <v>#REF!</v>
      </c>
      <c r="O21" s="251" t="e">
        <f t="array" aca="1" ref="O21" ca="1">$E21/(INDIRECT($A21&amp;"!"&amp;O$12)*$C21)</f>
        <v>#REF!</v>
      </c>
      <c r="Q21" s="251" t="e">
        <f t="array" aca="1" ref="Q21" ca="1">$F21/(INDIRECT($A21&amp;"!"&amp;Q$12)*$C21)</f>
        <v>#REF!</v>
      </c>
      <c r="R21" s="251" t="e">
        <f t="array" aca="1" ref="R21" ca="1">$F21/(INDIRECT($A21&amp;"!"&amp;R$12)*$C21)</f>
        <v>#REF!</v>
      </c>
      <c r="S21" s="251" t="e">
        <f t="array" aca="1" ref="S21" ca="1">$F21/(INDIRECT($A21&amp;"!"&amp;S$12)*$C21)</f>
        <v>#REF!</v>
      </c>
      <c r="T21" s="251" t="e">
        <f t="array" aca="1" ref="T21" ca="1">$E21/(INDIRECT($A21&amp;"!"&amp;T$12)*$C21)</f>
        <v>#REF!</v>
      </c>
      <c r="U21" s="250" t="e">
        <f t="array" aca="1" ref="U21" ca="1">INDIRECT($A21&amp;"!"&amp;U$12)</f>
        <v>#REF!</v>
      </c>
    </row>
    <row r="22" spans="1:21" ht="14.25" hidden="1" customHeight="1">
      <c r="A22" s="212"/>
      <c r="B22" t="e">
        <f t="array" aca="1" ref="B22" ca="1">INDIRECT($A22&amp;"!"&amp;B$12)</f>
        <v>#REF!</v>
      </c>
      <c r="C22" s="252">
        <v>1</v>
      </c>
      <c r="D22" s="246" t="e">
        <f t="array" aca="1" ref="D22" ca="1">INDIRECT($A22&amp;"!"&amp;D$12)</f>
        <v>#REF!</v>
      </c>
      <c r="E22" s="246" t="e">
        <f t="array" aca="1" ref="E22" ca="1">INDIRECT($A22&amp;"!"&amp;E$12)*$C22</f>
        <v>#REF!</v>
      </c>
      <c r="F22" s="246" t="e">
        <f t="array" aca="1" ref="F22" ca="1">INDIRECT($A22&amp;"!"&amp;F$12)*$C22</f>
        <v>#REF!</v>
      </c>
      <c r="G22" s="251" t="e">
        <f t="array" aca="1" ref="G22" ca="1">$F22/(INDIRECT($A22&amp;"!"&amp;G$12)*$C22)</f>
        <v>#REF!</v>
      </c>
      <c r="H22" s="251" t="e">
        <f t="array" aca="1" ref="H22" ca="1">$F22/(INDIRECT($A22&amp;"!"&amp;H$12)*$C22)</f>
        <v>#REF!</v>
      </c>
      <c r="I22" s="251" t="e">
        <f t="array" aca="1" ref="I22" ca="1">$F22/(INDIRECT($A22&amp;"!"&amp;I$12)*$C22)</f>
        <v>#REF!</v>
      </c>
      <c r="J22" s="251" t="e">
        <f t="array" aca="1" ref="J22" ca="1">$E22/(INDIRECT($A22&amp;"!"&amp;J$12)*$C22)</f>
        <v>#REF!</v>
      </c>
      <c r="K22" s="240"/>
      <c r="L22" s="251" t="e">
        <f t="array" aca="1" ref="L22" ca="1">$F22/(INDIRECT($A22&amp;"!"&amp;L$12)*$C22)</f>
        <v>#REF!</v>
      </c>
      <c r="M22" s="251" t="e">
        <f t="array" aca="1" ref="M22" ca="1">$F22/(INDIRECT($A22&amp;"!"&amp;M$12)*$C22)</f>
        <v>#REF!</v>
      </c>
      <c r="N22" s="251" t="e">
        <f t="array" aca="1" ref="N22" ca="1">$F22/(INDIRECT($A22&amp;"!"&amp;N$12)*$C22)</f>
        <v>#REF!</v>
      </c>
      <c r="O22" s="251" t="e">
        <f t="array" aca="1" ref="O22" ca="1">$E22/(INDIRECT($A22&amp;"!"&amp;O$12)*$C22)</f>
        <v>#REF!</v>
      </c>
      <c r="Q22" s="251" t="e">
        <f t="array" aca="1" ref="Q22" ca="1">$F22/(INDIRECT($A22&amp;"!"&amp;Q$12)*$C22)</f>
        <v>#REF!</v>
      </c>
      <c r="R22" s="251" t="e">
        <f t="array" aca="1" ref="R22" ca="1">$F22/(INDIRECT($A22&amp;"!"&amp;R$12)*$C22)</f>
        <v>#REF!</v>
      </c>
      <c r="S22" s="251" t="e">
        <f t="array" aca="1" ref="S22" ca="1">$F22/(INDIRECT($A22&amp;"!"&amp;S$12)*$C22)</f>
        <v>#REF!</v>
      </c>
      <c r="T22" s="251" t="e">
        <f t="array" aca="1" ref="T22" ca="1">$E22/(INDIRECT($A22&amp;"!"&amp;T$12)*$C22)</f>
        <v>#REF!</v>
      </c>
      <c r="U22" s="250" t="e">
        <f t="array" aca="1" ref="U22" ca="1">INDIRECT($A22&amp;"!"&amp;U$12)</f>
        <v>#REF!</v>
      </c>
    </row>
    <row r="23" spans="1:21" ht="14.25" hidden="1" customHeight="1">
      <c r="A23" s="212"/>
      <c r="B23" t="e">
        <f t="array" aca="1" ref="B23" ca="1">INDIRECT($A23&amp;"!"&amp;B$12)</f>
        <v>#REF!</v>
      </c>
      <c r="C23" s="252">
        <v>1</v>
      </c>
      <c r="D23" s="246" t="e">
        <f t="array" aca="1" ref="D23" ca="1">INDIRECT($A23&amp;"!"&amp;D$12)</f>
        <v>#REF!</v>
      </c>
      <c r="E23" s="246" t="e">
        <f t="array" aca="1" ref="E23" ca="1">INDIRECT($A23&amp;"!"&amp;E$12)*$C23</f>
        <v>#REF!</v>
      </c>
      <c r="F23" s="246" t="e">
        <f t="array" aca="1" ref="F23" ca="1">INDIRECT($A23&amp;"!"&amp;F$12)*$C23</f>
        <v>#REF!</v>
      </c>
      <c r="G23" s="251" t="e">
        <f t="array" aca="1" ref="G23" ca="1">$F23/(INDIRECT($A23&amp;"!"&amp;G$12)*$C23)</f>
        <v>#REF!</v>
      </c>
      <c r="H23" s="251" t="e">
        <f t="array" aca="1" ref="H23" ca="1">$F23/(INDIRECT($A23&amp;"!"&amp;H$12)*$C23)</f>
        <v>#REF!</v>
      </c>
      <c r="I23" s="251" t="e">
        <f t="array" aca="1" ref="I23" ca="1">$F23/(INDIRECT($A23&amp;"!"&amp;I$12)*$C23)</f>
        <v>#REF!</v>
      </c>
      <c r="J23" s="251" t="e">
        <f t="array" aca="1" ref="J23" ca="1">$E23/(INDIRECT($A23&amp;"!"&amp;J$12)*$C23)</f>
        <v>#REF!</v>
      </c>
      <c r="K23" s="240"/>
      <c r="L23" s="251" t="e">
        <f t="array" aca="1" ref="L23" ca="1">$F23/(INDIRECT($A23&amp;"!"&amp;L$12)*$C23)</f>
        <v>#REF!</v>
      </c>
      <c r="M23" s="251" t="e">
        <f t="array" aca="1" ref="M23" ca="1">$F23/(INDIRECT($A23&amp;"!"&amp;M$12)*$C23)</f>
        <v>#REF!</v>
      </c>
      <c r="N23" s="251" t="e">
        <f t="array" aca="1" ref="N23" ca="1">$F23/(INDIRECT($A23&amp;"!"&amp;N$12)*$C23)</f>
        <v>#REF!</v>
      </c>
      <c r="O23" s="251" t="e">
        <f t="array" aca="1" ref="O23" ca="1">$E23/(INDIRECT($A23&amp;"!"&amp;O$12)*$C23)</f>
        <v>#REF!</v>
      </c>
      <c r="Q23" s="251" t="e">
        <f t="array" aca="1" ref="Q23" ca="1">$F23/(INDIRECT($A23&amp;"!"&amp;Q$12)*$C23)</f>
        <v>#REF!</v>
      </c>
      <c r="R23" s="251" t="e">
        <f t="array" aca="1" ref="R23" ca="1">$F23/(INDIRECT($A23&amp;"!"&amp;R$12)*$C23)</f>
        <v>#REF!</v>
      </c>
      <c r="S23" s="251" t="e">
        <f t="array" aca="1" ref="S23" ca="1">$F23/(INDIRECT($A23&amp;"!"&amp;S$12)*$C23)</f>
        <v>#REF!</v>
      </c>
      <c r="T23" s="251" t="e">
        <f t="array" aca="1" ref="T23" ca="1">$E23/(INDIRECT($A23&amp;"!"&amp;T$12)*$C23)</f>
        <v>#REF!</v>
      </c>
      <c r="U23" s="250" t="e">
        <f t="array" aca="1" ref="U23" ca="1">INDIRECT($A23&amp;"!"&amp;U$12)</f>
        <v>#REF!</v>
      </c>
    </row>
    <row r="24" spans="1:21" ht="51.5" hidden="1" customHeight="1">
      <c r="A24" s="212"/>
      <c r="B24" t="e">
        <f t="array" aca="1" ref="B24" ca="1">INDIRECT($A24&amp;"!"&amp;B$12)</f>
        <v>#REF!</v>
      </c>
      <c r="C24" s="252">
        <v>1</v>
      </c>
      <c r="D24" s="246" t="e">
        <f t="array" aca="1" ref="D24" ca="1">INDIRECT($A24&amp;"!"&amp;D$12)</f>
        <v>#REF!</v>
      </c>
      <c r="E24" s="246" t="e">
        <f t="array" aca="1" ref="E24" ca="1">INDIRECT($A24&amp;"!"&amp;E$12)*$C24</f>
        <v>#REF!</v>
      </c>
      <c r="F24" s="246" t="e">
        <f t="array" aca="1" ref="F24" ca="1">INDIRECT($A24&amp;"!"&amp;F$12)*$C24</f>
        <v>#REF!</v>
      </c>
      <c r="G24" s="251" t="e">
        <f t="array" aca="1" ref="G24" ca="1">$F24/(INDIRECT($A24&amp;"!"&amp;G$12)*$C24)</f>
        <v>#REF!</v>
      </c>
      <c r="H24" s="251" t="e">
        <f t="array" aca="1" ref="H24" ca="1">$F24/(INDIRECT($A24&amp;"!"&amp;H$12)*$C24)</f>
        <v>#REF!</v>
      </c>
      <c r="I24" s="251" t="e">
        <f t="array" aca="1" ref="I24" ca="1">$F24/(INDIRECT($A24&amp;"!"&amp;I$12)*$C24)</f>
        <v>#REF!</v>
      </c>
      <c r="J24" s="251" t="e">
        <f t="array" aca="1" ref="J24" ca="1">$E24/(INDIRECT($A24&amp;"!"&amp;J$12)*$C24)</f>
        <v>#REF!</v>
      </c>
      <c r="K24" s="240"/>
      <c r="L24" s="251" t="e">
        <f t="array" aca="1" ref="L24" ca="1">$F24/(INDIRECT($A24&amp;"!"&amp;L$12)*$C24)</f>
        <v>#REF!</v>
      </c>
      <c r="M24" s="251" t="e">
        <f t="array" aca="1" ref="M24" ca="1">$F24/(INDIRECT($A24&amp;"!"&amp;M$12)*$C24)</f>
        <v>#REF!</v>
      </c>
      <c r="N24" s="251" t="e">
        <f t="array" aca="1" ref="N24" ca="1">$F24/(INDIRECT($A24&amp;"!"&amp;N$12)*$C24)</f>
        <v>#REF!</v>
      </c>
      <c r="O24" s="251" t="e">
        <f t="array" aca="1" ref="O24" ca="1">$E24/(INDIRECT($A24&amp;"!"&amp;O$12)*$C24)</f>
        <v>#REF!</v>
      </c>
      <c r="Q24" s="251" t="e">
        <f t="array" aca="1" ref="Q24" ca="1">$F24/(INDIRECT($A24&amp;"!"&amp;Q$12)*$C24)</f>
        <v>#REF!</v>
      </c>
      <c r="R24" s="251" t="e">
        <f t="array" aca="1" ref="R24" ca="1">$F24/(INDIRECT($A24&amp;"!"&amp;R$12)*$C24)</f>
        <v>#REF!</v>
      </c>
      <c r="S24" s="251" t="e">
        <f t="array" aca="1" ref="S24" ca="1">$F24/(INDIRECT($A24&amp;"!"&amp;S$12)*$C24)</f>
        <v>#REF!</v>
      </c>
      <c r="T24" s="251" t="e">
        <f t="array" aca="1" ref="T24" ca="1">$E24/(INDIRECT($A24&amp;"!"&amp;T$12)*$C24)</f>
        <v>#REF!</v>
      </c>
      <c r="U24" s="250" t="e">
        <f t="array" aca="1" ref="U24" ca="1">INDIRECT($A24&amp;"!"&amp;U$12)</f>
        <v>#REF!</v>
      </c>
    </row>
    <row r="25" spans="1:21" ht="14.25" customHeight="1" thickBot="1">
      <c r="B25" s="235"/>
      <c r="C25" s="65"/>
      <c r="D25" s="246"/>
      <c r="E25" s="242"/>
      <c r="F25" s="249" t="s">
        <v>534</v>
      </c>
      <c r="G25" s="321">
        <f ca="1">AVERAGE(G15:G19)</f>
        <v>11.267090321928666</v>
      </c>
      <c r="H25" s="321">
        <f ca="1">AVERAGE(H15:H19)</f>
        <v>57.794235607598942</v>
      </c>
      <c r="I25" s="321">
        <f ca="1">AVERAGE(I15:I19)</f>
        <v>85.562808867494297</v>
      </c>
      <c r="J25" s="321">
        <f ca="1">AVERAGE(J15:J19)</f>
        <v>92.641035078728876</v>
      </c>
      <c r="K25" s="244"/>
      <c r="L25" s="321">
        <f ca="1">AVERAGE(L15:L19)</f>
        <v>10.994290090038902</v>
      </c>
      <c r="M25" s="321">
        <f ca="1">AVERAGE(M15:M19)</f>
        <v>57.917647015478238</v>
      </c>
      <c r="N25" s="321">
        <f ca="1">AVERAGE(N15:N19)</f>
        <v>94.591887021301801</v>
      </c>
      <c r="O25" s="321">
        <f ca="1">AVERAGE(O15:O19)</f>
        <v>109.88585978499732</v>
      </c>
      <c r="P25" s="244"/>
      <c r="Q25" s="321">
        <f ca="1">AVERAGE(Q15:Q19)</f>
        <v>9.9436367590021213</v>
      </c>
      <c r="R25" s="321">
        <f ca="1">AVERAGE(R15:R19)</f>
        <v>50.620316265848508</v>
      </c>
      <c r="S25" s="321">
        <f ca="1">AVERAGE(S15:S19)</f>
        <v>76.360342653546468</v>
      </c>
      <c r="T25" s="321">
        <f ca="1">AVERAGE(T15:T19)</f>
        <v>92.633882747881742</v>
      </c>
      <c r="U25" s="321"/>
    </row>
    <row r="26" spans="1:21" ht="14.25" customHeight="1" thickBot="1">
      <c r="B26" s="235"/>
      <c r="C26" s="65"/>
      <c r="D26" s="246"/>
      <c r="E26" s="242"/>
      <c r="F26" s="248" t="s">
        <v>466</v>
      </c>
      <c r="G26" s="322">
        <f ca="1">MEDIAN(G15:G19)</f>
        <v>6.8688857528274427</v>
      </c>
      <c r="H26" s="322">
        <f ca="1">MEDIAN(H15:H19)</f>
        <v>31.45197950171854</v>
      </c>
      <c r="I26" s="322">
        <f ca="1">MEDIAN(I15:I19)</f>
        <v>36.437188612451898</v>
      </c>
      <c r="J26" s="322">
        <f ca="1">MEDIAN(J15:J19)</f>
        <v>43.50553631261505</v>
      </c>
      <c r="K26" s="244"/>
      <c r="L26" s="322">
        <f ca="1">MEDIAN(L15:L19)</f>
        <v>6.5094132192784135</v>
      </c>
      <c r="M26" s="322">
        <f ca="1">MEDIAN(M15:M19)</f>
        <v>30.909973061068701</v>
      </c>
      <c r="N26" s="322">
        <f ca="1">MEDIAN(N15:N19)</f>
        <v>35.913139432372503</v>
      </c>
      <c r="O26" s="322">
        <f ca="1">MEDIAN(O15:O19)</f>
        <v>44.673795995410202</v>
      </c>
      <c r="P26" s="244"/>
      <c r="Q26" s="322">
        <f ca="1">MEDIAN(Q15:Q19)</f>
        <v>6.1325921988120644</v>
      </c>
      <c r="R26" s="324">
        <f ca="1">MEDIAN(R15:R19)</f>
        <v>26.362021295572916</v>
      </c>
      <c r="S26" s="322">
        <f ca="1">MEDIAN(S15:S19)</f>
        <v>30.195424839671887</v>
      </c>
      <c r="T26" s="322">
        <f ca="1">MEDIAN(T15:T19)</f>
        <v>37.507912533718681</v>
      </c>
      <c r="U26" s="325"/>
    </row>
    <row r="27" spans="1:21" ht="14.25" customHeight="1" thickBot="1">
      <c r="B27" s="235"/>
      <c r="C27" s="65"/>
      <c r="D27" s="246"/>
      <c r="E27" s="242"/>
      <c r="F27" s="247" t="s">
        <v>532</v>
      </c>
      <c r="G27" s="322">
        <f ca="1">QUARTILE(G15:G19,1)</f>
        <v>6.5167532628575984</v>
      </c>
      <c r="H27" s="322">
        <f ca="1">QUARTILE(H15:H19,1)</f>
        <v>20.092339321079436</v>
      </c>
      <c r="I27" s="322">
        <f ca="1">QUARTILE(I15:I19,1)</f>
        <v>21.665141292524591</v>
      </c>
      <c r="J27" s="322">
        <f ca="1">QUARTILE(J15:J19,1)</f>
        <v>27.333297082519685</v>
      </c>
      <c r="K27" s="244"/>
      <c r="L27" s="322">
        <f ca="1">QUARTILE(L15:L19,1)</f>
        <v>6.3933156564300937</v>
      </c>
      <c r="M27" s="322">
        <f ca="1">QUARTILE(M15:M19,1)</f>
        <v>18.464179096667831</v>
      </c>
      <c r="N27" s="322">
        <f ca="1">QUARTILE(N15:N19,1)</f>
        <v>19.813580383787148</v>
      </c>
      <c r="O27" s="322">
        <f ca="1">QUARTILE(O15:O19,1)</f>
        <v>24.913842556076556</v>
      </c>
      <c r="P27" s="244"/>
      <c r="Q27" s="322">
        <f ca="1">QUARTILE(Q15:Q19,1)</f>
        <v>5.6419206785564997</v>
      </c>
      <c r="R27" s="322">
        <f ca="1">QUARTILE(R15:R19,1)</f>
        <v>17.168868059032153</v>
      </c>
      <c r="S27" s="322">
        <f ca="1">QUARTILE(S15:S19,1)</f>
        <v>18.279026540027662</v>
      </c>
      <c r="T27" s="322">
        <f ca="1">QUARTILE(T15:T19,1)</f>
        <v>22.713165078386041</v>
      </c>
      <c r="U27" s="325"/>
    </row>
    <row r="28" spans="1:21" ht="14.25" customHeight="1" thickBot="1">
      <c r="B28" s="235"/>
      <c r="C28" s="61"/>
      <c r="D28" s="246"/>
      <c r="E28" s="242"/>
      <c r="F28" s="245" t="s">
        <v>531</v>
      </c>
      <c r="G28" s="323">
        <f ca="1">QUARTILE(G15:G19,3)</f>
        <v>13.620482538500182</v>
      </c>
      <c r="H28" s="323">
        <f ca="1">QUARTILE(H15:H19,3)</f>
        <v>92.42239798619849</v>
      </c>
      <c r="I28" s="323">
        <f ca="1">QUARTILE(I15:I19,3)</f>
        <v>142.49090908510371</v>
      </c>
      <c r="J28" s="323">
        <f ca="1">QUARTILE(J15:J19,3)</f>
        <v>172.35521586042253</v>
      </c>
      <c r="K28" s="244"/>
      <c r="L28" s="323">
        <f ca="1">QUARTILE(L15:L19,3)</f>
        <v>13.200960182236285</v>
      </c>
      <c r="M28" s="323">
        <f ca="1">QUARTILE(M15:M19,3)</f>
        <v>98.570496634845611</v>
      </c>
      <c r="N28" s="323">
        <f ca="1">QUARTILE(N15:N19,3)</f>
        <v>140.06461398925376</v>
      </c>
      <c r="O28" s="323">
        <f ca="1">QUARTILE(O15:O19,3)</f>
        <v>211.77970998981237</v>
      </c>
      <c r="P28" s="244"/>
      <c r="Q28" s="323">
        <f ca="1">QUARTILE(Q15:Q19,3)</f>
        <v>10.923978921752791</v>
      </c>
      <c r="R28" s="323">
        <f ca="1">QUARTILE(R15:R19,3)</f>
        <v>77.71057037232984</v>
      </c>
      <c r="S28" s="323">
        <f ca="1">QUARTILE(S15:S19,3)</f>
        <v>130.33790468444445</v>
      </c>
      <c r="T28" s="323">
        <f ca="1">QUARTILE(T15:T19,3)</f>
        <v>189.71416210644495</v>
      </c>
      <c r="U28" s="326"/>
    </row>
    <row r="29" spans="1:21" ht="14.25" customHeight="1">
      <c r="B29" s="235"/>
      <c r="C29" s="235"/>
      <c r="D29" s="243"/>
      <c r="E29" s="240"/>
      <c r="F29" s="240"/>
      <c r="G29" s="242"/>
      <c r="H29" s="242"/>
      <c r="I29" s="242"/>
      <c r="J29" s="242"/>
      <c r="K29" s="242"/>
    </row>
    <row r="30" spans="1:21" ht="14.25" customHeight="1">
      <c r="A30" s="241"/>
      <c r="J30" s="240"/>
      <c r="K30" s="240"/>
    </row>
    <row r="31" spans="1:21" ht="14.25" customHeight="1">
      <c r="J31" s="240"/>
      <c r="K31" s="240"/>
    </row>
    <row r="32" spans="1:21" ht="14.25" customHeight="1">
      <c r="A32" s="239"/>
      <c r="B32" s="239"/>
      <c r="J32" s="238"/>
      <c r="K32" s="238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">
    <mergeCell ref="B13:B14"/>
    <mergeCell ref="C13:C14"/>
    <mergeCell ref="G13:J13"/>
    <mergeCell ref="L13:O13"/>
    <mergeCell ref="Q13:T13"/>
  </mergeCells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0050-505F-406A-8803-61E3256EA171}">
  <dimension ref="A1:Z1000"/>
  <sheetViews>
    <sheetView showGridLines="0" topLeftCell="A36" zoomScale="94" zoomScaleNormal="120" workbookViewId="0">
      <selection activeCell="I50" sqref="I50"/>
    </sheetView>
  </sheetViews>
  <sheetFormatPr defaultColWidth="14.453125" defaultRowHeight="15" customHeight="1"/>
  <cols>
    <col min="1" max="1" width="3.453125" customWidth="1"/>
    <col min="2" max="2" width="33.54296875" customWidth="1"/>
    <col min="3" max="3" width="11.453125" customWidth="1"/>
    <col min="4" max="5" width="10.54296875" customWidth="1"/>
    <col min="6" max="6" width="11.453125" customWidth="1"/>
    <col min="7" max="7" width="27.54296875" customWidth="1"/>
    <col min="8" max="8" width="20.26953125" customWidth="1"/>
    <col min="9" max="9" width="21" customWidth="1"/>
    <col min="10" max="10" width="23" customWidth="1"/>
    <col min="11" max="11" width="12" customWidth="1"/>
    <col min="12" max="12" width="21.453125" customWidth="1"/>
    <col min="13" max="13" width="11.54296875" customWidth="1"/>
    <col min="14" max="26" width="11.453125" customWidth="1"/>
  </cols>
  <sheetData>
    <row r="1" spans="1:26" ht="22" customHeight="1">
      <c r="A1" s="329" t="s">
        <v>19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  <c r="P1" s="327"/>
      <c r="Q1" s="327"/>
      <c r="R1" s="327"/>
      <c r="S1" s="327"/>
      <c r="T1" s="327"/>
      <c r="U1" s="327"/>
      <c r="V1" s="327"/>
      <c r="W1" s="327"/>
      <c r="X1" s="327"/>
      <c r="Y1" s="327"/>
      <c r="Z1" s="327"/>
    </row>
    <row r="2" spans="1:26" ht="15.75" customHeight="1">
      <c r="A2" s="328" t="str">
        <f>"(In "&amp;F10&amp;" Millions Except Per Share Data)"</f>
        <v>(In USD Millions Except Per Share Data)</v>
      </c>
      <c r="B2" s="328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7"/>
      <c r="Z2" s="327"/>
    </row>
    <row r="3" spans="1:26" ht="15.75" customHeight="1" thickBot="1">
      <c r="A3" s="230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</row>
    <row r="4" spans="1:26" ht="15.75" customHeight="1">
      <c r="A4" s="330" t="s">
        <v>667</v>
      </c>
      <c r="B4" s="331"/>
      <c r="C4" s="331"/>
      <c r="D4" s="331"/>
      <c r="E4" s="331"/>
      <c r="F4" s="332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</row>
    <row r="5" spans="1:26" ht="15.75" customHeight="1">
      <c r="A5" s="268" t="s">
        <v>666</v>
      </c>
      <c r="B5" s="230"/>
      <c r="C5" s="230"/>
      <c r="D5" s="230"/>
      <c r="E5" s="230"/>
      <c r="F5" s="333" t="s">
        <v>665</v>
      </c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</row>
    <row r="6" spans="1:26" ht="15.75" customHeight="1">
      <c r="A6" s="268" t="s">
        <v>664</v>
      </c>
      <c r="B6" s="230"/>
      <c r="C6" s="230"/>
      <c r="D6" s="230"/>
      <c r="E6" s="230"/>
      <c r="F6" s="334">
        <v>45702</v>
      </c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</row>
    <row r="7" spans="1:26" ht="15.75" customHeight="1">
      <c r="A7" s="268" t="s">
        <v>663</v>
      </c>
      <c r="B7" s="230"/>
      <c r="C7" s="230"/>
      <c r="D7" s="230"/>
      <c r="E7" s="230"/>
      <c r="F7" s="335" t="s">
        <v>662</v>
      </c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</row>
    <row r="8" spans="1:26" ht="15.75" customHeight="1">
      <c r="A8" s="268" t="s">
        <v>661</v>
      </c>
      <c r="B8" s="230"/>
      <c r="C8" s="230"/>
      <c r="D8" s="230"/>
      <c r="E8" s="230"/>
      <c r="F8" s="336">
        <v>45657</v>
      </c>
      <c r="G8" s="230"/>
      <c r="H8" s="230"/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</row>
    <row r="9" spans="1:26" ht="15.75" customHeight="1">
      <c r="A9" s="268" t="s">
        <v>660</v>
      </c>
      <c r="B9" s="230"/>
      <c r="C9" s="230"/>
      <c r="D9" s="230"/>
      <c r="E9" s="230"/>
      <c r="F9" s="336">
        <v>45565</v>
      </c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</row>
    <row r="10" spans="1:26" ht="15.75" customHeight="1">
      <c r="A10" s="268" t="s">
        <v>552</v>
      </c>
      <c r="B10" s="230"/>
      <c r="C10" s="230"/>
      <c r="D10" s="230"/>
      <c r="E10" s="230"/>
      <c r="F10" s="335" t="s">
        <v>570</v>
      </c>
      <c r="G10" s="230"/>
      <c r="H10" s="230"/>
      <c r="I10" s="230"/>
      <c r="J10" s="230"/>
      <c r="K10" s="230"/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</row>
    <row r="11" spans="1:26" ht="15.75" customHeight="1" thickBot="1">
      <c r="A11" s="267" t="s">
        <v>463</v>
      </c>
      <c r="B11" s="223"/>
      <c r="C11" s="223"/>
      <c r="D11" s="223"/>
      <c r="E11" s="223"/>
      <c r="F11" s="337">
        <v>0.27</v>
      </c>
      <c r="G11" s="230" t="s">
        <v>659</v>
      </c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</row>
    <row r="12" spans="1:26" ht="15.75" customHeight="1">
      <c r="A12" s="230"/>
      <c r="B12" s="230"/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</row>
    <row r="13" spans="1:26" ht="15.75" customHeight="1" thickBot="1">
      <c r="A13" s="230"/>
      <c r="B13" s="230"/>
      <c r="C13" s="230"/>
      <c r="D13" s="230"/>
      <c r="E13" s="230"/>
      <c r="F13" s="230"/>
      <c r="G13" s="434"/>
      <c r="H13" s="427"/>
      <c r="I13" s="427"/>
      <c r="J13" s="230"/>
      <c r="K13" s="230"/>
      <c r="L13" s="23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</row>
    <row r="14" spans="1:26" ht="15.75" customHeight="1" thickBot="1">
      <c r="A14" s="338" t="s">
        <v>658</v>
      </c>
      <c r="B14" s="339"/>
      <c r="C14" s="340" t="s">
        <v>657</v>
      </c>
      <c r="D14" s="340" t="s">
        <v>656</v>
      </c>
      <c r="E14" s="340" t="s">
        <v>655</v>
      </c>
      <c r="F14" s="341"/>
      <c r="G14" s="230"/>
      <c r="H14" s="277"/>
      <c r="I14" s="277"/>
      <c r="J14" s="230"/>
      <c r="K14" s="230"/>
      <c r="L14" s="230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</row>
    <row r="15" spans="1:26" ht="15.75" customHeight="1">
      <c r="A15" s="268" t="s">
        <v>654</v>
      </c>
      <c r="B15" s="230"/>
      <c r="C15" s="342">
        <v>57.08</v>
      </c>
      <c r="D15" s="299"/>
      <c r="E15" s="299"/>
      <c r="F15" s="288"/>
      <c r="G15" s="287" t="s">
        <v>653</v>
      </c>
      <c r="H15" s="265"/>
      <c r="I15" s="230"/>
      <c r="J15" s="230"/>
      <c r="K15" s="230"/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</row>
    <row r="16" spans="1:26" ht="15.75" customHeight="1">
      <c r="A16" s="268" t="s">
        <v>652</v>
      </c>
      <c r="B16" s="230"/>
      <c r="C16" s="299">
        <f>1355337/1000</f>
        <v>1355.337</v>
      </c>
      <c r="D16" s="299"/>
      <c r="E16" s="299"/>
      <c r="F16" s="286"/>
      <c r="G16" s="230" t="s">
        <v>651</v>
      </c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</row>
    <row r="17" spans="1:26" ht="15.75" customHeight="1">
      <c r="A17" s="268" t="s">
        <v>650</v>
      </c>
      <c r="B17" s="230"/>
      <c r="C17" s="299">
        <f>C16+H45+G53</f>
        <v>1364.1630416958653</v>
      </c>
      <c r="D17" s="299"/>
      <c r="E17" s="299"/>
      <c r="F17" s="286"/>
      <c r="G17" s="230"/>
      <c r="H17" s="258"/>
      <c r="I17" s="230"/>
      <c r="J17" s="230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</row>
    <row r="18" spans="1:26" ht="15.75" customHeight="1">
      <c r="A18" s="268" t="s">
        <v>546</v>
      </c>
      <c r="B18" s="231"/>
      <c r="C18" s="299">
        <f>C15*C17</f>
        <v>77866.426419999989</v>
      </c>
      <c r="D18" s="299"/>
      <c r="E18" s="299"/>
      <c r="F18" s="343">
        <f>SUM(C18:E18)</f>
        <v>77866.426419999989</v>
      </c>
      <c r="G18" s="230"/>
      <c r="H18" s="230"/>
      <c r="I18" s="258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</row>
    <row r="19" spans="1:26" ht="15.75" customHeight="1">
      <c r="A19" s="268" t="s">
        <v>523</v>
      </c>
      <c r="B19" s="230"/>
      <c r="C19" s="230"/>
      <c r="D19" s="258"/>
      <c r="E19" s="258"/>
      <c r="F19" s="343"/>
      <c r="G19" s="230"/>
      <c r="H19" s="258"/>
      <c r="I19" s="258"/>
      <c r="J19" s="230"/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</row>
    <row r="20" spans="1:26" ht="15.75" customHeight="1">
      <c r="A20" s="285" t="s">
        <v>649</v>
      </c>
      <c r="B20" s="230"/>
      <c r="C20" s="230"/>
      <c r="D20" s="258"/>
      <c r="E20" s="258"/>
      <c r="F20" s="343">
        <v>0</v>
      </c>
      <c r="G20" s="230"/>
      <c r="H20" s="258"/>
      <c r="I20" s="258"/>
      <c r="J20" s="230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</row>
    <row r="21" spans="1:26" ht="15.75" customHeight="1">
      <c r="A21" s="268"/>
      <c r="B21" s="230" t="s">
        <v>648</v>
      </c>
      <c r="C21" s="230"/>
      <c r="D21" s="230"/>
      <c r="E21" s="299">
        <v>0</v>
      </c>
      <c r="F21" s="286"/>
      <c r="G21" s="230"/>
      <c r="H21" s="230"/>
      <c r="I21" s="230"/>
      <c r="J21" s="230"/>
      <c r="K21" s="230"/>
      <c r="L21" s="230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</row>
    <row r="22" spans="1:26" ht="15.75" customHeight="1">
      <c r="A22" s="268"/>
      <c r="B22" s="257" t="s">
        <v>647</v>
      </c>
      <c r="C22" s="230"/>
      <c r="D22" s="230"/>
      <c r="E22" s="299">
        <v>0</v>
      </c>
      <c r="F22" s="286"/>
      <c r="G22" s="230"/>
      <c r="H22" s="230"/>
      <c r="I22" s="230"/>
      <c r="J22" s="230"/>
      <c r="K22" s="230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</row>
    <row r="23" spans="1:26" ht="15.75" customHeight="1">
      <c r="A23" s="285" t="s">
        <v>646</v>
      </c>
      <c r="B23" s="230"/>
      <c r="C23" s="230"/>
      <c r="D23" s="230"/>
      <c r="E23" s="258"/>
      <c r="F23" s="343">
        <f>SUM(E24:E25)</f>
        <v>0</v>
      </c>
      <c r="G23" s="230"/>
      <c r="H23" s="258"/>
      <c r="I23" s="258"/>
      <c r="J23" s="230"/>
      <c r="K23" s="230"/>
      <c r="L23" s="230"/>
      <c r="M23" s="230"/>
      <c r="N23" s="230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</row>
    <row r="24" spans="1:26" ht="15" customHeight="1">
      <c r="A24" s="268"/>
      <c r="B24" s="257" t="s">
        <v>645</v>
      </c>
      <c r="C24" s="257"/>
      <c r="D24" s="230"/>
      <c r="E24" s="299">
        <v>0</v>
      </c>
      <c r="F24" s="286"/>
      <c r="G24" s="230" t="s">
        <v>644</v>
      </c>
      <c r="H24" s="230"/>
      <c r="I24" s="230"/>
      <c r="J24" s="230"/>
      <c r="K24" s="230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</row>
    <row r="25" spans="1:26" ht="15" customHeight="1">
      <c r="A25" s="268"/>
      <c r="B25" s="257" t="s">
        <v>643</v>
      </c>
      <c r="C25" s="257"/>
      <c r="D25" s="230"/>
      <c r="E25" s="299">
        <v>0</v>
      </c>
      <c r="F25" s="286"/>
      <c r="G25" s="230"/>
      <c r="H25" s="230"/>
      <c r="I25" s="230"/>
      <c r="J25" s="230"/>
      <c r="K25" s="230"/>
      <c r="L25" s="230"/>
      <c r="M25" s="230"/>
      <c r="N25" s="230"/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</row>
    <row r="26" spans="1:26" ht="15.75" customHeight="1">
      <c r="A26" s="285" t="s">
        <v>642</v>
      </c>
      <c r="B26" s="230"/>
      <c r="C26" s="230"/>
      <c r="D26" s="230"/>
      <c r="E26" s="258"/>
      <c r="F26" s="286"/>
      <c r="G26" s="230"/>
      <c r="H26" s="230"/>
      <c r="I26" s="230"/>
      <c r="J26" s="230"/>
      <c r="K26" s="230"/>
      <c r="L26" s="230"/>
      <c r="M26" s="230"/>
      <c r="N26" s="230"/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</row>
    <row r="27" spans="1:26" ht="15" customHeight="1">
      <c r="A27" s="268"/>
      <c r="B27" s="230" t="s">
        <v>641</v>
      </c>
      <c r="C27" s="230"/>
      <c r="D27" s="230"/>
      <c r="E27" s="258"/>
      <c r="F27" s="343">
        <v>0</v>
      </c>
      <c r="G27" s="230"/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</row>
    <row r="28" spans="1:26" ht="15.75" customHeight="1">
      <c r="A28" s="268"/>
      <c r="B28" s="230" t="s">
        <v>640</v>
      </c>
      <c r="C28" s="230"/>
      <c r="D28" s="230"/>
      <c r="E28" s="230"/>
      <c r="F28" s="343">
        <f>(4262782+277836)/1000</f>
        <v>4540.6180000000004</v>
      </c>
      <c r="G28" s="230" t="s">
        <v>639</v>
      </c>
      <c r="H28" s="258"/>
      <c r="I28" s="258"/>
      <c r="J28" s="230"/>
      <c r="K28" s="230"/>
      <c r="L28" s="230"/>
      <c r="M28" s="230"/>
      <c r="N28" s="230"/>
      <c r="O28" s="230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</row>
    <row r="29" spans="1:26" ht="15.75" customHeight="1">
      <c r="A29" s="285" t="s">
        <v>638</v>
      </c>
      <c r="B29" s="230"/>
      <c r="C29" s="230"/>
      <c r="D29" s="230"/>
      <c r="E29" s="258"/>
      <c r="F29" s="343">
        <f>748537/1000</f>
        <v>748.53700000000003</v>
      </c>
      <c r="G29" s="230" t="s">
        <v>637</v>
      </c>
      <c r="H29" s="258"/>
      <c r="I29" s="258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</row>
    <row r="30" spans="1:26" ht="15.75" customHeight="1" thickBot="1">
      <c r="A30" s="284" t="s">
        <v>636</v>
      </c>
      <c r="B30" s="283"/>
      <c r="C30" s="283"/>
      <c r="D30" s="282"/>
      <c r="E30" s="282"/>
      <c r="F30" s="344">
        <f>F18+F19+F20+F23+F27+F28-F29</f>
        <v>81658.507419999994</v>
      </c>
      <c r="G30" s="230"/>
      <c r="H30" s="230"/>
      <c r="I30" s="258"/>
      <c r="J30" s="230"/>
      <c r="K30" s="230"/>
      <c r="L30" s="230"/>
      <c r="M30" s="230"/>
      <c r="N30" s="230"/>
      <c r="O30" s="230"/>
      <c r="P30" s="230"/>
      <c r="Q30" s="230"/>
      <c r="R30" s="230"/>
      <c r="S30" s="230"/>
      <c r="T30" s="230"/>
      <c r="U30" s="230"/>
      <c r="V30" s="230"/>
      <c r="W30" s="230"/>
      <c r="X30" s="230"/>
      <c r="Y30" s="230"/>
      <c r="Z30" s="230"/>
    </row>
    <row r="31" spans="1:26" ht="15.75" customHeight="1">
      <c r="A31" s="281" t="s">
        <v>635</v>
      </c>
      <c r="B31" s="259"/>
      <c r="C31" s="259"/>
      <c r="D31" s="261"/>
      <c r="E31" s="261"/>
      <c r="F31" s="343">
        <f>674378/1000</f>
        <v>674.37800000000004</v>
      </c>
      <c r="G31" s="230" t="s">
        <v>634</v>
      </c>
      <c r="H31" s="258"/>
      <c r="I31" s="258"/>
      <c r="J31" s="230"/>
      <c r="K31" s="230"/>
      <c r="L31" s="230"/>
      <c r="M31" s="230"/>
      <c r="N31" s="230"/>
      <c r="O31" s="230"/>
      <c r="P31" s="230"/>
      <c r="Q31" s="230"/>
      <c r="R31" s="230"/>
      <c r="S31" s="230"/>
      <c r="T31" s="230"/>
      <c r="U31" s="230"/>
      <c r="V31" s="230"/>
      <c r="W31" s="230"/>
      <c r="X31" s="230"/>
      <c r="Y31" s="230"/>
      <c r="Z31" s="230"/>
    </row>
    <row r="32" spans="1:26" ht="14.25" customHeight="1">
      <c r="A32" s="281" t="s">
        <v>414</v>
      </c>
      <c r="B32" s="259"/>
      <c r="C32" s="259"/>
      <c r="D32" s="261"/>
      <c r="E32" s="261"/>
      <c r="F32" s="343">
        <f>F30-F31</f>
        <v>80984.129419999997</v>
      </c>
      <c r="G32" s="230"/>
      <c r="H32" s="230"/>
      <c r="I32" s="258"/>
      <c r="J32" s="230"/>
      <c r="K32" s="230"/>
      <c r="L32" s="230"/>
      <c r="M32" s="230"/>
      <c r="N32" s="230"/>
      <c r="O32" s="230"/>
      <c r="P32" s="230"/>
      <c r="Q32" s="230"/>
      <c r="R32" s="230"/>
      <c r="S32" s="230"/>
      <c r="T32" s="230"/>
      <c r="U32" s="230"/>
      <c r="V32" s="230"/>
      <c r="W32" s="230"/>
      <c r="X32" s="230"/>
      <c r="Y32" s="230"/>
      <c r="Z32" s="230"/>
    </row>
    <row r="33" spans="1:26" ht="15" customHeight="1" thickBot="1">
      <c r="A33" s="267" t="s">
        <v>633</v>
      </c>
      <c r="B33" s="223"/>
      <c r="C33" s="223"/>
      <c r="D33" s="223"/>
      <c r="E33" s="223"/>
      <c r="F33" s="345">
        <f>F18/SUM(C17:E17)</f>
        <v>57.08</v>
      </c>
      <c r="G33" s="230"/>
      <c r="H33" s="230"/>
      <c r="I33" s="230"/>
      <c r="J33" s="280"/>
      <c r="K33" s="230"/>
      <c r="L33" s="230"/>
      <c r="M33" s="230"/>
      <c r="N33" s="230"/>
      <c r="O33" s="230"/>
      <c r="P33" s="230"/>
      <c r="Q33" s="230"/>
      <c r="R33" s="230"/>
      <c r="S33" s="230"/>
      <c r="T33" s="230"/>
      <c r="U33" s="230"/>
      <c r="V33" s="230"/>
      <c r="W33" s="230"/>
      <c r="X33" s="230"/>
      <c r="Y33" s="230"/>
      <c r="Z33" s="230"/>
    </row>
    <row r="34" spans="1:26" ht="15.75" customHeight="1" thickBot="1">
      <c r="A34" s="230"/>
      <c r="B34" s="230"/>
      <c r="C34" s="230"/>
      <c r="D34" s="230"/>
      <c r="E34" s="230"/>
      <c r="F34" s="230"/>
      <c r="G34" s="230"/>
      <c r="H34" s="263"/>
      <c r="I34" s="263"/>
      <c r="J34" s="263"/>
      <c r="K34" s="230"/>
      <c r="L34" s="230"/>
      <c r="M34" s="230"/>
      <c r="N34" s="230"/>
      <c r="O34" s="230"/>
      <c r="P34" s="230"/>
      <c r="Q34" s="230"/>
      <c r="R34" s="230"/>
      <c r="S34" s="230"/>
      <c r="T34" s="230"/>
      <c r="U34" s="230"/>
      <c r="V34" s="230"/>
      <c r="W34" s="230"/>
      <c r="X34" s="230"/>
      <c r="Y34" s="230"/>
      <c r="Z34" s="230"/>
    </row>
    <row r="35" spans="1:26" ht="15.75" customHeight="1" thickBot="1">
      <c r="A35" s="347" t="s">
        <v>632</v>
      </c>
      <c r="B35" s="339"/>
      <c r="C35" s="346"/>
      <c r="D35" s="346"/>
      <c r="E35" s="346"/>
      <c r="F35" s="346"/>
      <c r="G35" s="346"/>
      <c r="H35" s="346"/>
      <c r="I35" s="230"/>
      <c r="J35" s="230"/>
      <c r="K35" s="230"/>
      <c r="L35" s="230"/>
      <c r="M35" s="230"/>
      <c r="N35" s="230"/>
      <c r="O35" s="230"/>
      <c r="P35" s="230"/>
      <c r="Q35" s="230"/>
      <c r="R35" s="230"/>
      <c r="S35" s="230"/>
      <c r="T35" s="230"/>
      <c r="U35" s="230"/>
      <c r="V35" s="230"/>
      <c r="W35" s="230"/>
      <c r="X35" s="230"/>
      <c r="Y35" s="230"/>
      <c r="Z35" s="230"/>
    </row>
    <row r="36" spans="1:26" ht="15.75" customHeight="1" thickBot="1">
      <c r="A36" s="230"/>
      <c r="B36" s="230"/>
      <c r="C36" s="230"/>
      <c r="D36" s="230"/>
      <c r="E36" s="230"/>
      <c r="F36" s="230"/>
      <c r="G36" s="230"/>
      <c r="H36" s="263"/>
      <c r="I36" s="263"/>
      <c r="J36" s="263"/>
      <c r="K36" s="263"/>
      <c r="L36" s="230"/>
      <c r="M36" s="230"/>
      <c r="N36" s="230"/>
      <c r="O36" s="230"/>
      <c r="P36" s="230"/>
      <c r="Q36" s="230"/>
      <c r="R36" s="230"/>
      <c r="S36" s="230"/>
      <c r="T36" s="230"/>
      <c r="U36" s="230"/>
      <c r="V36" s="230"/>
      <c r="W36" s="230"/>
      <c r="X36" s="230"/>
      <c r="Y36" s="230"/>
      <c r="Z36" s="230"/>
    </row>
    <row r="37" spans="1:26" ht="15.75" customHeight="1" thickBot="1">
      <c r="A37" s="230"/>
      <c r="B37" s="338" t="s">
        <v>631</v>
      </c>
      <c r="C37" s="346"/>
      <c r="D37" s="346"/>
      <c r="E37" s="346"/>
      <c r="F37" s="346"/>
      <c r="G37" s="346"/>
      <c r="H37" s="348"/>
      <c r="I37" s="263"/>
      <c r="J37" s="279"/>
      <c r="K37" s="230"/>
      <c r="L37" s="230"/>
      <c r="M37" s="230"/>
      <c r="N37" s="230"/>
      <c r="O37" s="230"/>
      <c r="P37" s="230"/>
      <c r="Q37" s="230"/>
      <c r="R37" s="230"/>
      <c r="S37" s="230"/>
      <c r="T37" s="230"/>
      <c r="U37" s="230"/>
      <c r="V37" s="230"/>
      <c r="W37" s="230"/>
      <c r="X37" s="230"/>
      <c r="Y37" s="230"/>
      <c r="Z37" s="230"/>
    </row>
    <row r="38" spans="1:26" ht="15.75" customHeight="1">
      <c r="A38" s="230"/>
      <c r="B38" s="278"/>
      <c r="C38" s="231" t="s">
        <v>500</v>
      </c>
      <c r="D38" s="230"/>
      <c r="E38" s="229" t="s">
        <v>499</v>
      </c>
      <c r="F38" s="229"/>
      <c r="G38" s="229"/>
      <c r="H38" s="228" t="s">
        <v>498</v>
      </c>
      <c r="I38" s="263"/>
      <c r="J38" s="231"/>
      <c r="K38" s="231"/>
      <c r="L38" s="277"/>
      <c r="M38" s="277"/>
      <c r="N38" s="231"/>
      <c r="O38" s="230"/>
      <c r="P38" s="230"/>
      <c r="Q38" s="230"/>
      <c r="R38" s="230"/>
      <c r="S38" s="230"/>
      <c r="T38" s="230"/>
      <c r="U38" s="230"/>
      <c r="V38" s="230"/>
      <c r="W38" s="230"/>
      <c r="X38" s="230"/>
      <c r="Y38" s="230"/>
      <c r="Z38" s="230"/>
    </row>
    <row r="39" spans="1:26" ht="15.75" customHeight="1" thickBot="1">
      <c r="A39" s="230"/>
      <c r="B39" s="276" t="s">
        <v>630</v>
      </c>
      <c r="C39" s="227" t="s">
        <v>142</v>
      </c>
      <c r="D39" s="227" t="s">
        <v>496</v>
      </c>
      <c r="E39" s="227" t="s">
        <v>495</v>
      </c>
      <c r="F39" s="227" t="s">
        <v>437</v>
      </c>
      <c r="G39" s="223" t="s">
        <v>494</v>
      </c>
      <c r="H39" s="226" t="s">
        <v>493</v>
      </c>
      <c r="I39" s="263"/>
      <c r="J39" s="262"/>
      <c r="K39" s="231"/>
      <c r="L39" s="231"/>
      <c r="M39" s="230"/>
      <c r="N39" s="231"/>
      <c r="O39" s="230"/>
      <c r="P39" s="230"/>
      <c r="Q39" s="230"/>
      <c r="R39" s="230"/>
      <c r="S39" s="230"/>
      <c r="T39" s="230"/>
      <c r="U39" s="230"/>
      <c r="V39" s="230"/>
      <c r="W39" s="230"/>
      <c r="X39" s="230"/>
      <c r="Y39" s="230"/>
      <c r="Z39" s="230"/>
    </row>
    <row r="40" spans="1:26" ht="15.75" customHeight="1">
      <c r="A40" s="230"/>
      <c r="B40" s="350">
        <f>10414/1000</f>
        <v>10.414</v>
      </c>
      <c r="C40" s="351">
        <v>32.53</v>
      </c>
      <c r="D40" s="310" t="str">
        <f>IF(C15&gt;C40,"YES","NO")</f>
        <v>YES</v>
      </c>
      <c r="E40" s="311">
        <f>IF(D40="YES",B40,0)</f>
        <v>10.414</v>
      </c>
      <c r="F40" s="299">
        <f>(E40*C40)</f>
        <v>338.76742000000002</v>
      </c>
      <c r="G40" s="311">
        <f>F40/C15</f>
        <v>5.9349583041345486</v>
      </c>
      <c r="H40" s="312">
        <f>E40-G40</f>
        <v>4.4790416958654511</v>
      </c>
      <c r="I40" s="263"/>
      <c r="J40" s="275"/>
      <c r="K40" s="275"/>
      <c r="L40" s="258"/>
      <c r="M40" s="275"/>
      <c r="N40" s="275"/>
      <c r="O40" s="230"/>
      <c r="P40" s="230"/>
      <c r="Q40" s="230"/>
      <c r="R40" s="230"/>
      <c r="S40" s="230"/>
      <c r="T40" s="230"/>
      <c r="U40" s="230"/>
      <c r="V40" s="230"/>
      <c r="W40" s="230"/>
      <c r="X40" s="230"/>
      <c r="Y40" s="230"/>
      <c r="Z40" s="230"/>
    </row>
    <row r="41" spans="1:26" ht="15.75" customHeight="1">
      <c r="A41" s="230"/>
      <c r="B41" s="352">
        <f>4347/1000</f>
        <v>4.3470000000000004</v>
      </c>
      <c r="C41" s="351">
        <v>0</v>
      </c>
      <c r="D41" s="310" t="str">
        <f>IF(C15&gt;C41,"YES","NO")</f>
        <v>YES</v>
      </c>
      <c r="E41" s="311">
        <f>IF(D41="YES",B41,0)</f>
        <v>4.3470000000000004</v>
      </c>
      <c r="F41" s="299">
        <f>(E41*C41)</f>
        <v>0</v>
      </c>
      <c r="G41" s="311">
        <f>F41/C15</f>
        <v>0</v>
      </c>
      <c r="H41" s="312">
        <f>E41-G41</f>
        <v>4.3470000000000004</v>
      </c>
      <c r="I41" s="263" t="s">
        <v>629</v>
      </c>
      <c r="J41" s="275"/>
      <c r="K41" s="275"/>
      <c r="L41" s="258"/>
      <c r="M41" s="275"/>
      <c r="N41" s="275"/>
      <c r="O41" s="230"/>
      <c r="P41" s="230"/>
      <c r="Q41" s="230"/>
      <c r="R41" s="230"/>
      <c r="S41" s="230"/>
      <c r="T41" s="230"/>
      <c r="U41" s="230"/>
      <c r="V41" s="230"/>
      <c r="W41" s="230"/>
      <c r="X41" s="230"/>
      <c r="Y41" s="230"/>
      <c r="Z41" s="230"/>
    </row>
    <row r="42" spans="1:26" ht="15.75" customHeight="1">
      <c r="A42" s="230"/>
      <c r="B42" s="352"/>
      <c r="C42" s="351"/>
      <c r="D42" s="310"/>
      <c r="E42" s="311"/>
      <c r="F42" s="299"/>
      <c r="G42" s="311"/>
      <c r="H42" s="312"/>
      <c r="I42" s="263"/>
      <c r="J42" s="275"/>
      <c r="K42" s="275"/>
      <c r="L42" s="258"/>
      <c r="M42" s="275"/>
      <c r="N42" s="275"/>
      <c r="O42" s="230"/>
      <c r="P42" s="230"/>
      <c r="Q42" s="230"/>
      <c r="R42" s="230"/>
      <c r="S42" s="230"/>
      <c r="T42" s="230"/>
      <c r="U42" s="230"/>
      <c r="V42" s="230"/>
      <c r="W42" s="230"/>
      <c r="X42" s="230"/>
      <c r="Y42" s="230"/>
      <c r="Z42" s="230"/>
    </row>
    <row r="43" spans="1:26" ht="15.75" customHeight="1">
      <c r="A43" s="230"/>
      <c r="B43" s="352"/>
      <c r="C43" s="351"/>
      <c r="D43" s="310"/>
      <c r="E43" s="311"/>
      <c r="F43" s="299"/>
      <c r="G43" s="311"/>
      <c r="H43" s="312"/>
      <c r="I43" s="263"/>
      <c r="J43" s="275"/>
      <c r="K43" s="275"/>
      <c r="L43" s="258"/>
      <c r="M43" s="275"/>
      <c r="N43" s="275"/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</row>
    <row r="44" spans="1:26" ht="15.75" customHeight="1">
      <c r="A44" s="230"/>
      <c r="B44" s="352"/>
      <c r="C44" s="351"/>
      <c r="D44" s="310"/>
      <c r="E44" s="311"/>
      <c r="F44" s="299"/>
      <c r="G44" s="311"/>
      <c r="H44" s="312"/>
      <c r="I44" s="263"/>
      <c r="J44" s="275"/>
      <c r="K44" s="275"/>
      <c r="L44" s="258"/>
      <c r="M44" s="275"/>
      <c r="N44" s="275"/>
      <c r="O44" s="230"/>
      <c r="P44" s="230"/>
      <c r="Q44" s="230"/>
      <c r="R44" s="230"/>
      <c r="S44" s="230"/>
      <c r="T44" s="230"/>
      <c r="U44" s="230"/>
      <c r="V44" s="230"/>
      <c r="W44" s="230"/>
      <c r="X44" s="230"/>
      <c r="Y44" s="230"/>
      <c r="Z44" s="230"/>
    </row>
    <row r="45" spans="1:26" ht="15.75" customHeight="1" thickBot="1">
      <c r="A45" s="230"/>
      <c r="B45" s="267"/>
      <c r="C45" s="223"/>
      <c r="D45" s="223"/>
      <c r="E45" s="223"/>
      <c r="F45" s="223"/>
      <c r="G45" s="223"/>
      <c r="H45" s="349">
        <f>SUM(H40:H44)</f>
        <v>8.8260416958654524</v>
      </c>
      <c r="I45" s="263"/>
      <c r="J45" s="230"/>
      <c r="K45" s="230"/>
      <c r="L45" s="230"/>
      <c r="M45" s="230"/>
      <c r="N45" s="275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</row>
    <row r="46" spans="1:26" ht="15.75" customHeight="1" thickBot="1">
      <c r="A46" s="230"/>
      <c r="B46" s="230"/>
      <c r="C46" s="230"/>
      <c r="D46" s="230"/>
      <c r="E46" s="230"/>
      <c r="F46" s="230"/>
      <c r="G46" s="230"/>
      <c r="H46" s="263"/>
      <c r="I46" s="263"/>
      <c r="J46" s="263"/>
      <c r="K46" s="263"/>
      <c r="L46" s="230"/>
      <c r="M46" s="230"/>
      <c r="N46" s="230"/>
      <c r="O46" s="230"/>
      <c r="P46" s="230"/>
      <c r="Q46" s="230"/>
      <c r="R46" s="230"/>
      <c r="S46" s="230"/>
      <c r="T46" s="230"/>
      <c r="U46" s="230"/>
      <c r="V46" s="230"/>
      <c r="W46" s="230"/>
      <c r="X46" s="230"/>
      <c r="Y46" s="230"/>
      <c r="Z46" s="230"/>
    </row>
    <row r="47" spans="1:26" ht="15.75" customHeight="1" thickBot="1">
      <c r="A47" s="230"/>
      <c r="B47" s="338" t="s">
        <v>628</v>
      </c>
      <c r="C47" s="346"/>
      <c r="D47" s="346"/>
      <c r="E47" s="346"/>
      <c r="F47" s="346"/>
      <c r="G47" s="348"/>
      <c r="H47" s="263"/>
      <c r="I47" s="263"/>
      <c r="J47" s="230"/>
      <c r="K47" s="230"/>
      <c r="L47" s="230"/>
      <c r="M47" s="230"/>
      <c r="N47" s="230"/>
      <c r="O47" s="230"/>
      <c r="P47" s="230"/>
      <c r="Q47" s="230"/>
      <c r="R47" s="230"/>
      <c r="S47" s="230"/>
      <c r="T47" s="230"/>
      <c r="U47" s="230"/>
      <c r="V47" s="230"/>
      <c r="W47" s="230"/>
      <c r="X47" s="230"/>
      <c r="Y47" s="230"/>
      <c r="Z47" s="230"/>
    </row>
    <row r="48" spans="1:26" ht="15.75" customHeight="1">
      <c r="A48" s="230"/>
      <c r="B48" s="274"/>
      <c r="C48" s="273"/>
      <c r="D48" s="273"/>
      <c r="E48" s="435" t="s">
        <v>627</v>
      </c>
      <c r="F48" s="272"/>
      <c r="G48" s="436" t="s">
        <v>626</v>
      </c>
      <c r="H48" s="263"/>
      <c r="I48" s="263"/>
      <c r="J48" s="257"/>
      <c r="K48" s="257"/>
      <c r="L48" s="230"/>
      <c r="M48" s="438"/>
      <c r="N48" s="230"/>
      <c r="O48" s="230"/>
      <c r="P48" s="230"/>
      <c r="Q48" s="230"/>
      <c r="R48" s="230"/>
      <c r="S48" s="230"/>
      <c r="T48" s="230"/>
      <c r="U48" s="230"/>
      <c r="V48" s="230"/>
      <c r="W48" s="230"/>
      <c r="X48" s="230"/>
      <c r="Y48" s="230"/>
      <c r="Z48" s="230"/>
    </row>
    <row r="49" spans="1:26" ht="15.75" customHeight="1">
      <c r="A49" s="230"/>
      <c r="B49" s="271" t="s">
        <v>625</v>
      </c>
      <c r="C49" s="270" t="s">
        <v>172</v>
      </c>
      <c r="D49" s="270" t="s">
        <v>624</v>
      </c>
      <c r="E49" s="427"/>
      <c r="F49" s="269" t="s">
        <v>623</v>
      </c>
      <c r="G49" s="437"/>
      <c r="H49" s="263"/>
      <c r="I49" s="263"/>
      <c r="J49" s="257"/>
      <c r="K49" s="270"/>
      <c r="L49" s="269"/>
      <c r="M49" s="427"/>
      <c r="N49" s="230"/>
      <c r="O49" s="230"/>
      <c r="P49" s="230"/>
      <c r="Q49" s="230"/>
      <c r="R49" s="230"/>
      <c r="S49" s="230"/>
      <c r="T49" s="230"/>
      <c r="U49" s="230"/>
      <c r="V49" s="230"/>
      <c r="W49" s="230"/>
      <c r="X49" s="230"/>
      <c r="Y49" s="230"/>
      <c r="Z49" s="230"/>
    </row>
    <row r="50" spans="1:26" ht="15.75" customHeight="1">
      <c r="A50" s="230"/>
      <c r="B50" s="268"/>
      <c r="C50" s="353"/>
      <c r="D50" s="353"/>
      <c r="E50" s="354"/>
      <c r="F50" s="306"/>
      <c r="G50" s="355"/>
      <c r="H50" s="263"/>
      <c r="I50" s="263"/>
      <c r="J50" s="230"/>
      <c r="K50" s="258"/>
      <c r="L50" s="265"/>
      <c r="M50" s="265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</row>
    <row r="51" spans="1:26" ht="15.75" customHeight="1">
      <c r="A51" s="230"/>
      <c r="B51" s="268"/>
      <c r="C51" s="353"/>
      <c r="D51" s="353"/>
      <c r="E51" s="354"/>
      <c r="F51" s="306"/>
      <c r="G51" s="355"/>
      <c r="H51" s="263"/>
      <c r="I51" s="263"/>
      <c r="J51" s="230"/>
      <c r="K51" s="258"/>
      <c r="L51" s="265"/>
      <c r="M51" s="265"/>
      <c r="N51" s="230"/>
      <c r="O51" s="230"/>
      <c r="P51" s="230"/>
      <c r="Q51" s="230"/>
      <c r="R51" s="230"/>
      <c r="S51" s="230"/>
      <c r="T51" s="230"/>
      <c r="U51" s="230"/>
      <c r="V51" s="230"/>
      <c r="W51" s="230"/>
      <c r="X51" s="230"/>
      <c r="Y51" s="230"/>
      <c r="Z51" s="230"/>
    </row>
    <row r="52" spans="1:26" ht="15.75" customHeight="1">
      <c r="A52" s="230"/>
      <c r="B52" s="268"/>
      <c r="C52" s="353"/>
      <c r="D52" s="353"/>
      <c r="E52" s="354"/>
      <c r="F52" s="356"/>
      <c r="G52" s="355"/>
      <c r="H52" s="263"/>
      <c r="I52" s="263"/>
      <c r="J52" s="230"/>
      <c r="K52" s="258"/>
      <c r="L52" s="265"/>
      <c r="M52" s="265"/>
      <c r="N52" s="230"/>
      <c r="O52" s="230"/>
      <c r="P52" s="230"/>
      <c r="Q52" s="230"/>
      <c r="R52" s="230"/>
      <c r="S52" s="230"/>
      <c r="T52" s="230"/>
      <c r="U52" s="230"/>
      <c r="V52" s="230"/>
      <c r="W52" s="230"/>
      <c r="X52" s="230"/>
      <c r="Y52" s="230"/>
      <c r="Z52" s="230"/>
    </row>
    <row r="53" spans="1:26" ht="15.75" customHeight="1" thickBot="1">
      <c r="A53" s="230"/>
      <c r="B53" s="267"/>
      <c r="C53" s="266"/>
      <c r="D53" s="266"/>
      <c r="E53" s="266"/>
      <c r="F53" s="357"/>
      <c r="G53" s="358"/>
      <c r="H53" s="263"/>
      <c r="I53" s="263"/>
      <c r="J53" s="230"/>
      <c r="K53" s="258"/>
      <c r="L53" s="265"/>
      <c r="M53" s="265"/>
      <c r="N53" s="230"/>
      <c r="O53" s="230"/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0"/>
    </row>
    <row r="54" spans="1:26" ht="15.75" customHeight="1">
      <c r="A54" s="230"/>
      <c r="B54" s="230"/>
      <c r="C54" s="230"/>
      <c r="D54" s="230"/>
      <c r="E54" s="230"/>
      <c r="F54" s="230"/>
      <c r="G54" s="230"/>
      <c r="H54" s="263"/>
      <c r="I54" s="263"/>
      <c r="J54" s="230"/>
      <c r="K54" s="230"/>
      <c r="L54" s="230"/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30"/>
      <c r="X54" s="230"/>
      <c r="Y54" s="230"/>
      <c r="Z54" s="230"/>
    </row>
    <row r="55" spans="1:26" ht="15.75" customHeight="1">
      <c r="A55" s="230"/>
      <c r="B55" s="230"/>
      <c r="C55" s="230"/>
      <c r="D55" s="230"/>
      <c r="E55" s="230"/>
      <c r="F55" s="230"/>
      <c r="G55" s="230"/>
      <c r="H55" s="264" t="s">
        <v>622</v>
      </c>
      <c r="I55" s="264" t="s">
        <v>670</v>
      </c>
      <c r="J55" s="264" t="s">
        <v>670</v>
      </c>
      <c r="K55" s="263"/>
      <c r="L55" s="230"/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30"/>
      <c r="X55" s="230"/>
      <c r="Y55" s="230"/>
      <c r="Z55" s="230"/>
    </row>
    <row r="56" spans="1:26" ht="15.75" customHeight="1">
      <c r="A56" s="230"/>
      <c r="B56" s="230"/>
      <c r="C56" s="230"/>
      <c r="D56" s="230"/>
      <c r="E56" s="230"/>
      <c r="F56" s="230"/>
      <c r="G56" s="29"/>
      <c r="H56" s="264"/>
      <c r="I56" s="264"/>
      <c r="J56" s="264"/>
      <c r="K56" s="263"/>
      <c r="L56" s="262" t="s">
        <v>621</v>
      </c>
      <c r="M56" s="230"/>
      <c r="N56" s="230"/>
      <c r="O56" s="230"/>
      <c r="P56" s="230"/>
      <c r="Q56" s="230"/>
      <c r="R56" s="230"/>
      <c r="S56" s="230"/>
      <c r="T56" s="230"/>
      <c r="U56" s="230"/>
      <c r="V56" s="230"/>
      <c r="W56" s="230"/>
      <c r="X56" s="230"/>
      <c r="Y56" s="230"/>
      <c r="Z56" s="230"/>
    </row>
    <row r="57" spans="1:26" ht="15.75" customHeight="1">
      <c r="A57" s="327" t="s">
        <v>620</v>
      </c>
      <c r="B57" s="327"/>
      <c r="C57" s="327"/>
      <c r="D57" s="327"/>
      <c r="E57" s="327"/>
      <c r="F57" s="327"/>
      <c r="G57" s="327"/>
      <c r="H57" s="362" t="s">
        <v>619</v>
      </c>
      <c r="I57" s="362" t="s">
        <v>618</v>
      </c>
      <c r="J57" s="362" t="s">
        <v>617</v>
      </c>
      <c r="K57" s="362" t="s">
        <v>616</v>
      </c>
      <c r="L57" s="362" t="s">
        <v>615</v>
      </c>
      <c r="M57" s="362" t="s">
        <v>614</v>
      </c>
      <c r="N57" s="362" t="s">
        <v>613</v>
      </c>
      <c r="O57" s="362" t="s">
        <v>612</v>
      </c>
      <c r="P57" s="362" t="s">
        <v>611</v>
      </c>
      <c r="Q57" s="230"/>
      <c r="R57" s="230"/>
      <c r="S57" s="230"/>
      <c r="T57" s="230"/>
      <c r="U57" s="230"/>
      <c r="V57" s="230"/>
      <c r="W57" s="230"/>
      <c r="X57" s="230"/>
      <c r="Y57" s="230"/>
      <c r="Z57" s="230"/>
    </row>
    <row r="58" spans="1:26" ht="15.75" customHeight="1">
      <c r="A58" s="230"/>
      <c r="B58" s="230"/>
      <c r="C58" s="230"/>
      <c r="D58" s="230"/>
      <c r="E58" s="230"/>
      <c r="F58" s="230"/>
      <c r="G58" s="230"/>
      <c r="H58" s="230" t="s">
        <v>610</v>
      </c>
      <c r="I58" s="230"/>
      <c r="J58" s="230"/>
      <c r="K58" s="230"/>
      <c r="L58" s="230"/>
      <c r="M58" s="230"/>
      <c r="N58" s="230"/>
      <c r="O58" s="230"/>
      <c r="P58" s="230"/>
      <c r="Q58" s="230"/>
      <c r="R58" s="230"/>
      <c r="S58" s="230"/>
      <c r="T58" s="230"/>
      <c r="U58" s="230"/>
      <c r="V58" s="230"/>
      <c r="W58" s="230"/>
      <c r="X58" s="230"/>
      <c r="Y58" s="230"/>
      <c r="Z58" s="230"/>
    </row>
    <row r="59" spans="1:26" ht="15.75" customHeight="1">
      <c r="A59" s="230" t="s">
        <v>609</v>
      </c>
      <c r="B59" s="230"/>
      <c r="C59" s="230"/>
      <c r="D59" s="230"/>
      <c r="E59" s="230"/>
      <c r="F59" s="230"/>
      <c r="G59" s="230"/>
      <c r="H59" s="260">
        <f>(11313853)/1000</f>
        <v>11313.852999999999</v>
      </c>
      <c r="I59" s="260">
        <f>8468543/1000</f>
        <v>8468.5429999999997</v>
      </c>
      <c r="J59" s="260">
        <f>7355329/1000</f>
        <v>7355.3289999999997</v>
      </c>
      <c r="K59" s="360">
        <f>H59+I59-J59</f>
        <v>12427.067000000001</v>
      </c>
      <c r="L59">
        <v>12667</v>
      </c>
      <c r="M59">
        <v>14354</v>
      </c>
      <c r="Q59" s="230"/>
      <c r="R59" s="230"/>
      <c r="S59" s="230"/>
      <c r="T59" s="230"/>
      <c r="U59" s="230"/>
      <c r="V59" s="230"/>
      <c r="W59" s="230"/>
      <c r="X59" s="230"/>
      <c r="Y59" s="230"/>
      <c r="Z59" s="230"/>
    </row>
    <row r="60" spans="1:26" ht="5.25" customHeight="1">
      <c r="A60" s="230"/>
      <c r="B60" s="230"/>
      <c r="C60" s="230"/>
      <c r="D60" s="230"/>
      <c r="E60" s="230"/>
      <c r="F60" s="230"/>
      <c r="G60" s="230"/>
      <c r="H60" s="260"/>
      <c r="I60" s="260"/>
      <c r="J60" s="260"/>
      <c r="K60" s="258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0"/>
    </row>
    <row r="61" spans="1:26" ht="15.75" customHeight="1">
      <c r="A61" s="230" t="s">
        <v>608</v>
      </c>
      <c r="B61" s="230"/>
      <c r="C61" s="230"/>
      <c r="D61" s="230"/>
      <c r="E61" s="230"/>
      <c r="F61" s="230"/>
      <c r="G61" s="230"/>
      <c r="H61" s="260">
        <f>1916333/1000</f>
        <v>1916.3330000000001</v>
      </c>
      <c r="I61" s="260">
        <f>1500601/1000</f>
        <v>1500.6010000000001</v>
      </c>
      <c r="J61" s="260">
        <f>1194366/1000</f>
        <v>1194.366</v>
      </c>
      <c r="K61" s="360">
        <f>H61+I61-J61</f>
        <v>2222.5680000000002</v>
      </c>
      <c r="L61" s="230">
        <v>2255</v>
      </c>
      <c r="M61" s="230">
        <v>2682</v>
      </c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0"/>
    </row>
    <row r="62" spans="1:26" ht="15.75" customHeight="1">
      <c r="A62" s="230" t="s">
        <v>607</v>
      </c>
      <c r="B62" s="259"/>
      <c r="C62" s="259"/>
      <c r="D62" s="259"/>
      <c r="E62" s="259"/>
      <c r="F62" s="259"/>
      <c r="G62" s="259"/>
      <c r="H62" s="299">
        <v>0</v>
      </c>
      <c r="I62" s="299">
        <v>0</v>
      </c>
      <c r="J62" s="299">
        <v>0</v>
      </c>
      <c r="K62" s="261"/>
      <c r="L62" s="259"/>
      <c r="M62" s="259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</row>
    <row r="63" spans="1:26" ht="15.75" customHeight="1">
      <c r="A63" s="256" t="s">
        <v>606</v>
      </c>
      <c r="B63" s="259"/>
      <c r="C63" s="259"/>
      <c r="D63" s="259"/>
      <c r="E63" s="259"/>
      <c r="F63" s="259"/>
      <c r="G63" s="259"/>
      <c r="H63" s="359">
        <f>H61-H62</f>
        <v>1916.3330000000001</v>
      </c>
      <c r="I63" s="359">
        <f>I61-I62</f>
        <v>1500.6010000000001</v>
      </c>
      <c r="J63" s="359">
        <f>J61-J62</f>
        <v>1194.366</v>
      </c>
      <c r="K63" s="360">
        <f>H63+I63-J63</f>
        <v>2222.5680000000002</v>
      </c>
      <c r="L63" s="258">
        <f>L61</f>
        <v>2255</v>
      </c>
      <c r="M63" s="258">
        <f>M61</f>
        <v>2682</v>
      </c>
      <c r="N63" s="258"/>
      <c r="O63" s="258"/>
      <c r="P63" s="258"/>
      <c r="Q63" s="259"/>
      <c r="R63" s="259"/>
      <c r="S63" s="259"/>
      <c r="T63" s="259"/>
      <c r="U63" s="259"/>
      <c r="V63" s="259"/>
      <c r="W63" s="259"/>
      <c r="X63" s="259"/>
      <c r="Y63" s="259"/>
      <c r="Z63" s="259"/>
    </row>
    <row r="64" spans="1:26" ht="15.75" customHeight="1">
      <c r="A64" s="230" t="s">
        <v>605</v>
      </c>
      <c r="B64" s="230"/>
      <c r="C64" s="230"/>
      <c r="D64" s="230"/>
      <c r="E64" s="230"/>
      <c r="F64" s="230"/>
      <c r="G64" s="230"/>
      <c r="H64" s="260">
        <f>335030/1000</f>
        <v>335.03</v>
      </c>
      <c r="I64" s="260">
        <f>251154/1000</f>
        <v>251.154</v>
      </c>
      <c r="J64" s="260">
        <f>233902/1000</f>
        <v>233.90199999999999</v>
      </c>
      <c r="K64" s="258"/>
      <c r="L64" s="258">
        <f>L65-L63</f>
        <v>365</v>
      </c>
      <c r="M64" s="258">
        <f>M65-M63</f>
        <v>390</v>
      </c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0"/>
    </row>
    <row r="65" spans="1:26" ht="15.75" customHeight="1">
      <c r="A65" s="259" t="s">
        <v>604</v>
      </c>
      <c r="B65" s="259"/>
      <c r="C65" s="259"/>
      <c r="D65" s="259"/>
      <c r="E65" s="259"/>
      <c r="F65" s="259"/>
      <c r="G65" s="259"/>
      <c r="H65" s="359">
        <f>H63+H64</f>
        <v>2251.3630000000003</v>
      </c>
      <c r="I65" s="359">
        <f>I63+I64</f>
        <v>1751.7550000000001</v>
      </c>
      <c r="J65" s="359">
        <f>J63+J64</f>
        <v>1428.268</v>
      </c>
      <c r="K65" s="360">
        <f>H65+I65-J65</f>
        <v>2574.8500000000004</v>
      </c>
      <c r="L65" s="258">
        <v>2620</v>
      </c>
      <c r="M65" s="258">
        <v>3072</v>
      </c>
      <c r="N65" s="258"/>
      <c r="O65" s="258"/>
      <c r="P65" s="258"/>
      <c r="Q65" s="259"/>
      <c r="R65" s="259"/>
      <c r="S65" s="259"/>
      <c r="T65" s="259"/>
      <c r="U65" s="259"/>
      <c r="V65" s="259"/>
      <c r="W65" s="259"/>
      <c r="X65" s="259"/>
      <c r="Y65" s="259"/>
      <c r="Z65" s="259"/>
    </row>
    <row r="66" spans="1:26" ht="6" customHeight="1">
      <c r="A66" s="230"/>
      <c r="B66" s="230"/>
      <c r="C66" s="230"/>
      <c r="D66" s="230"/>
      <c r="E66" s="230"/>
      <c r="F66" s="230"/>
      <c r="G66" s="230"/>
      <c r="H66" s="258"/>
      <c r="I66" s="258"/>
      <c r="J66" s="258"/>
      <c r="K66" s="258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</row>
    <row r="67" spans="1:26" ht="15.75" customHeight="1">
      <c r="A67" s="230" t="s">
        <v>603</v>
      </c>
      <c r="B67" s="230"/>
      <c r="C67" s="230"/>
      <c r="D67" s="230"/>
      <c r="E67" s="230"/>
      <c r="F67" s="230"/>
      <c r="G67" s="230"/>
      <c r="H67" s="260">
        <f>1534110/1000</f>
        <v>1534.11</v>
      </c>
      <c r="I67" s="260">
        <f>1202346/1000</f>
        <v>1202.346</v>
      </c>
      <c r="J67" s="260">
        <f>946651/1000</f>
        <v>946.65099999999995</v>
      </c>
      <c r="K67" s="360">
        <f>H67+I67-J67</f>
        <v>1789.8050000000003</v>
      </c>
      <c r="L67" s="230">
        <v>1743</v>
      </c>
      <c r="M67" s="230">
        <v>2076</v>
      </c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</row>
    <row r="68" spans="1:26" ht="15.75" customHeight="1">
      <c r="A68" s="230" t="s">
        <v>602</v>
      </c>
      <c r="B68" s="230"/>
      <c r="C68" s="230"/>
      <c r="D68" s="230"/>
      <c r="E68" s="230"/>
      <c r="F68" s="230"/>
      <c r="G68" s="230"/>
      <c r="H68" s="299">
        <f>H62</f>
        <v>0</v>
      </c>
      <c r="I68" s="299">
        <f>I62</f>
        <v>0</v>
      </c>
      <c r="J68" s="299">
        <f>J62</f>
        <v>0</v>
      </c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</row>
    <row r="69" spans="1:26" ht="15.75" customHeight="1">
      <c r="A69" s="230" t="s">
        <v>601</v>
      </c>
      <c r="B69" s="230"/>
      <c r="C69" s="230"/>
      <c r="D69" s="230"/>
      <c r="E69" s="230"/>
      <c r="F69" s="230"/>
      <c r="G69" s="230"/>
      <c r="H69" s="299">
        <v>0</v>
      </c>
      <c r="I69" s="299">
        <v>0</v>
      </c>
      <c r="J69" s="299">
        <v>0</v>
      </c>
      <c r="K69" s="23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0"/>
    </row>
    <row r="70" spans="1:26" ht="15.75" customHeight="1">
      <c r="A70" s="230" t="s">
        <v>600</v>
      </c>
      <c r="B70" s="230"/>
      <c r="C70" s="230"/>
      <c r="D70" s="230"/>
      <c r="E70" s="230"/>
      <c r="F70" s="230"/>
      <c r="G70" s="230"/>
      <c r="H70" s="299">
        <f>-(H68+H69)*F11</f>
        <v>0</v>
      </c>
      <c r="I70" s="299">
        <f>-(I68+I69)*F11</f>
        <v>0</v>
      </c>
      <c r="J70" s="299">
        <f>-(J68+J69)*F11</f>
        <v>0</v>
      </c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</row>
    <row r="71" spans="1:26" ht="15.75" customHeight="1">
      <c r="A71" s="230" t="s">
        <v>599</v>
      </c>
      <c r="B71" s="230"/>
      <c r="C71" s="230"/>
      <c r="D71" s="230"/>
      <c r="E71" s="230"/>
      <c r="F71" s="230"/>
      <c r="G71" s="230"/>
      <c r="H71" s="299">
        <v>0</v>
      </c>
      <c r="I71" s="299">
        <v>0</v>
      </c>
      <c r="J71" s="299">
        <v>0</v>
      </c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</row>
    <row r="72" spans="1:26" ht="15.75" customHeight="1">
      <c r="A72" s="259" t="s">
        <v>598</v>
      </c>
      <c r="B72" s="230"/>
      <c r="C72" s="230"/>
      <c r="D72" s="230"/>
      <c r="E72" s="230"/>
      <c r="F72" s="230"/>
      <c r="G72" s="230"/>
      <c r="H72" s="359">
        <f>H67+H68+H69+H70</f>
        <v>1534.11</v>
      </c>
      <c r="I72" s="359">
        <f>I67+I68+I69+I70</f>
        <v>1202.346</v>
      </c>
      <c r="J72" s="359">
        <f>J67+J68+J69+J70</f>
        <v>946.65099999999995</v>
      </c>
      <c r="K72" s="360">
        <f>H72+I72-J72</f>
        <v>1789.8050000000003</v>
      </c>
      <c r="L72" s="230">
        <f>L67</f>
        <v>1743</v>
      </c>
      <c r="M72" s="230">
        <f>M67</f>
        <v>2076</v>
      </c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0"/>
    </row>
    <row r="73" spans="1:26" ht="15.75" customHeight="1">
      <c r="A73" s="230" t="s">
        <v>597</v>
      </c>
      <c r="B73" s="230"/>
      <c r="C73" s="230"/>
      <c r="D73" s="230"/>
      <c r="E73" s="230"/>
      <c r="F73" s="230"/>
      <c r="G73" s="230"/>
      <c r="H73" s="342">
        <v>0</v>
      </c>
      <c r="I73" s="342">
        <v>0</v>
      </c>
      <c r="J73" s="342">
        <v>0</v>
      </c>
      <c r="K73" s="23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0"/>
    </row>
    <row r="74" spans="1:26" ht="15.75" customHeight="1">
      <c r="A74" s="259" t="s">
        <v>596</v>
      </c>
      <c r="B74" s="259"/>
      <c r="C74" s="259"/>
      <c r="D74" s="259"/>
      <c r="E74" s="259"/>
      <c r="F74" s="259"/>
      <c r="G74" s="259"/>
      <c r="H74" s="359">
        <f>H72-H73</f>
        <v>1534.11</v>
      </c>
      <c r="I74" s="359">
        <f>I72-I73</f>
        <v>1202.346</v>
      </c>
      <c r="J74" s="359">
        <f>J72-J73</f>
        <v>946.65099999999995</v>
      </c>
      <c r="K74" s="360">
        <f>H74+I74-J74</f>
        <v>1789.8050000000003</v>
      </c>
      <c r="L74" s="24">
        <f>L72-L73</f>
        <v>1743</v>
      </c>
      <c r="M74" s="24">
        <f>M72-M73</f>
        <v>2076</v>
      </c>
      <c r="N74" s="258"/>
      <c r="O74" s="258"/>
      <c r="P74" s="258"/>
      <c r="Q74" s="259"/>
      <c r="R74" s="259"/>
      <c r="S74" s="259"/>
      <c r="T74" s="259"/>
      <c r="U74" s="259"/>
      <c r="V74" s="259"/>
      <c r="W74" s="259"/>
      <c r="X74" s="259"/>
      <c r="Y74" s="259"/>
      <c r="Z74" s="259"/>
    </row>
    <row r="75" spans="1:26" ht="15.75" customHeight="1">
      <c r="A75" s="230"/>
      <c r="B75" s="230"/>
      <c r="C75" s="230"/>
      <c r="D75" s="230"/>
      <c r="E75" s="230"/>
      <c r="F75" s="230"/>
      <c r="G75" s="230"/>
      <c r="H75" s="258"/>
      <c r="I75" s="258"/>
      <c r="J75" s="258"/>
      <c r="K75" s="258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</row>
    <row r="76" spans="1:26" ht="15.75" customHeight="1">
      <c r="A76" s="230" t="s">
        <v>595</v>
      </c>
      <c r="B76" s="230"/>
      <c r="C76" s="230"/>
      <c r="D76" s="230"/>
      <c r="E76" s="230"/>
      <c r="F76" s="230"/>
      <c r="G76" s="230"/>
      <c r="H76" s="299">
        <f>1376555/1000</f>
        <v>1376.5550000000001</v>
      </c>
      <c r="I76" s="299">
        <f>1379099/1000</f>
        <v>1379.0989999999999</v>
      </c>
      <c r="J76" s="299">
        <f>1386934/1000</f>
        <v>1386.934</v>
      </c>
      <c r="K76" s="258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0"/>
    </row>
    <row r="77" spans="1:26" ht="15.75" customHeight="1">
      <c r="A77" s="230" t="s">
        <v>594</v>
      </c>
      <c r="B77" s="230"/>
      <c r="C77" s="230"/>
      <c r="D77" s="230"/>
      <c r="E77" s="230"/>
      <c r="F77" s="230"/>
      <c r="G77" s="230"/>
      <c r="H77" s="361">
        <f>H74/H76</f>
        <v>1.1144560151973586</v>
      </c>
      <c r="I77" s="361">
        <f>I74/I76</f>
        <v>0.87183443683158357</v>
      </c>
      <c r="J77" s="361">
        <f>J74/J76</f>
        <v>0.68254942196240054</v>
      </c>
      <c r="K77" s="359">
        <f>H77+I77-J77</f>
        <v>1.3037410300665417</v>
      </c>
      <c r="L77" s="230">
        <v>1.2</v>
      </c>
      <c r="M77" s="230">
        <v>1.5</v>
      </c>
      <c r="N77" s="230"/>
      <c r="O77" s="230"/>
      <c r="P77" s="230"/>
      <c r="Q77" s="230"/>
      <c r="R77" s="230"/>
      <c r="S77" s="230"/>
      <c r="T77" s="230"/>
      <c r="U77" s="230"/>
      <c r="V77" s="230"/>
      <c r="W77" s="230"/>
      <c r="X77" s="230"/>
      <c r="Y77" s="230"/>
      <c r="Z77" s="230"/>
    </row>
    <row r="78" spans="1:26" ht="15.75" customHeight="1">
      <c r="A78" s="230"/>
      <c r="B78" s="230"/>
      <c r="C78" s="230"/>
      <c r="D78" s="230"/>
      <c r="E78" s="230"/>
      <c r="F78" s="230"/>
      <c r="G78" s="230"/>
      <c r="H78" s="258"/>
      <c r="I78" s="258"/>
      <c r="J78" s="258"/>
      <c r="K78" s="258"/>
      <c r="L78" s="230"/>
      <c r="M78" s="230"/>
      <c r="N78" s="230"/>
      <c r="O78" s="230"/>
      <c r="P78" s="230"/>
      <c r="Q78" s="230"/>
      <c r="R78" s="230"/>
      <c r="S78" s="230"/>
      <c r="T78" s="230"/>
      <c r="U78" s="230"/>
      <c r="V78" s="230"/>
      <c r="W78" s="230"/>
      <c r="X78" s="230"/>
      <c r="Y78" s="230"/>
      <c r="Z78" s="230"/>
    </row>
    <row r="79" spans="1:26" ht="15.75" customHeight="1">
      <c r="A79" s="230"/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0"/>
      <c r="S79" s="230"/>
      <c r="T79" s="230"/>
      <c r="U79" s="230"/>
      <c r="V79" s="230"/>
      <c r="W79" s="230"/>
      <c r="X79" s="230"/>
      <c r="Y79" s="230"/>
      <c r="Z79" s="230"/>
    </row>
    <row r="80" spans="1:26" ht="15.75" customHeight="1">
      <c r="A80" s="230"/>
      <c r="B80" s="23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0"/>
      <c r="S80" s="230"/>
      <c r="T80" s="230"/>
      <c r="U80" s="230"/>
      <c r="V80" s="230"/>
      <c r="W80" s="230"/>
      <c r="X80" s="230"/>
      <c r="Y80" s="230"/>
      <c r="Z80" s="230"/>
    </row>
    <row r="81" spans="1:26" ht="15.75" customHeight="1">
      <c r="A81" s="230"/>
      <c r="B81" s="256" t="s">
        <v>593</v>
      </c>
      <c r="C81" s="230"/>
      <c r="D81" s="230"/>
      <c r="E81" s="230"/>
      <c r="F81" s="230"/>
      <c r="G81" s="230"/>
      <c r="H81" s="230"/>
      <c r="I81" s="230"/>
      <c r="J81" s="230"/>
      <c r="K81" s="230"/>
      <c r="L81" s="257"/>
      <c r="M81" s="230"/>
      <c r="N81" s="230"/>
      <c r="O81" s="230"/>
      <c r="P81" s="230"/>
      <c r="Q81" s="230"/>
      <c r="R81" s="230"/>
      <c r="S81" s="230"/>
      <c r="T81" s="230"/>
      <c r="U81" s="230"/>
      <c r="V81" s="230"/>
      <c r="W81" s="230"/>
      <c r="X81" s="230"/>
      <c r="Y81" s="230"/>
      <c r="Z81" s="230"/>
    </row>
    <row r="82" spans="1:26" ht="15.75" customHeight="1">
      <c r="A82" s="230"/>
      <c r="B82" s="256" t="s">
        <v>592</v>
      </c>
      <c r="C82" s="230"/>
      <c r="D82" s="230"/>
      <c r="E82" s="230"/>
      <c r="F82" s="230"/>
      <c r="G82" s="230"/>
      <c r="H82" s="230"/>
      <c r="I82" s="230"/>
      <c r="J82" s="230"/>
      <c r="K82" s="230"/>
      <c r="L82" s="230"/>
      <c r="M82" s="230"/>
      <c r="N82" s="230"/>
      <c r="O82" s="230"/>
      <c r="P82" s="230"/>
      <c r="Q82" s="230"/>
      <c r="R82" s="230"/>
      <c r="S82" s="230"/>
      <c r="T82" s="230"/>
      <c r="U82" s="230"/>
      <c r="V82" s="230"/>
      <c r="W82" s="230"/>
      <c r="X82" s="230"/>
      <c r="Y82" s="230"/>
      <c r="Z82" s="230"/>
    </row>
    <row r="83" spans="1:26" ht="15.75" customHeight="1">
      <c r="A83" s="230"/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0"/>
      <c r="P83" s="230"/>
      <c r="Q83" s="230"/>
      <c r="R83" s="230"/>
      <c r="S83" s="230"/>
      <c r="T83" s="230"/>
      <c r="U83" s="230"/>
      <c r="V83" s="230"/>
      <c r="W83" s="230"/>
      <c r="X83" s="230"/>
      <c r="Y83" s="230"/>
      <c r="Z83" s="230"/>
    </row>
    <row r="84" spans="1:26" ht="15.75" customHeight="1">
      <c r="A84" s="230"/>
      <c r="B84" s="230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V84" s="230"/>
      <c r="W84" s="230"/>
      <c r="X84" s="230"/>
      <c r="Y84" s="230"/>
      <c r="Z84" s="230"/>
    </row>
    <row r="85" spans="1:26" ht="15.75" customHeight="1">
      <c r="A85" s="230"/>
      <c r="B85" s="256" t="s">
        <v>591</v>
      </c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0"/>
      <c r="S85" s="230"/>
      <c r="T85" s="230"/>
      <c r="U85" s="230"/>
      <c r="V85" s="230"/>
      <c r="W85" s="230"/>
      <c r="X85" s="230"/>
      <c r="Y85" s="230"/>
      <c r="Z85" s="230"/>
    </row>
    <row r="86" spans="1:26" ht="15.75" customHeight="1">
      <c r="A86" s="230"/>
      <c r="B86" s="230" t="s">
        <v>590</v>
      </c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0"/>
      <c r="S86" s="230"/>
      <c r="T86" s="230"/>
      <c r="U86" s="230"/>
      <c r="V86" s="230"/>
      <c r="W86" s="230"/>
      <c r="X86" s="230"/>
      <c r="Y86" s="230"/>
      <c r="Z86" s="230"/>
    </row>
    <row r="87" spans="1:26" ht="15.75" customHeight="1">
      <c r="A87" s="230"/>
      <c r="B87" s="230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230"/>
      <c r="P87" s="230"/>
      <c r="Q87" s="230"/>
      <c r="R87" s="230"/>
      <c r="S87" s="230"/>
      <c r="T87" s="230"/>
      <c r="U87" s="230"/>
      <c r="V87" s="230"/>
      <c r="W87" s="230"/>
      <c r="X87" s="230"/>
      <c r="Y87" s="230"/>
      <c r="Z87" s="230"/>
    </row>
    <row r="88" spans="1:26" ht="15.75" customHeight="1">
      <c r="A88" s="230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0"/>
      <c r="S88" s="230"/>
      <c r="T88" s="230"/>
      <c r="U88" s="230"/>
      <c r="V88" s="230"/>
      <c r="W88" s="230"/>
      <c r="X88" s="230"/>
      <c r="Y88" s="230"/>
      <c r="Z88" s="230"/>
    </row>
    <row r="89" spans="1:26" ht="15.75" customHeight="1">
      <c r="A89" s="230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</row>
    <row r="90" spans="1:26" ht="15.75" customHeight="1">
      <c r="A90" s="230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</row>
    <row r="91" spans="1:26" ht="15.75" customHeight="1">
      <c r="A91" s="230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30"/>
      <c r="W91" s="230"/>
      <c r="X91" s="230"/>
      <c r="Y91" s="230"/>
      <c r="Z91" s="230"/>
    </row>
    <row r="92" spans="1:26" ht="15.75" customHeight="1">
      <c r="A92" s="230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</row>
    <row r="93" spans="1:26" ht="15.75" customHeight="1">
      <c r="A93" s="230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</row>
    <row r="94" spans="1:26" ht="15.75" customHeight="1">
      <c r="A94" s="230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</row>
    <row r="95" spans="1:26" ht="15.75" customHeight="1">
      <c r="A95" s="230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</row>
    <row r="96" spans="1:26" ht="15.75" customHeight="1">
      <c r="A96" s="230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</row>
    <row r="97" spans="1:26" ht="15.75" customHeight="1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</row>
    <row r="98" spans="1:26" ht="15.75" customHeight="1">
      <c r="A98" s="230"/>
      <c r="B98" s="230"/>
      <c r="C98" s="230"/>
      <c r="D98" s="230"/>
      <c r="E98" s="230"/>
      <c r="F98" s="230"/>
      <c r="G98" s="230" t="s">
        <v>589</v>
      </c>
      <c r="H98" s="230"/>
      <c r="I98" s="230"/>
      <c r="J98" s="230" t="s">
        <v>588</v>
      </c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</row>
    <row r="99" spans="1:26" ht="15.75" customHeight="1">
      <c r="A99" s="230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0"/>
      <c r="Y99" s="230"/>
      <c r="Z99" s="230"/>
    </row>
    <row r="100" spans="1:26" ht="15.75" customHeight="1">
      <c r="A100" s="230"/>
      <c r="B100" s="230"/>
      <c r="C100" s="230"/>
      <c r="D100" s="230"/>
      <c r="E100" s="230"/>
      <c r="F100" s="230"/>
      <c r="G100" s="230" t="s">
        <v>587</v>
      </c>
      <c r="H100" s="230">
        <v>180</v>
      </c>
      <c r="I100" s="230"/>
      <c r="J100" s="230" t="s">
        <v>586</v>
      </c>
      <c r="K100" s="230">
        <v>200</v>
      </c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</row>
    <row r="101" spans="1:26" ht="15.75" customHeight="1">
      <c r="A101" s="230"/>
      <c r="B101" s="230"/>
      <c r="C101" s="230"/>
      <c r="D101" s="230"/>
      <c r="E101" s="230"/>
      <c r="F101" s="230"/>
      <c r="G101" s="230" t="s">
        <v>585</v>
      </c>
      <c r="H101" s="230">
        <v>0</v>
      </c>
      <c r="I101" s="230"/>
      <c r="J101" s="230" t="s">
        <v>584</v>
      </c>
      <c r="K101" s="230">
        <v>0</v>
      </c>
      <c r="L101" s="230"/>
      <c r="M101" s="230"/>
      <c r="N101" s="230"/>
      <c r="O101" s="230"/>
      <c r="P101" s="230"/>
      <c r="Q101" s="230"/>
      <c r="R101" s="230"/>
      <c r="S101" s="230"/>
      <c r="T101" s="230"/>
      <c r="U101" s="230"/>
      <c r="V101" s="230"/>
      <c r="W101" s="230"/>
      <c r="X101" s="230"/>
      <c r="Y101" s="230"/>
      <c r="Z101" s="230"/>
    </row>
    <row r="102" spans="1:26" ht="15.75" customHeight="1">
      <c r="A102" s="230"/>
      <c r="B102" s="230"/>
      <c r="C102" s="230"/>
      <c r="D102" s="230"/>
      <c r="E102" s="230"/>
      <c r="F102" s="230"/>
      <c r="G102" s="230" t="s">
        <v>583</v>
      </c>
      <c r="H102" s="230">
        <v>180</v>
      </c>
      <c r="I102" s="230"/>
      <c r="J102" s="230" t="s">
        <v>582</v>
      </c>
      <c r="K102" s="230">
        <v>200</v>
      </c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</row>
    <row r="103" spans="1:26" ht="15.75" customHeight="1">
      <c r="A103" s="230"/>
      <c r="B103" s="230"/>
      <c r="C103" s="230"/>
      <c r="D103" s="230"/>
      <c r="E103" s="230"/>
      <c r="F103" s="230"/>
      <c r="G103" s="230" t="s">
        <v>581</v>
      </c>
      <c r="H103" s="230">
        <v>80</v>
      </c>
      <c r="I103" s="230"/>
      <c r="J103" s="230" t="s">
        <v>581</v>
      </c>
      <c r="K103" s="230">
        <v>86</v>
      </c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</row>
    <row r="104" spans="1:26" ht="15.75" customHeight="1">
      <c r="A104" s="230"/>
      <c r="B104" s="230"/>
      <c r="C104" s="230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</row>
    <row r="105" spans="1:26" ht="15.75" customHeight="1">
      <c r="A105" s="230"/>
      <c r="B105" s="230"/>
      <c r="C105" s="230"/>
      <c r="D105" s="230"/>
      <c r="E105" s="230"/>
      <c r="F105" s="230"/>
      <c r="G105" s="230" t="s">
        <v>580</v>
      </c>
      <c r="H105" s="230">
        <v>100</v>
      </c>
      <c r="I105" s="230"/>
      <c r="J105" s="230" t="s">
        <v>579</v>
      </c>
      <c r="K105" s="230">
        <v>114</v>
      </c>
      <c r="L105" s="230"/>
      <c r="M105" s="230"/>
      <c r="N105" s="230"/>
      <c r="O105" s="230"/>
      <c r="P105" s="230"/>
      <c r="Q105" s="230"/>
      <c r="R105" s="230"/>
      <c r="S105" s="230"/>
      <c r="T105" s="230"/>
      <c r="U105" s="230"/>
      <c r="V105" s="230"/>
      <c r="W105" s="230"/>
      <c r="X105" s="230"/>
      <c r="Y105" s="230"/>
      <c r="Z105" s="230"/>
    </row>
    <row r="106" spans="1:26" ht="15.75" customHeight="1">
      <c r="A106" s="230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</row>
    <row r="107" spans="1:26" ht="15.75" customHeight="1">
      <c r="A107" s="230"/>
      <c r="B107" s="230"/>
      <c r="C107" s="230"/>
      <c r="D107" s="230"/>
      <c r="E107" s="230"/>
      <c r="F107" s="230"/>
      <c r="G107" s="230"/>
      <c r="H107" s="230"/>
      <c r="I107" s="230"/>
      <c r="J107" s="230" t="s">
        <v>578</v>
      </c>
      <c r="K107" s="230">
        <v>14</v>
      </c>
      <c r="L107" s="230" t="s">
        <v>577</v>
      </c>
      <c r="M107" s="230"/>
      <c r="N107" s="230"/>
      <c r="O107" s="230"/>
      <c r="P107" s="230"/>
      <c r="Q107" s="230"/>
      <c r="R107" s="230"/>
      <c r="S107" s="230"/>
      <c r="T107" s="230"/>
      <c r="U107" s="230"/>
      <c r="V107" s="230"/>
      <c r="W107" s="230"/>
      <c r="X107" s="230"/>
      <c r="Y107" s="230"/>
      <c r="Z107" s="230"/>
    </row>
    <row r="108" spans="1:26" ht="15.75" customHeight="1">
      <c r="A108" s="230"/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0"/>
      <c r="X108" s="230"/>
      <c r="Y108" s="230"/>
      <c r="Z108" s="230"/>
    </row>
    <row r="109" spans="1:26" ht="15.75" customHeight="1">
      <c r="A109" s="230"/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0"/>
      <c r="S109" s="230"/>
      <c r="T109" s="230"/>
      <c r="U109" s="230"/>
      <c r="V109" s="230"/>
      <c r="W109" s="230"/>
      <c r="X109" s="230"/>
      <c r="Y109" s="230"/>
      <c r="Z109" s="230"/>
    </row>
    <row r="110" spans="1:26" ht="15.75" customHeight="1">
      <c r="A110" s="230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</row>
    <row r="111" spans="1:26" ht="15.75" customHeight="1">
      <c r="A111" s="230"/>
      <c r="B111" s="230"/>
      <c r="C111" s="230"/>
      <c r="D111" s="230"/>
      <c r="E111" s="230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</row>
    <row r="112" spans="1:26" ht="15.75" customHeight="1">
      <c r="A112" s="230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0"/>
      <c r="X112" s="230"/>
      <c r="Y112" s="230"/>
      <c r="Z112" s="230"/>
    </row>
    <row r="113" spans="1:26" ht="15.75" customHeight="1">
      <c r="A113" s="230"/>
      <c r="B113" s="230"/>
      <c r="C113" s="230"/>
      <c r="D113" s="230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0"/>
      <c r="S113" s="230"/>
      <c r="T113" s="230"/>
      <c r="U113" s="230"/>
      <c r="V113" s="230"/>
      <c r="W113" s="230"/>
      <c r="X113" s="230"/>
      <c r="Y113" s="230"/>
      <c r="Z113" s="230"/>
    </row>
    <row r="114" spans="1:26" ht="15.75" customHeight="1">
      <c r="A114" s="230"/>
      <c r="B114" s="230"/>
      <c r="C114" s="230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</row>
    <row r="115" spans="1:26" ht="15.75" customHeight="1">
      <c r="A115" s="230"/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</row>
    <row r="116" spans="1:26" ht="15.75" customHeight="1">
      <c r="A116" s="230"/>
      <c r="B116" s="230"/>
      <c r="C116" s="230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</row>
    <row r="117" spans="1:26" ht="15.75" customHeight="1">
      <c r="A117" s="230"/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</row>
    <row r="118" spans="1:26" ht="15.75" customHeight="1">
      <c r="A118" s="230"/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</row>
    <row r="119" spans="1:26" ht="15.75" customHeight="1">
      <c r="A119" s="230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</row>
    <row r="120" spans="1:26" ht="15.75" customHeight="1">
      <c r="A120" s="230"/>
      <c r="B120" s="230"/>
      <c r="C120" s="230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</row>
    <row r="121" spans="1:26" ht="15.75" customHeight="1">
      <c r="A121" s="230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</row>
    <row r="122" spans="1:26" ht="15.75" customHeight="1">
      <c r="A122" s="230"/>
      <c r="B122" s="230"/>
      <c r="C122" s="230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</row>
    <row r="123" spans="1:26" ht="15.75" customHeight="1">
      <c r="A123" s="230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0"/>
      <c r="S123" s="230"/>
      <c r="T123" s="230"/>
      <c r="U123" s="230"/>
      <c r="V123" s="230"/>
      <c r="W123" s="230"/>
      <c r="X123" s="230"/>
      <c r="Y123" s="230"/>
      <c r="Z123" s="230"/>
    </row>
    <row r="124" spans="1:26" ht="15.75" customHeight="1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</row>
    <row r="125" spans="1:26" ht="15.75" customHeight="1">
      <c r="A125" s="230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</row>
    <row r="126" spans="1:26" ht="15.75" customHeight="1">
      <c r="A126" s="230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0"/>
      <c r="S126" s="230"/>
      <c r="T126" s="230"/>
      <c r="U126" s="230"/>
      <c r="V126" s="230"/>
      <c r="W126" s="230"/>
      <c r="X126" s="230"/>
      <c r="Y126" s="230"/>
      <c r="Z126" s="230"/>
    </row>
    <row r="127" spans="1:26" ht="15.75" customHeight="1">
      <c r="A127" s="230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0"/>
      <c r="W127" s="230"/>
      <c r="X127" s="230"/>
      <c r="Y127" s="230"/>
      <c r="Z127" s="230"/>
    </row>
    <row r="128" spans="1:26" ht="15.75" customHeight="1">
      <c r="A128" s="230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0"/>
      <c r="S128" s="230"/>
      <c r="T128" s="230"/>
      <c r="U128" s="230"/>
      <c r="V128" s="230"/>
      <c r="W128" s="230"/>
      <c r="X128" s="230"/>
      <c r="Y128" s="230"/>
      <c r="Z128" s="230"/>
    </row>
    <row r="129" spans="1:26" ht="15.75" customHeight="1">
      <c r="A129" s="230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0"/>
      <c r="V129" s="230"/>
      <c r="W129" s="230"/>
      <c r="X129" s="230"/>
      <c r="Y129" s="230"/>
      <c r="Z129" s="230"/>
    </row>
    <row r="130" spans="1:26" ht="15.75" customHeight="1">
      <c r="A130" s="230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0"/>
      <c r="S130" s="230"/>
      <c r="T130" s="230"/>
      <c r="U130" s="230"/>
      <c r="V130" s="230"/>
      <c r="W130" s="230"/>
      <c r="X130" s="230"/>
      <c r="Y130" s="230"/>
      <c r="Z130" s="230"/>
    </row>
    <row r="131" spans="1:26" ht="15.75" customHeight="1">
      <c r="A131" s="230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V131" s="230"/>
      <c r="W131" s="230"/>
      <c r="X131" s="230"/>
      <c r="Y131" s="230"/>
      <c r="Z131" s="230"/>
    </row>
    <row r="132" spans="1:26" ht="15.75" customHeight="1">
      <c r="A132" s="230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</row>
    <row r="133" spans="1:26" ht="15.75" customHeight="1">
      <c r="A133" s="230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</row>
    <row r="134" spans="1:26" ht="15.75" customHeight="1">
      <c r="A134" s="230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</row>
    <row r="135" spans="1:26" ht="15.75" customHeight="1">
      <c r="A135" s="230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</row>
    <row r="136" spans="1:26" ht="15.75" customHeight="1">
      <c r="A136" s="230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</row>
    <row r="137" spans="1:26" ht="15.75" customHeight="1">
      <c r="A137" s="230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</row>
    <row r="138" spans="1:26" ht="15.75" customHeight="1">
      <c r="A138" s="230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</row>
    <row r="139" spans="1:26" ht="15.75" customHeight="1">
      <c r="A139" s="230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</row>
    <row r="140" spans="1:26" ht="15.75" customHeight="1">
      <c r="A140" s="230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</row>
    <row r="141" spans="1:26" ht="15.75" customHeight="1">
      <c r="A141" s="230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30"/>
      <c r="W141" s="230"/>
      <c r="X141" s="230"/>
      <c r="Y141" s="230"/>
      <c r="Z141" s="230"/>
    </row>
    <row r="142" spans="1:26" ht="15.75" customHeight="1">
      <c r="A142" s="230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</row>
    <row r="143" spans="1:26" ht="15.75" customHeight="1">
      <c r="A143" s="230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30"/>
      <c r="W143" s="230"/>
      <c r="X143" s="230"/>
      <c r="Y143" s="230"/>
      <c r="Z143" s="230"/>
    </row>
    <row r="144" spans="1:26" ht="15.7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</row>
    <row r="145" spans="1:26" ht="15.75" customHeight="1">
      <c r="A145" s="230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0"/>
      <c r="W145" s="230"/>
      <c r="X145" s="230"/>
      <c r="Y145" s="230"/>
      <c r="Z145" s="230"/>
    </row>
    <row r="146" spans="1:26" ht="15.75" customHeight="1">
      <c r="A146" s="230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V146" s="230"/>
      <c r="W146" s="230"/>
      <c r="X146" s="230"/>
      <c r="Y146" s="230"/>
      <c r="Z146" s="230"/>
    </row>
    <row r="147" spans="1:26" ht="15.75" customHeight="1">
      <c r="A147" s="230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0"/>
      <c r="S147" s="230"/>
      <c r="T147" s="230"/>
      <c r="U147" s="230"/>
      <c r="V147" s="230"/>
      <c r="W147" s="230"/>
      <c r="X147" s="230"/>
      <c r="Y147" s="230"/>
      <c r="Z147" s="230"/>
    </row>
    <row r="148" spans="1:26" ht="15.75" customHeight="1">
      <c r="A148" s="230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0"/>
      <c r="X148" s="230"/>
      <c r="Y148" s="230"/>
      <c r="Z148" s="230"/>
    </row>
    <row r="149" spans="1:26" ht="15.75" customHeight="1">
      <c r="A149" s="230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</row>
    <row r="150" spans="1:26" ht="15.75" customHeight="1">
      <c r="A150" s="230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30"/>
      <c r="U150" s="230"/>
      <c r="V150" s="230"/>
      <c r="W150" s="230"/>
      <c r="X150" s="230"/>
      <c r="Y150" s="230"/>
      <c r="Z150" s="230"/>
    </row>
    <row r="151" spans="1:26" ht="15.75" customHeight="1">
      <c r="A151" s="230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</row>
    <row r="152" spans="1:26" ht="15.75" customHeight="1">
      <c r="A152" s="230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0"/>
      <c r="V152" s="230"/>
      <c r="W152" s="230"/>
      <c r="X152" s="230"/>
      <c r="Y152" s="230"/>
      <c r="Z152" s="230"/>
    </row>
    <row r="153" spans="1:26" ht="15.75" customHeight="1">
      <c r="A153" s="230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0"/>
      <c r="S153" s="230"/>
      <c r="T153" s="230"/>
      <c r="U153" s="230"/>
      <c r="V153" s="230"/>
      <c r="W153" s="230"/>
      <c r="X153" s="230"/>
      <c r="Y153" s="230"/>
      <c r="Z153" s="230"/>
    </row>
    <row r="154" spans="1:26" ht="15.75" customHeight="1">
      <c r="A154" s="230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0"/>
      <c r="Q154" s="230"/>
      <c r="R154" s="230"/>
      <c r="S154" s="230"/>
      <c r="T154" s="230"/>
      <c r="U154" s="230"/>
      <c r="V154" s="230"/>
      <c r="W154" s="230"/>
      <c r="X154" s="230"/>
      <c r="Y154" s="230"/>
      <c r="Z154" s="230"/>
    </row>
    <row r="155" spans="1:26" ht="15.75" customHeight="1">
      <c r="A155" s="230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V155" s="230"/>
      <c r="W155" s="230"/>
      <c r="X155" s="230"/>
      <c r="Y155" s="230"/>
      <c r="Z155" s="230"/>
    </row>
    <row r="156" spans="1:26" ht="15.75" customHeight="1">
      <c r="A156" s="230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30"/>
      <c r="W156" s="230"/>
      <c r="X156" s="230"/>
      <c r="Y156" s="230"/>
      <c r="Z156" s="230"/>
    </row>
    <row r="157" spans="1:26" ht="15.75" customHeight="1">
      <c r="A157" s="230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V157" s="230"/>
      <c r="W157" s="230"/>
      <c r="X157" s="230"/>
      <c r="Y157" s="230"/>
      <c r="Z157" s="230"/>
    </row>
    <row r="158" spans="1:26" ht="15.75" customHeight="1">
      <c r="A158" s="230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V158" s="230"/>
      <c r="W158" s="230"/>
      <c r="X158" s="230"/>
      <c r="Y158" s="230"/>
      <c r="Z158" s="230"/>
    </row>
    <row r="159" spans="1:26" ht="15.75" customHeight="1">
      <c r="A159" s="230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/>
      <c r="Z159" s="230"/>
    </row>
    <row r="160" spans="1:26" ht="15.75" customHeight="1">
      <c r="A160" s="230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0"/>
      <c r="S160" s="230"/>
      <c r="T160" s="230"/>
      <c r="U160" s="230"/>
      <c r="V160" s="230"/>
      <c r="W160" s="230"/>
      <c r="X160" s="230"/>
      <c r="Y160" s="230"/>
      <c r="Z160" s="230"/>
    </row>
    <row r="161" spans="1:26" ht="15.75" customHeight="1">
      <c r="A161" s="230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0"/>
      <c r="S161" s="230"/>
      <c r="T161" s="230"/>
      <c r="U161" s="230"/>
      <c r="V161" s="230"/>
      <c r="W161" s="230"/>
      <c r="X161" s="230"/>
      <c r="Y161" s="230"/>
      <c r="Z161" s="230"/>
    </row>
    <row r="162" spans="1:26" ht="15.75" customHeight="1">
      <c r="A162" s="230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0"/>
      <c r="S162" s="230"/>
      <c r="T162" s="230"/>
      <c r="U162" s="230"/>
      <c r="V162" s="230"/>
      <c r="W162" s="230"/>
      <c r="X162" s="230"/>
      <c r="Y162" s="230"/>
      <c r="Z162" s="230"/>
    </row>
    <row r="163" spans="1:26" ht="15.75" customHeight="1">
      <c r="A163" s="230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</row>
    <row r="164" spans="1:26" ht="15.75" customHeight="1">
      <c r="A164" s="230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</row>
    <row r="165" spans="1:26" ht="15.75" customHeight="1">
      <c r="A165" s="230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</row>
    <row r="166" spans="1:26" ht="15.75" customHeight="1">
      <c r="A166" s="230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</row>
    <row r="167" spans="1:26" ht="15.75" customHeight="1">
      <c r="A167" s="230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</row>
    <row r="168" spans="1:26" ht="15.75" customHeight="1">
      <c r="A168" s="230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</row>
    <row r="169" spans="1:26" ht="15.75" customHeight="1">
      <c r="A169" s="230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V169" s="230"/>
      <c r="W169" s="230"/>
      <c r="X169" s="230"/>
      <c r="Y169" s="230"/>
      <c r="Z169" s="230"/>
    </row>
    <row r="170" spans="1:26" ht="15.75" customHeight="1">
      <c r="A170" s="230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V170" s="230"/>
      <c r="W170" s="230"/>
      <c r="X170" s="230"/>
      <c r="Y170" s="230"/>
      <c r="Z170" s="230"/>
    </row>
    <row r="171" spans="1:26" ht="15.75" customHeight="1">
      <c r="A171" s="230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</row>
    <row r="172" spans="1:26" ht="15.75" customHeight="1">
      <c r="A172" s="230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30"/>
      <c r="S172" s="230"/>
      <c r="T172" s="230"/>
      <c r="U172" s="230"/>
      <c r="V172" s="230"/>
      <c r="W172" s="230"/>
      <c r="X172" s="230"/>
      <c r="Y172" s="230"/>
      <c r="Z172" s="230"/>
    </row>
    <row r="173" spans="1:26" ht="15.75" customHeight="1">
      <c r="A173" s="230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</row>
    <row r="174" spans="1:26" ht="15.75" customHeight="1">
      <c r="A174" s="230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0"/>
      <c r="S174" s="230"/>
      <c r="T174" s="230"/>
      <c r="U174" s="230"/>
      <c r="V174" s="230"/>
      <c r="W174" s="230"/>
      <c r="X174" s="230"/>
      <c r="Y174" s="230"/>
      <c r="Z174" s="230"/>
    </row>
    <row r="175" spans="1:26" ht="15.75" customHeight="1">
      <c r="A175" s="230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0"/>
      <c r="V175" s="230"/>
      <c r="W175" s="230"/>
      <c r="X175" s="230"/>
      <c r="Y175" s="230"/>
      <c r="Z175" s="230"/>
    </row>
    <row r="176" spans="1:26" ht="15.75" customHeight="1">
      <c r="A176" s="230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0"/>
      <c r="Y176" s="230"/>
      <c r="Z176" s="230"/>
    </row>
    <row r="177" spans="1:26" ht="15.75" customHeight="1">
      <c r="A177" s="230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</row>
    <row r="178" spans="1:26" ht="15.75" customHeight="1">
      <c r="A178" s="230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</row>
    <row r="179" spans="1:26" ht="15.75" customHeight="1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V179" s="230"/>
      <c r="W179" s="230"/>
      <c r="X179" s="230"/>
      <c r="Y179" s="230"/>
      <c r="Z179" s="230"/>
    </row>
    <row r="180" spans="1:26" ht="15.75" customHeight="1">
      <c r="A180" s="230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V180" s="230"/>
      <c r="W180" s="230"/>
      <c r="X180" s="230"/>
      <c r="Y180" s="230"/>
      <c r="Z180" s="230"/>
    </row>
    <row r="181" spans="1:26" ht="15.75" customHeight="1">
      <c r="A181" s="230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V181" s="230"/>
      <c r="W181" s="230"/>
      <c r="X181" s="230"/>
      <c r="Y181" s="230"/>
      <c r="Z181" s="230"/>
    </row>
    <row r="182" spans="1:26" ht="15.75" customHeight="1">
      <c r="A182" s="230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</row>
    <row r="183" spans="1:26" ht="15.75" customHeight="1">
      <c r="A183" s="230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</row>
    <row r="184" spans="1:26" ht="15.75" customHeight="1">
      <c r="A184" s="230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</row>
    <row r="185" spans="1:26" ht="15.75" customHeight="1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</row>
    <row r="186" spans="1:26" ht="15.75" customHeight="1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</row>
    <row r="187" spans="1:26" ht="15.75" customHeight="1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</row>
    <row r="188" spans="1:26" ht="15.75" customHeight="1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</row>
    <row r="189" spans="1:26" ht="15.75" customHeight="1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</row>
    <row r="190" spans="1:26" ht="15.75" customHeight="1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</row>
    <row r="191" spans="1:26" ht="15.75" customHeight="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</row>
    <row r="192" spans="1:26" ht="15.75" customHeight="1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</row>
    <row r="193" spans="1:26" ht="15.75" customHeight="1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</row>
    <row r="194" spans="1:26" ht="15.75" customHeight="1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</row>
    <row r="195" spans="1:26" ht="15.75" customHeight="1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</row>
    <row r="196" spans="1:26" ht="15.75" customHeight="1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</row>
    <row r="197" spans="1:26" ht="15.75" customHeight="1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</row>
    <row r="198" spans="1:26" ht="15.75" customHeight="1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</row>
    <row r="199" spans="1:26" ht="15.75" customHeight="1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</row>
    <row r="200" spans="1:26" ht="15.75" customHeight="1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</row>
    <row r="201" spans="1:26" ht="15.75" customHeight="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</row>
    <row r="202" spans="1:26" ht="15.75" customHeight="1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</row>
    <row r="203" spans="1:26" ht="15.75" customHeight="1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</row>
    <row r="204" spans="1:26" ht="15.75" customHeight="1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</row>
    <row r="205" spans="1:26" ht="15.75" customHeight="1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</row>
    <row r="206" spans="1:26" ht="15.75" customHeight="1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</row>
    <row r="207" spans="1:26" ht="15.75" customHeight="1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</row>
    <row r="208" spans="1:26" ht="15.75" customHeight="1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</row>
    <row r="209" spans="1:26" ht="15.75" customHeight="1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</row>
    <row r="210" spans="1:26" ht="15.75" customHeight="1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</row>
    <row r="211" spans="1:26" ht="15.75" customHeight="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</row>
    <row r="212" spans="1:26" ht="15.75" customHeight="1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</row>
    <row r="213" spans="1:26" ht="15.75" customHeight="1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</row>
    <row r="214" spans="1:26" ht="15.75" customHeight="1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</row>
    <row r="215" spans="1:26" ht="15.75" customHeight="1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</row>
    <row r="216" spans="1:26" ht="15.75" customHeight="1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</row>
    <row r="217" spans="1:26" ht="15.75" customHeight="1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</row>
    <row r="218" spans="1:26" ht="15.75" customHeight="1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</row>
    <row r="219" spans="1:26" ht="15.75" customHeight="1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</row>
    <row r="220" spans="1:26" ht="15.75" customHeight="1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</row>
    <row r="221" spans="1:26" ht="15.75" customHeight="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</row>
    <row r="222" spans="1:26" ht="15.75" customHeight="1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</row>
    <row r="223" spans="1:26" ht="15.75" customHeight="1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</row>
    <row r="224" spans="1:26" ht="15.75" customHeight="1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</row>
    <row r="225" spans="1:26" ht="15.75" customHeight="1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</row>
    <row r="226" spans="1:26" ht="15.75" customHeight="1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</row>
    <row r="227" spans="1:26" ht="15.75" customHeight="1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</row>
    <row r="228" spans="1:26" ht="15.75" customHeight="1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</row>
    <row r="229" spans="1:26" ht="15.75" customHeight="1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</row>
    <row r="230" spans="1:26" ht="15.75" customHeight="1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</row>
    <row r="231" spans="1:26" ht="15.75" customHeight="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</row>
    <row r="232" spans="1:26" ht="15.75" customHeight="1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</row>
    <row r="233" spans="1:26" ht="15.75" customHeight="1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</row>
    <row r="234" spans="1:26" ht="15.75" customHeight="1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</row>
    <row r="235" spans="1:26" ht="15.75" customHeight="1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</row>
    <row r="236" spans="1:26" ht="15.75" customHeight="1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</row>
    <row r="237" spans="1:26" ht="15.75" customHeight="1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</row>
    <row r="238" spans="1:26" ht="15.75" customHeight="1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</row>
    <row r="239" spans="1:26" ht="15.75" customHeight="1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</row>
    <row r="240" spans="1:26" ht="15.75" customHeight="1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</row>
    <row r="241" spans="1:26" ht="15.75" customHeight="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</row>
    <row r="242" spans="1:26" ht="15.75" customHeight="1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</row>
    <row r="243" spans="1:26" ht="15.75" customHeight="1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</row>
    <row r="244" spans="1:26" ht="15.75" customHeight="1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</row>
    <row r="245" spans="1:26" ht="15.75" customHeight="1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</row>
    <row r="246" spans="1:26" ht="15.75" customHeight="1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</row>
    <row r="247" spans="1:26" ht="15.75" customHeight="1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</row>
    <row r="248" spans="1:26" ht="15.75" customHeight="1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</row>
    <row r="249" spans="1:26" ht="15.75" customHeight="1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</row>
    <row r="250" spans="1:26" ht="15.75" customHeight="1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</row>
    <row r="251" spans="1:26" ht="15.75" customHeight="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</row>
    <row r="252" spans="1:26" ht="15.75" customHeight="1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</row>
    <row r="253" spans="1:26" ht="15.75" customHeight="1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</row>
    <row r="254" spans="1:26" ht="15.75" customHeight="1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</row>
    <row r="255" spans="1:26" ht="15.75" customHeight="1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</row>
    <row r="256" spans="1:26" ht="15.75" customHeight="1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</row>
    <row r="257" spans="1:26" ht="15.75" customHeight="1">
      <c r="A257" s="230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0"/>
      <c r="S257" s="230"/>
      <c r="T257" s="230"/>
      <c r="U257" s="230"/>
      <c r="V257" s="230"/>
      <c r="W257" s="230"/>
      <c r="X257" s="230"/>
      <c r="Y257" s="230"/>
      <c r="Z257" s="230"/>
    </row>
    <row r="258" spans="1:26" ht="15.75" customHeight="1">
      <c r="A258" s="230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0"/>
      <c r="S258" s="230"/>
      <c r="T258" s="230"/>
      <c r="U258" s="230"/>
      <c r="V258" s="230"/>
      <c r="W258" s="230"/>
      <c r="X258" s="230"/>
      <c r="Y258" s="230"/>
      <c r="Z258" s="230"/>
    </row>
    <row r="259" spans="1:26" ht="15.75" customHeight="1">
      <c r="A259" s="230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0"/>
      <c r="P259" s="230"/>
      <c r="Q259" s="230"/>
      <c r="R259" s="230"/>
      <c r="S259" s="230"/>
      <c r="T259" s="230"/>
      <c r="U259" s="230"/>
      <c r="V259" s="230"/>
      <c r="W259" s="230"/>
      <c r="X259" s="230"/>
      <c r="Y259" s="230"/>
      <c r="Z259" s="230"/>
    </row>
    <row r="260" spans="1:26" ht="15.75" customHeight="1">
      <c r="A260" s="230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0"/>
      <c r="P260" s="230"/>
      <c r="Q260" s="230"/>
      <c r="R260" s="230"/>
      <c r="S260" s="230"/>
      <c r="T260" s="230"/>
      <c r="U260" s="230"/>
      <c r="V260" s="230"/>
      <c r="W260" s="230"/>
      <c r="X260" s="230"/>
      <c r="Y260" s="230"/>
      <c r="Z260" s="230"/>
    </row>
    <row r="261" spans="1:26" ht="15.75" customHeight="1">
      <c r="A261" s="230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0"/>
      <c r="P261" s="230"/>
      <c r="Q261" s="230"/>
      <c r="R261" s="230"/>
      <c r="S261" s="230"/>
      <c r="T261" s="230"/>
      <c r="U261" s="230"/>
      <c r="V261" s="230"/>
      <c r="W261" s="230"/>
      <c r="X261" s="230"/>
      <c r="Y261" s="230"/>
      <c r="Z261" s="230"/>
    </row>
    <row r="262" spans="1:26" ht="15.75" customHeight="1">
      <c r="A262" s="230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0"/>
      <c r="P262" s="230"/>
      <c r="Q262" s="230"/>
      <c r="R262" s="230"/>
      <c r="S262" s="230"/>
      <c r="T262" s="230"/>
      <c r="U262" s="230"/>
      <c r="V262" s="230"/>
      <c r="W262" s="230"/>
      <c r="X262" s="230"/>
      <c r="Y262" s="230"/>
      <c r="Z262" s="230"/>
    </row>
    <row r="263" spans="1:26" ht="15.75" customHeight="1">
      <c r="A263" s="230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0"/>
      <c r="P263" s="230"/>
      <c r="Q263" s="230"/>
      <c r="R263" s="230"/>
      <c r="S263" s="230"/>
      <c r="T263" s="230"/>
      <c r="U263" s="230"/>
      <c r="V263" s="230"/>
      <c r="W263" s="230"/>
      <c r="X263" s="230"/>
      <c r="Y263" s="230"/>
      <c r="Z263" s="230"/>
    </row>
    <row r="264" spans="1:26" ht="15.75" customHeight="1">
      <c r="A264" s="230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0"/>
      <c r="V264" s="230"/>
      <c r="W264" s="230"/>
      <c r="X264" s="230"/>
      <c r="Y264" s="230"/>
      <c r="Z264" s="230"/>
    </row>
    <row r="265" spans="1:26" ht="15.75" customHeight="1">
      <c r="A265" s="230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0"/>
      <c r="P265" s="230"/>
      <c r="Q265" s="230"/>
      <c r="R265" s="230"/>
      <c r="S265" s="230"/>
      <c r="T265" s="230"/>
      <c r="U265" s="230"/>
      <c r="V265" s="230"/>
      <c r="W265" s="230"/>
      <c r="X265" s="230"/>
      <c r="Y265" s="230"/>
      <c r="Z265" s="230"/>
    </row>
    <row r="266" spans="1:26" ht="15.75" customHeight="1">
      <c r="A266" s="230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0"/>
      <c r="P266" s="230"/>
      <c r="Q266" s="230"/>
      <c r="R266" s="230"/>
      <c r="S266" s="230"/>
      <c r="T266" s="230"/>
      <c r="U266" s="230"/>
      <c r="V266" s="230"/>
      <c r="W266" s="230"/>
      <c r="X266" s="230"/>
      <c r="Y266" s="230"/>
      <c r="Z266" s="230"/>
    </row>
    <row r="267" spans="1:26" ht="15.75" customHeight="1">
      <c r="A267" s="230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0"/>
      <c r="P267" s="230"/>
      <c r="Q267" s="230"/>
      <c r="R267" s="230"/>
      <c r="S267" s="230"/>
      <c r="T267" s="230"/>
      <c r="U267" s="230"/>
      <c r="V267" s="230"/>
      <c r="W267" s="230"/>
      <c r="X267" s="230"/>
      <c r="Y267" s="230"/>
      <c r="Z267" s="230"/>
    </row>
    <row r="268" spans="1:26" ht="15.75" customHeight="1">
      <c r="A268" s="230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0"/>
      <c r="P268" s="230"/>
      <c r="Q268" s="230"/>
      <c r="R268" s="230"/>
      <c r="S268" s="230"/>
      <c r="T268" s="230"/>
      <c r="U268" s="230"/>
      <c r="V268" s="230"/>
      <c r="W268" s="230"/>
      <c r="X268" s="230"/>
      <c r="Y268" s="230"/>
      <c r="Z268" s="230"/>
    </row>
    <row r="269" spans="1:26" ht="15.75" customHeight="1">
      <c r="A269" s="230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0"/>
      <c r="S269" s="230"/>
      <c r="T269" s="230"/>
      <c r="U269" s="230"/>
      <c r="V269" s="230"/>
      <c r="W269" s="230"/>
      <c r="X269" s="230"/>
      <c r="Y269" s="230"/>
      <c r="Z269" s="230"/>
    </row>
    <row r="270" spans="1:26" ht="15.75" customHeight="1">
      <c r="A270" s="230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0"/>
      <c r="S270" s="230"/>
      <c r="T270" s="230"/>
      <c r="U270" s="230"/>
      <c r="V270" s="230"/>
      <c r="W270" s="230"/>
      <c r="X270" s="230"/>
      <c r="Y270" s="230"/>
      <c r="Z270" s="230"/>
    </row>
    <row r="271" spans="1:26" ht="15.75" customHeight="1">
      <c r="A271" s="230"/>
      <c r="B271" s="230"/>
      <c r="C271" s="230"/>
      <c r="D271" s="230"/>
      <c r="E271" s="230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0"/>
      <c r="S271" s="230"/>
      <c r="T271" s="230"/>
      <c r="U271" s="230"/>
      <c r="V271" s="230"/>
      <c r="W271" s="230"/>
      <c r="X271" s="230"/>
      <c r="Y271" s="230"/>
      <c r="Z271" s="230"/>
    </row>
    <row r="272" spans="1:26" ht="15.75" customHeight="1">
      <c r="A272" s="230"/>
      <c r="B272" s="230"/>
      <c r="C272" s="230"/>
      <c r="D272" s="230"/>
      <c r="E272" s="230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0"/>
      <c r="S272" s="230"/>
      <c r="T272" s="230"/>
      <c r="U272" s="230"/>
      <c r="V272" s="230"/>
      <c r="W272" s="230"/>
      <c r="X272" s="230"/>
      <c r="Y272" s="230"/>
      <c r="Z272" s="230"/>
    </row>
    <row r="273" spans="1:26" ht="15.75" customHeight="1">
      <c r="A273" s="230"/>
      <c r="B273" s="230"/>
      <c r="C273" s="230"/>
      <c r="D273" s="230"/>
      <c r="E273" s="230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0"/>
      <c r="S273" s="230"/>
      <c r="T273" s="230"/>
      <c r="U273" s="230"/>
      <c r="V273" s="230"/>
      <c r="W273" s="230"/>
      <c r="X273" s="230"/>
      <c r="Y273" s="230"/>
      <c r="Z273" s="230"/>
    </row>
    <row r="274" spans="1:26" ht="15.75" customHeight="1">
      <c r="A274" s="230"/>
      <c r="B274" s="230"/>
      <c r="C274" s="230"/>
      <c r="D274" s="230"/>
      <c r="E274" s="230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0"/>
      <c r="S274" s="230"/>
      <c r="T274" s="230"/>
      <c r="U274" s="230"/>
      <c r="V274" s="230"/>
      <c r="W274" s="230"/>
      <c r="X274" s="230"/>
      <c r="Y274" s="230"/>
      <c r="Z274" s="230"/>
    </row>
    <row r="275" spans="1:26" ht="15.75" customHeight="1">
      <c r="A275" s="230"/>
      <c r="B275" s="230"/>
      <c r="C275" s="230"/>
      <c r="D275" s="230"/>
      <c r="E275" s="230"/>
      <c r="F275" s="230"/>
      <c r="G275" s="230"/>
      <c r="H275" s="230"/>
      <c r="I275" s="230"/>
      <c r="J275" s="230"/>
      <c r="K275" s="230"/>
      <c r="L275" s="230"/>
      <c r="M275" s="230"/>
      <c r="N275" s="230"/>
      <c r="O275" s="230"/>
      <c r="P275" s="230"/>
      <c r="Q275" s="230"/>
      <c r="R275" s="230"/>
      <c r="S275" s="230"/>
      <c r="T275" s="230"/>
      <c r="U275" s="230"/>
      <c r="V275" s="230"/>
      <c r="W275" s="230"/>
      <c r="X275" s="230"/>
      <c r="Y275" s="230"/>
      <c r="Z275" s="230"/>
    </row>
    <row r="276" spans="1:26" ht="15.75" customHeight="1">
      <c r="A276" s="230"/>
      <c r="B276" s="230"/>
      <c r="C276" s="230"/>
      <c r="D276" s="230"/>
      <c r="E276" s="230"/>
      <c r="F276" s="230"/>
      <c r="G276" s="230"/>
      <c r="H276" s="230"/>
      <c r="I276" s="230"/>
      <c r="J276" s="230"/>
      <c r="K276" s="230"/>
      <c r="L276" s="230"/>
      <c r="M276" s="230"/>
      <c r="N276" s="230"/>
      <c r="O276" s="230"/>
      <c r="P276" s="230"/>
      <c r="Q276" s="230"/>
      <c r="R276" s="230"/>
      <c r="S276" s="230"/>
      <c r="T276" s="230"/>
      <c r="U276" s="230"/>
      <c r="V276" s="230"/>
      <c r="W276" s="230"/>
      <c r="X276" s="230"/>
      <c r="Y276" s="230"/>
      <c r="Z276" s="230"/>
    </row>
    <row r="277" spans="1:26" ht="15.75" customHeight="1">
      <c r="A277" s="230"/>
      <c r="B277" s="230"/>
      <c r="C277" s="230"/>
      <c r="D277" s="230"/>
      <c r="E277" s="230"/>
      <c r="F277" s="230"/>
      <c r="G277" s="230"/>
      <c r="H277" s="230"/>
      <c r="I277" s="230"/>
      <c r="J277" s="230"/>
      <c r="K277" s="230"/>
      <c r="L277" s="230"/>
      <c r="M277" s="230"/>
      <c r="N277" s="230"/>
      <c r="O277" s="230"/>
      <c r="P277" s="230"/>
      <c r="Q277" s="230"/>
      <c r="R277" s="230"/>
      <c r="S277" s="230"/>
      <c r="T277" s="230"/>
      <c r="U277" s="230"/>
      <c r="V277" s="230"/>
      <c r="W277" s="230"/>
      <c r="X277" s="230"/>
      <c r="Y277" s="230"/>
      <c r="Z277" s="230"/>
    </row>
    <row r="278" spans="1:26" ht="15.75" customHeight="1">
      <c r="A278" s="230"/>
      <c r="B278" s="230"/>
      <c r="C278" s="230"/>
      <c r="D278" s="230"/>
      <c r="E278" s="230"/>
      <c r="F278" s="230"/>
      <c r="G278" s="230"/>
      <c r="H278" s="230"/>
      <c r="I278" s="230"/>
      <c r="J278" s="230"/>
      <c r="K278" s="230"/>
      <c r="L278" s="230"/>
      <c r="M278" s="230"/>
      <c r="N278" s="230"/>
      <c r="O278" s="230"/>
      <c r="P278" s="230"/>
      <c r="Q278" s="230"/>
      <c r="R278" s="230"/>
      <c r="S278" s="230"/>
      <c r="T278" s="230"/>
      <c r="U278" s="230"/>
      <c r="V278" s="230"/>
      <c r="W278" s="230"/>
      <c r="X278" s="230"/>
      <c r="Y278" s="230"/>
      <c r="Z278" s="230"/>
    </row>
    <row r="279" spans="1:26" ht="15.75" customHeight="1">
      <c r="A279" s="230"/>
      <c r="B279" s="230"/>
      <c r="C279" s="230"/>
      <c r="D279" s="230"/>
      <c r="E279" s="230"/>
      <c r="F279" s="230"/>
      <c r="G279" s="230"/>
      <c r="H279" s="230"/>
      <c r="I279" s="230"/>
      <c r="J279" s="230"/>
      <c r="K279" s="230"/>
      <c r="L279" s="230"/>
      <c r="M279" s="230"/>
      <c r="N279" s="230"/>
      <c r="O279" s="230"/>
      <c r="P279" s="230"/>
      <c r="Q279" s="230"/>
      <c r="R279" s="230"/>
      <c r="S279" s="230"/>
      <c r="T279" s="230"/>
      <c r="U279" s="230"/>
      <c r="V279" s="230"/>
      <c r="W279" s="230"/>
      <c r="X279" s="230"/>
      <c r="Y279" s="230"/>
      <c r="Z279" s="230"/>
    </row>
    <row r="280" spans="1:26" ht="15.75" customHeight="1">
      <c r="A280" s="230"/>
      <c r="B280" s="230"/>
      <c r="C280" s="230"/>
      <c r="D280" s="230"/>
      <c r="E280" s="230"/>
      <c r="F280" s="230"/>
      <c r="G280" s="230"/>
      <c r="H280" s="230"/>
      <c r="I280" s="230"/>
      <c r="J280" s="230"/>
      <c r="K280" s="230"/>
      <c r="L280" s="230"/>
      <c r="M280" s="230"/>
      <c r="N280" s="230"/>
      <c r="O280" s="230"/>
      <c r="P280" s="230"/>
      <c r="Q280" s="230"/>
      <c r="R280" s="230"/>
      <c r="S280" s="230"/>
      <c r="T280" s="230"/>
      <c r="U280" s="230"/>
      <c r="V280" s="230"/>
      <c r="W280" s="230"/>
      <c r="X280" s="230"/>
      <c r="Y280" s="230"/>
      <c r="Z280" s="230"/>
    </row>
    <row r="281" spans="1:26" ht="15.75" customHeight="1">
      <c r="A281" s="230"/>
      <c r="B281" s="230"/>
      <c r="C281" s="230"/>
      <c r="D281" s="230"/>
      <c r="E281" s="230"/>
      <c r="F281" s="230"/>
      <c r="G281" s="230"/>
      <c r="H281" s="230"/>
      <c r="I281" s="230"/>
      <c r="J281" s="230"/>
      <c r="K281" s="230"/>
      <c r="L281" s="230"/>
      <c r="M281" s="230"/>
      <c r="N281" s="230"/>
      <c r="O281" s="230"/>
      <c r="P281" s="230"/>
      <c r="Q281" s="230"/>
      <c r="R281" s="230"/>
      <c r="S281" s="230"/>
      <c r="T281" s="230"/>
      <c r="U281" s="230"/>
      <c r="V281" s="230"/>
      <c r="W281" s="230"/>
      <c r="X281" s="230"/>
      <c r="Y281" s="230"/>
      <c r="Z281" s="230"/>
    </row>
    <row r="282" spans="1:26" ht="15.75" customHeight="1">
      <c r="A282" s="230"/>
      <c r="B282" s="230"/>
      <c r="C282" s="230"/>
      <c r="D282" s="230"/>
      <c r="E282" s="230"/>
      <c r="F282" s="230"/>
      <c r="G282" s="230"/>
      <c r="H282" s="230"/>
      <c r="I282" s="230"/>
      <c r="J282" s="230"/>
      <c r="K282" s="230"/>
      <c r="L282" s="230"/>
      <c r="M282" s="230"/>
      <c r="N282" s="230"/>
      <c r="O282" s="230"/>
      <c r="P282" s="230"/>
      <c r="Q282" s="230"/>
      <c r="R282" s="230"/>
      <c r="S282" s="230"/>
      <c r="T282" s="230"/>
      <c r="U282" s="230"/>
      <c r="V282" s="230"/>
      <c r="W282" s="230"/>
      <c r="X282" s="230"/>
      <c r="Y282" s="230"/>
      <c r="Z282" s="230"/>
    </row>
    <row r="283" spans="1:26" ht="15.75" customHeight="1">
      <c r="A283" s="230"/>
      <c r="B283" s="230"/>
      <c r="C283" s="230"/>
      <c r="D283" s="230"/>
      <c r="E283" s="230"/>
      <c r="F283" s="230"/>
      <c r="G283" s="230"/>
      <c r="H283" s="230"/>
      <c r="I283" s="230"/>
      <c r="J283" s="230"/>
      <c r="K283" s="230"/>
      <c r="L283" s="230"/>
      <c r="M283" s="230"/>
      <c r="N283" s="230"/>
      <c r="O283" s="230"/>
      <c r="P283" s="230"/>
      <c r="Q283" s="230"/>
      <c r="R283" s="230"/>
      <c r="S283" s="230"/>
      <c r="T283" s="230"/>
      <c r="U283" s="230"/>
      <c r="V283" s="230"/>
      <c r="W283" s="230"/>
      <c r="X283" s="230"/>
      <c r="Y283" s="230"/>
      <c r="Z283" s="230"/>
    </row>
    <row r="284" spans="1:26" ht="15.75" customHeight="1">
      <c r="A284" s="230"/>
      <c r="B284" s="230"/>
      <c r="C284" s="230"/>
      <c r="D284" s="230"/>
      <c r="E284" s="230"/>
      <c r="F284" s="230"/>
      <c r="G284" s="230"/>
      <c r="H284" s="230"/>
      <c r="I284" s="230"/>
      <c r="J284" s="230"/>
      <c r="K284" s="230"/>
      <c r="L284" s="230"/>
      <c r="M284" s="230"/>
      <c r="N284" s="230"/>
      <c r="O284" s="230"/>
      <c r="P284" s="230"/>
      <c r="Q284" s="230"/>
      <c r="R284" s="230"/>
      <c r="S284" s="230"/>
      <c r="T284" s="230"/>
      <c r="U284" s="230"/>
      <c r="V284" s="230"/>
      <c r="W284" s="230"/>
      <c r="X284" s="230"/>
      <c r="Y284" s="230"/>
      <c r="Z284" s="230"/>
    </row>
    <row r="285" spans="1:26" ht="15.75" customHeight="1">
      <c r="A285" s="230"/>
      <c r="B285" s="230"/>
      <c r="C285" s="230"/>
      <c r="D285" s="230"/>
      <c r="E285" s="230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0"/>
      <c r="S285" s="230"/>
      <c r="T285" s="230"/>
      <c r="U285" s="230"/>
      <c r="V285" s="230"/>
      <c r="W285" s="230"/>
      <c r="X285" s="230"/>
      <c r="Y285" s="230"/>
      <c r="Z285" s="230"/>
    </row>
    <row r="286" spans="1:26" ht="15.75" customHeight="1">
      <c r="A286" s="230"/>
      <c r="B286" s="230"/>
      <c r="C286" s="230"/>
      <c r="D286" s="230"/>
      <c r="E286" s="230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0"/>
      <c r="S286" s="230"/>
      <c r="T286" s="230"/>
      <c r="U286" s="230"/>
      <c r="V286" s="230"/>
      <c r="W286" s="230"/>
      <c r="X286" s="230"/>
      <c r="Y286" s="230"/>
      <c r="Z286" s="230"/>
    </row>
    <row r="287" spans="1:26" ht="15.75" customHeight="1">
      <c r="A287" s="230"/>
      <c r="B287" s="230"/>
      <c r="C287" s="230"/>
      <c r="D287" s="230"/>
      <c r="E287" s="230"/>
      <c r="F287" s="230"/>
      <c r="G287" s="230"/>
      <c r="H287" s="230"/>
      <c r="I287" s="230"/>
      <c r="J287" s="230"/>
      <c r="K287" s="230"/>
      <c r="L287" s="230"/>
      <c r="M287" s="230"/>
      <c r="N287" s="230"/>
      <c r="O287" s="230"/>
      <c r="P287" s="230"/>
      <c r="Q287" s="230"/>
      <c r="R287" s="230"/>
      <c r="S287" s="230"/>
      <c r="T287" s="230"/>
      <c r="U287" s="230"/>
      <c r="V287" s="230"/>
      <c r="W287" s="230"/>
      <c r="X287" s="230"/>
      <c r="Y287" s="230"/>
      <c r="Z287" s="230"/>
    </row>
    <row r="288" spans="1:26" ht="15.75" customHeight="1">
      <c r="A288" s="230"/>
      <c r="B288" s="230"/>
      <c r="C288" s="230"/>
      <c r="D288" s="230"/>
      <c r="E288" s="230"/>
      <c r="F288" s="230"/>
      <c r="G288" s="230"/>
      <c r="H288" s="230"/>
      <c r="I288" s="230"/>
      <c r="J288" s="230"/>
      <c r="K288" s="230"/>
      <c r="L288" s="230"/>
      <c r="M288" s="230"/>
      <c r="N288" s="230"/>
      <c r="O288" s="230"/>
      <c r="P288" s="230"/>
      <c r="Q288" s="230"/>
      <c r="R288" s="230"/>
      <c r="S288" s="230"/>
      <c r="T288" s="230"/>
      <c r="U288" s="230"/>
      <c r="V288" s="230"/>
      <c r="W288" s="230"/>
      <c r="X288" s="230"/>
      <c r="Y288" s="230"/>
      <c r="Z288" s="230"/>
    </row>
    <row r="289" spans="1:26" ht="15.75" customHeight="1">
      <c r="A289" s="230"/>
      <c r="B289" s="230"/>
      <c r="C289" s="230"/>
      <c r="D289" s="230"/>
      <c r="E289" s="230"/>
      <c r="F289" s="230"/>
      <c r="G289" s="230"/>
      <c r="H289" s="230"/>
      <c r="I289" s="230"/>
      <c r="J289" s="230"/>
      <c r="K289" s="230"/>
      <c r="L289" s="230"/>
      <c r="M289" s="230"/>
      <c r="N289" s="230"/>
      <c r="O289" s="230"/>
      <c r="P289" s="230"/>
      <c r="Q289" s="230"/>
      <c r="R289" s="230"/>
      <c r="S289" s="230"/>
      <c r="T289" s="230"/>
      <c r="U289" s="230"/>
      <c r="V289" s="230"/>
      <c r="W289" s="230"/>
      <c r="X289" s="230"/>
      <c r="Y289" s="230"/>
      <c r="Z289" s="230"/>
    </row>
    <row r="290" spans="1:26" ht="15.75" customHeight="1">
      <c r="A290" s="230"/>
      <c r="B290" s="230"/>
      <c r="C290" s="230"/>
      <c r="D290" s="230"/>
      <c r="E290" s="230"/>
      <c r="F290" s="230"/>
      <c r="G290" s="230"/>
      <c r="H290" s="230"/>
      <c r="I290" s="230"/>
      <c r="J290" s="230"/>
      <c r="K290" s="230"/>
      <c r="L290" s="230"/>
      <c r="M290" s="230"/>
      <c r="N290" s="230"/>
      <c r="O290" s="230"/>
      <c r="P290" s="230"/>
      <c r="Q290" s="230"/>
      <c r="R290" s="230"/>
      <c r="S290" s="230"/>
      <c r="T290" s="230"/>
      <c r="U290" s="230"/>
      <c r="V290" s="230"/>
      <c r="W290" s="230"/>
      <c r="X290" s="230"/>
      <c r="Y290" s="230"/>
      <c r="Z290" s="230"/>
    </row>
    <row r="291" spans="1:26" ht="15.75" customHeight="1">
      <c r="A291" s="230"/>
      <c r="B291" s="230"/>
      <c r="C291" s="230"/>
      <c r="D291" s="230"/>
      <c r="E291" s="230"/>
      <c r="F291" s="230"/>
      <c r="G291" s="230"/>
      <c r="H291" s="230"/>
      <c r="I291" s="230"/>
      <c r="J291" s="230"/>
      <c r="K291" s="230"/>
      <c r="L291" s="230"/>
      <c r="M291" s="230"/>
      <c r="N291" s="230"/>
      <c r="O291" s="230"/>
      <c r="P291" s="230"/>
      <c r="Q291" s="230"/>
      <c r="R291" s="230"/>
      <c r="S291" s="230"/>
      <c r="T291" s="230"/>
      <c r="U291" s="230"/>
      <c r="V291" s="230"/>
      <c r="W291" s="230"/>
      <c r="X291" s="230"/>
      <c r="Y291" s="230"/>
      <c r="Z291" s="230"/>
    </row>
    <row r="292" spans="1:26" ht="15.75" customHeight="1">
      <c r="A292" s="230"/>
      <c r="B292" s="230"/>
      <c r="C292" s="230"/>
      <c r="D292" s="230"/>
      <c r="E292" s="230"/>
      <c r="F292" s="230"/>
      <c r="G292" s="230"/>
      <c r="H292" s="230"/>
      <c r="I292" s="230"/>
      <c r="J292" s="230"/>
      <c r="K292" s="230"/>
      <c r="L292" s="230"/>
      <c r="M292" s="230"/>
      <c r="N292" s="230"/>
      <c r="O292" s="230"/>
      <c r="P292" s="230"/>
      <c r="Q292" s="230"/>
      <c r="R292" s="230"/>
      <c r="S292" s="230"/>
      <c r="T292" s="230"/>
      <c r="U292" s="230"/>
      <c r="V292" s="230"/>
      <c r="W292" s="230"/>
      <c r="X292" s="230"/>
      <c r="Y292" s="230"/>
      <c r="Z292" s="230"/>
    </row>
    <row r="293" spans="1:26" ht="15.75" customHeight="1">
      <c r="A293" s="230"/>
      <c r="B293" s="230"/>
      <c r="C293" s="230"/>
      <c r="D293" s="230"/>
      <c r="E293" s="230"/>
      <c r="F293" s="230"/>
      <c r="G293" s="230"/>
      <c r="H293" s="230"/>
      <c r="I293" s="230"/>
      <c r="J293" s="230"/>
      <c r="K293" s="230"/>
      <c r="L293" s="230"/>
      <c r="M293" s="230"/>
      <c r="N293" s="230"/>
      <c r="O293" s="230"/>
      <c r="P293" s="230"/>
      <c r="Q293" s="230"/>
      <c r="R293" s="230"/>
      <c r="S293" s="230"/>
      <c r="T293" s="230"/>
      <c r="U293" s="230"/>
      <c r="V293" s="230"/>
      <c r="W293" s="230"/>
      <c r="X293" s="230"/>
      <c r="Y293" s="230"/>
      <c r="Z293" s="230"/>
    </row>
    <row r="294" spans="1:26" ht="15.75" customHeight="1">
      <c r="A294" s="230"/>
      <c r="B294" s="230"/>
      <c r="C294" s="230"/>
      <c r="D294" s="230"/>
      <c r="E294" s="230"/>
      <c r="F294" s="230"/>
      <c r="G294" s="230"/>
      <c r="H294" s="230"/>
      <c r="I294" s="230"/>
      <c r="J294" s="230"/>
      <c r="K294" s="230"/>
      <c r="L294" s="230"/>
      <c r="M294" s="230"/>
      <c r="N294" s="230"/>
      <c r="O294" s="230"/>
      <c r="P294" s="230"/>
      <c r="Q294" s="230"/>
      <c r="R294" s="230"/>
      <c r="S294" s="230"/>
      <c r="T294" s="230"/>
      <c r="U294" s="230"/>
      <c r="V294" s="230"/>
      <c r="W294" s="230"/>
      <c r="X294" s="230"/>
      <c r="Y294" s="230"/>
      <c r="Z294" s="230"/>
    </row>
    <row r="295" spans="1:26" ht="15.75" customHeight="1">
      <c r="A295" s="230"/>
      <c r="B295" s="230"/>
      <c r="C295" s="230"/>
      <c r="D295" s="230"/>
      <c r="E295" s="230"/>
      <c r="F295" s="230"/>
      <c r="G295" s="230"/>
      <c r="H295" s="230"/>
      <c r="I295" s="230"/>
      <c r="J295" s="230"/>
      <c r="K295" s="230"/>
      <c r="L295" s="230"/>
      <c r="M295" s="230"/>
      <c r="N295" s="230"/>
      <c r="O295" s="230"/>
      <c r="P295" s="230"/>
      <c r="Q295" s="230"/>
      <c r="R295" s="230"/>
      <c r="S295" s="230"/>
      <c r="T295" s="230"/>
      <c r="U295" s="230"/>
      <c r="V295" s="230"/>
      <c r="W295" s="230"/>
      <c r="X295" s="230"/>
      <c r="Y295" s="230"/>
      <c r="Z295" s="230"/>
    </row>
    <row r="296" spans="1:26" ht="15.75" customHeight="1">
      <c r="A296" s="230"/>
      <c r="B296" s="230"/>
      <c r="C296" s="230"/>
      <c r="D296" s="230"/>
      <c r="E296" s="230"/>
      <c r="F296" s="230"/>
      <c r="G296" s="230"/>
      <c r="H296" s="230"/>
      <c r="I296" s="230"/>
      <c r="J296" s="230"/>
      <c r="K296" s="230"/>
      <c r="L296" s="230"/>
      <c r="M296" s="230"/>
      <c r="N296" s="230"/>
      <c r="O296" s="230"/>
      <c r="P296" s="230"/>
      <c r="Q296" s="230"/>
      <c r="R296" s="230"/>
      <c r="S296" s="230"/>
      <c r="T296" s="230"/>
      <c r="U296" s="230"/>
      <c r="V296" s="230"/>
      <c r="W296" s="230"/>
      <c r="X296" s="230"/>
      <c r="Y296" s="230"/>
      <c r="Z296" s="230"/>
    </row>
    <row r="297" spans="1:26" ht="15.75" customHeight="1">
      <c r="A297" s="230"/>
      <c r="B297" s="230"/>
      <c r="C297" s="230"/>
      <c r="D297" s="230"/>
      <c r="E297" s="230"/>
      <c r="F297" s="230"/>
      <c r="G297" s="230"/>
      <c r="H297" s="230"/>
      <c r="I297" s="230"/>
      <c r="J297" s="230"/>
      <c r="K297" s="230"/>
      <c r="L297" s="230"/>
      <c r="M297" s="230"/>
      <c r="N297" s="230"/>
      <c r="O297" s="230"/>
      <c r="P297" s="230"/>
      <c r="Q297" s="230"/>
      <c r="R297" s="230"/>
      <c r="S297" s="230"/>
      <c r="T297" s="230"/>
      <c r="U297" s="230"/>
      <c r="V297" s="230"/>
      <c r="W297" s="230"/>
      <c r="X297" s="230"/>
      <c r="Y297" s="230"/>
      <c r="Z297" s="230"/>
    </row>
    <row r="298" spans="1:26" ht="15.75" customHeight="1">
      <c r="A298" s="230"/>
      <c r="B298" s="230"/>
      <c r="C298" s="230"/>
      <c r="D298" s="230"/>
      <c r="E298" s="230"/>
      <c r="F298" s="230"/>
      <c r="G298" s="230"/>
      <c r="H298" s="230"/>
      <c r="I298" s="230"/>
      <c r="J298" s="230"/>
      <c r="K298" s="230"/>
      <c r="L298" s="230"/>
      <c r="M298" s="230"/>
      <c r="N298" s="230"/>
      <c r="O298" s="230"/>
      <c r="P298" s="230"/>
      <c r="Q298" s="230"/>
      <c r="R298" s="230"/>
      <c r="S298" s="230"/>
      <c r="T298" s="230"/>
      <c r="U298" s="230"/>
      <c r="V298" s="230"/>
      <c r="W298" s="230"/>
      <c r="X298" s="230"/>
      <c r="Y298" s="230"/>
      <c r="Z298" s="230"/>
    </row>
    <row r="299" spans="1:26" ht="15.75" customHeight="1">
      <c r="A299" s="230"/>
      <c r="B299" s="230"/>
      <c r="C299" s="230"/>
      <c r="D299" s="230"/>
      <c r="E299" s="230"/>
      <c r="F299" s="230"/>
      <c r="G299" s="230"/>
      <c r="H299" s="230"/>
      <c r="I299" s="230"/>
      <c r="J299" s="230"/>
      <c r="K299" s="230"/>
      <c r="L299" s="230"/>
      <c r="M299" s="230"/>
      <c r="N299" s="230"/>
      <c r="O299" s="230"/>
      <c r="P299" s="230"/>
      <c r="Q299" s="230"/>
      <c r="R299" s="230"/>
      <c r="S299" s="230"/>
      <c r="T299" s="230"/>
      <c r="U299" s="230"/>
      <c r="V299" s="230"/>
      <c r="W299" s="230"/>
      <c r="X299" s="230"/>
      <c r="Y299" s="230"/>
      <c r="Z299" s="230"/>
    </row>
    <row r="300" spans="1:26" ht="15.75" customHeight="1">
      <c r="A300" s="230"/>
      <c r="B300" s="230"/>
      <c r="C300" s="230"/>
      <c r="D300" s="230"/>
      <c r="E300" s="230"/>
      <c r="F300" s="230"/>
      <c r="G300" s="230"/>
      <c r="H300" s="230"/>
      <c r="I300" s="230"/>
      <c r="J300" s="230"/>
      <c r="K300" s="230"/>
      <c r="L300" s="230"/>
      <c r="M300" s="230"/>
      <c r="N300" s="230"/>
      <c r="O300" s="230"/>
      <c r="P300" s="230"/>
      <c r="Q300" s="230"/>
      <c r="R300" s="230"/>
      <c r="S300" s="230"/>
      <c r="T300" s="230"/>
      <c r="U300" s="230"/>
      <c r="V300" s="230"/>
      <c r="W300" s="230"/>
      <c r="X300" s="230"/>
      <c r="Y300" s="230"/>
      <c r="Z300" s="230"/>
    </row>
    <row r="301" spans="1:26" ht="15.75" customHeight="1">
      <c r="A301" s="230"/>
      <c r="B301" s="230"/>
      <c r="C301" s="230"/>
      <c r="D301" s="230"/>
      <c r="E301" s="230"/>
      <c r="F301" s="230"/>
      <c r="G301" s="230"/>
      <c r="H301" s="230"/>
      <c r="I301" s="230"/>
      <c r="J301" s="230"/>
      <c r="K301" s="230"/>
      <c r="L301" s="230"/>
      <c r="M301" s="230"/>
      <c r="N301" s="230"/>
      <c r="O301" s="230"/>
      <c r="P301" s="230"/>
      <c r="Q301" s="230"/>
      <c r="R301" s="230"/>
      <c r="S301" s="230"/>
      <c r="T301" s="230"/>
      <c r="U301" s="230"/>
      <c r="V301" s="230"/>
      <c r="W301" s="230"/>
      <c r="X301" s="230"/>
      <c r="Y301" s="230"/>
      <c r="Z301" s="230"/>
    </row>
    <row r="302" spans="1:26" ht="15.75" customHeight="1">
      <c r="A302" s="230"/>
      <c r="B302" s="230"/>
      <c r="C302" s="230"/>
      <c r="D302" s="230"/>
      <c r="E302" s="230"/>
      <c r="F302" s="230"/>
      <c r="G302" s="230"/>
      <c r="H302" s="230"/>
      <c r="I302" s="230"/>
      <c r="J302" s="230"/>
      <c r="K302" s="230"/>
      <c r="L302" s="230"/>
      <c r="M302" s="230"/>
      <c r="N302" s="230"/>
      <c r="O302" s="230"/>
      <c r="P302" s="230"/>
      <c r="Q302" s="230"/>
      <c r="R302" s="230"/>
      <c r="S302" s="230"/>
      <c r="T302" s="230"/>
      <c r="U302" s="230"/>
      <c r="V302" s="230"/>
      <c r="W302" s="230"/>
      <c r="X302" s="230"/>
      <c r="Y302" s="230"/>
      <c r="Z302" s="230"/>
    </row>
    <row r="303" spans="1:26" ht="15.75" customHeight="1">
      <c r="A303" s="230"/>
      <c r="B303" s="230"/>
      <c r="C303" s="230"/>
      <c r="D303" s="230"/>
      <c r="E303" s="230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30"/>
      <c r="S303" s="230"/>
      <c r="T303" s="230"/>
      <c r="U303" s="230"/>
      <c r="V303" s="230"/>
      <c r="W303" s="230"/>
      <c r="X303" s="230"/>
      <c r="Y303" s="230"/>
      <c r="Z303" s="230"/>
    </row>
    <row r="304" spans="1:26" ht="15.75" customHeight="1">
      <c r="A304" s="230"/>
      <c r="B304" s="230"/>
      <c r="C304" s="230"/>
      <c r="D304" s="230"/>
      <c r="E304" s="230"/>
      <c r="F304" s="230"/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0"/>
      <c r="S304" s="230"/>
      <c r="T304" s="230"/>
      <c r="U304" s="230"/>
      <c r="V304" s="230"/>
      <c r="W304" s="230"/>
      <c r="X304" s="230"/>
      <c r="Y304" s="230"/>
      <c r="Z304" s="230"/>
    </row>
    <row r="305" spans="1:26" ht="15.75" customHeight="1">
      <c r="A305" s="230"/>
      <c r="B305" s="230"/>
      <c r="C305" s="230"/>
      <c r="D305" s="230"/>
      <c r="E305" s="230"/>
      <c r="F305" s="230"/>
      <c r="G305" s="230"/>
      <c r="H305" s="230"/>
      <c r="I305" s="230"/>
      <c r="J305" s="230"/>
      <c r="K305" s="230"/>
      <c r="L305" s="230"/>
      <c r="M305" s="230"/>
      <c r="N305" s="230"/>
      <c r="O305" s="230"/>
      <c r="P305" s="230"/>
      <c r="Q305" s="230"/>
      <c r="R305" s="230"/>
      <c r="S305" s="230"/>
      <c r="T305" s="230"/>
      <c r="U305" s="230"/>
      <c r="V305" s="230"/>
      <c r="W305" s="230"/>
      <c r="X305" s="230"/>
      <c r="Y305" s="230"/>
      <c r="Z305" s="230"/>
    </row>
    <row r="306" spans="1:26" ht="15.75" customHeight="1">
      <c r="A306" s="230"/>
      <c r="B306" s="230"/>
      <c r="C306" s="230"/>
      <c r="D306" s="230"/>
      <c r="E306" s="230"/>
      <c r="F306" s="230"/>
      <c r="G306" s="230"/>
      <c r="H306" s="230"/>
      <c r="I306" s="230"/>
      <c r="J306" s="230"/>
      <c r="K306" s="230"/>
      <c r="L306" s="230"/>
      <c r="M306" s="230"/>
      <c r="N306" s="230"/>
      <c r="O306" s="230"/>
      <c r="P306" s="230"/>
      <c r="Q306" s="230"/>
      <c r="R306" s="230"/>
      <c r="S306" s="230"/>
      <c r="T306" s="230"/>
      <c r="U306" s="230"/>
      <c r="V306" s="230"/>
      <c r="W306" s="230"/>
      <c r="X306" s="230"/>
      <c r="Y306" s="230"/>
      <c r="Z306" s="230"/>
    </row>
    <row r="307" spans="1:26" ht="15.75" customHeight="1">
      <c r="A307" s="230"/>
      <c r="B307" s="230"/>
      <c r="C307" s="230"/>
      <c r="D307" s="230"/>
      <c r="E307" s="230"/>
      <c r="F307" s="230"/>
      <c r="G307" s="230"/>
      <c r="H307" s="230"/>
      <c r="I307" s="230"/>
      <c r="J307" s="230"/>
      <c r="K307" s="230"/>
      <c r="L307" s="230"/>
      <c r="M307" s="230"/>
      <c r="N307" s="230"/>
      <c r="O307" s="230"/>
      <c r="P307" s="230"/>
      <c r="Q307" s="230"/>
      <c r="R307" s="230"/>
      <c r="S307" s="230"/>
      <c r="T307" s="230"/>
      <c r="U307" s="230"/>
      <c r="V307" s="230"/>
      <c r="W307" s="230"/>
      <c r="X307" s="230"/>
      <c r="Y307" s="230"/>
      <c r="Z307" s="230"/>
    </row>
    <row r="308" spans="1:26" ht="15.75" customHeight="1">
      <c r="A308" s="230"/>
      <c r="B308" s="230"/>
      <c r="C308" s="230"/>
      <c r="D308" s="230"/>
      <c r="E308" s="230"/>
      <c r="F308" s="230"/>
      <c r="G308" s="230"/>
      <c r="H308" s="230"/>
      <c r="I308" s="230"/>
      <c r="J308" s="230"/>
      <c r="K308" s="230"/>
      <c r="L308" s="230"/>
      <c r="M308" s="230"/>
      <c r="N308" s="230"/>
      <c r="O308" s="230"/>
      <c r="P308" s="230"/>
      <c r="Q308" s="230"/>
      <c r="R308" s="230"/>
      <c r="S308" s="230"/>
      <c r="T308" s="230"/>
      <c r="U308" s="230"/>
      <c r="V308" s="230"/>
      <c r="W308" s="230"/>
      <c r="X308" s="230"/>
      <c r="Y308" s="230"/>
      <c r="Z308" s="230"/>
    </row>
    <row r="309" spans="1:26" ht="15.75" customHeight="1">
      <c r="A309" s="230"/>
      <c r="B309" s="230"/>
      <c r="C309" s="230"/>
      <c r="D309" s="230"/>
      <c r="E309" s="230"/>
      <c r="F309" s="230"/>
      <c r="G309" s="230"/>
      <c r="H309" s="230"/>
      <c r="I309" s="230"/>
      <c r="J309" s="230"/>
      <c r="K309" s="230"/>
      <c r="L309" s="230"/>
      <c r="M309" s="230"/>
      <c r="N309" s="230"/>
      <c r="O309" s="230"/>
      <c r="P309" s="230"/>
      <c r="Q309" s="230"/>
      <c r="R309" s="230"/>
      <c r="S309" s="230"/>
      <c r="T309" s="230"/>
      <c r="U309" s="230"/>
      <c r="V309" s="230"/>
      <c r="W309" s="230"/>
      <c r="X309" s="230"/>
      <c r="Y309" s="230"/>
      <c r="Z309" s="230"/>
    </row>
    <row r="310" spans="1:26" ht="15.75" customHeight="1">
      <c r="A310" s="230"/>
      <c r="B310" s="230"/>
      <c r="C310" s="230"/>
      <c r="D310" s="230"/>
      <c r="E310" s="230"/>
      <c r="F310" s="230"/>
      <c r="G310" s="230"/>
      <c r="H310" s="230"/>
      <c r="I310" s="230"/>
      <c r="J310" s="230"/>
      <c r="K310" s="230"/>
      <c r="L310" s="230"/>
      <c r="M310" s="230"/>
      <c r="N310" s="230"/>
      <c r="O310" s="230"/>
      <c r="P310" s="230"/>
      <c r="Q310" s="230"/>
      <c r="R310" s="230"/>
      <c r="S310" s="230"/>
      <c r="T310" s="230"/>
      <c r="U310" s="230"/>
      <c r="V310" s="230"/>
      <c r="W310" s="230"/>
      <c r="X310" s="230"/>
      <c r="Y310" s="230"/>
      <c r="Z310" s="230"/>
    </row>
    <row r="311" spans="1:26" ht="15.75" customHeight="1">
      <c r="A311" s="230"/>
      <c r="B311" s="230"/>
      <c r="C311" s="230"/>
      <c r="D311" s="230"/>
      <c r="E311" s="230"/>
      <c r="F311" s="230"/>
      <c r="G311" s="230"/>
      <c r="H311" s="230"/>
      <c r="I311" s="230"/>
      <c r="J311" s="230"/>
      <c r="K311" s="230"/>
      <c r="L311" s="230"/>
      <c r="M311" s="230"/>
      <c r="N311" s="230"/>
      <c r="O311" s="230"/>
      <c r="P311" s="230"/>
      <c r="Q311" s="230"/>
      <c r="R311" s="230"/>
      <c r="S311" s="230"/>
      <c r="T311" s="230"/>
      <c r="U311" s="230"/>
      <c r="V311" s="230"/>
      <c r="W311" s="230"/>
      <c r="X311" s="230"/>
      <c r="Y311" s="230"/>
      <c r="Z311" s="230"/>
    </row>
    <row r="312" spans="1:26" ht="15.75" customHeight="1">
      <c r="A312" s="230"/>
      <c r="B312" s="230"/>
      <c r="C312" s="230"/>
      <c r="D312" s="230"/>
      <c r="E312" s="230"/>
      <c r="F312" s="230"/>
      <c r="G312" s="230"/>
      <c r="H312" s="230"/>
      <c r="I312" s="230"/>
      <c r="J312" s="230"/>
      <c r="K312" s="230"/>
      <c r="L312" s="230"/>
      <c r="M312" s="230"/>
      <c r="N312" s="230"/>
      <c r="O312" s="230"/>
      <c r="P312" s="230"/>
      <c r="Q312" s="230"/>
      <c r="R312" s="230"/>
      <c r="S312" s="230"/>
      <c r="T312" s="230"/>
      <c r="U312" s="230"/>
      <c r="V312" s="230"/>
      <c r="W312" s="230"/>
      <c r="X312" s="230"/>
      <c r="Y312" s="230"/>
      <c r="Z312" s="230"/>
    </row>
    <row r="313" spans="1:26" ht="15.75" customHeight="1">
      <c r="A313" s="230"/>
      <c r="B313" s="230"/>
      <c r="C313" s="230"/>
      <c r="D313" s="230"/>
      <c r="E313" s="230"/>
      <c r="F313" s="230"/>
      <c r="G313" s="230"/>
      <c r="H313" s="230"/>
      <c r="I313" s="230"/>
      <c r="J313" s="230"/>
      <c r="K313" s="230"/>
      <c r="L313" s="230"/>
      <c r="M313" s="230"/>
      <c r="N313" s="230"/>
      <c r="O313" s="230"/>
      <c r="P313" s="230"/>
      <c r="Q313" s="230"/>
      <c r="R313" s="230"/>
      <c r="S313" s="230"/>
      <c r="T313" s="230"/>
      <c r="U313" s="230"/>
      <c r="V313" s="230"/>
      <c r="W313" s="230"/>
      <c r="X313" s="230"/>
      <c r="Y313" s="230"/>
      <c r="Z313" s="230"/>
    </row>
    <row r="314" spans="1:26" ht="15.75" customHeight="1">
      <c r="A314" s="230"/>
      <c r="B314" s="230"/>
      <c r="C314" s="230"/>
      <c r="D314" s="230"/>
      <c r="E314" s="230"/>
      <c r="F314" s="230"/>
      <c r="G314" s="230"/>
      <c r="H314" s="230"/>
      <c r="I314" s="230"/>
      <c r="J314" s="230"/>
      <c r="K314" s="230"/>
      <c r="L314" s="230"/>
      <c r="M314" s="230"/>
      <c r="N314" s="230"/>
      <c r="O314" s="230"/>
      <c r="P314" s="230"/>
      <c r="Q314" s="230"/>
      <c r="R314" s="230"/>
      <c r="S314" s="230"/>
      <c r="T314" s="230"/>
      <c r="U314" s="230"/>
      <c r="V314" s="230"/>
      <c r="W314" s="230"/>
      <c r="X314" s="230"/>
      <c r="Y314" s="230"/>
      <c r="Z314" s="230"/>
    </row>
    <row r="315" spans="1:26" ht="15.75" customHeight="1">
      <c r="A315" s="230"/>
      <c r="B315" s="230"/>
      <c r="C315" s="230"/>
      <c r="D315" s="230"/>
      <c r="E315" s="230"/>
      <c r="F315" s="230"/>
      <c r="G315" s="230"/>
      <c r="H315" s="230"/>
      <c r="I315" s="230"/>
      <c r="J315" s="230"/>
      <c r="K315" s="230"/>
      <c r="L315" s="230"/>
      <c r="M315" s="230"/>
      <c r="N315" s="230"/>
      <c r="O315" s="230"/>
      <c r="P315" s="230"/>
      <c r="Q315" s="230"/>
      <c r="R315" s="230"/>
      <c r="S315" s="230"/>
      <c r="T315" s="230"/>
      <c r="U315" s="230"/>
      <c r="V315" s="230"/>
      <c r="W315" s="230"/>
      <c r="X315" s="230"/>
      <c r="Y315" s="230"/>
      <c r="Z315" s="230"/>
    </row>
    <row r="316" spans="1:26" ht="15.75" customHeight="1">
      <c r="A316" s="230"/>
      <c r="B316" s="230"/>
      <c r="C316" s="230"/>
      <c r="D316" s="230"/>
      <c r="E316" s="230"/>
      <c r="F316" s="230"/>
      <c r="G316" s="230"/>
      <c r="H316" s="230"/>
      <c r="I316" s="230"/>
      <c r="J316" s="230"/>
      <c r="K316" s="230"/>
      <c r="L316" s="230"/>
      <c r="M316" s="230"/>
      <c r="N316" s="230"/>
      <c r="O316" s="230"/>
      <c r="P316" s="230"/>
      <c r="Q316" s="230"/>
      <c r="R316" s="230"/>
      <c r="S316" s="230"/>
      <c r="T316" s="230"/>
      <c r="U316" s="230"/>
      <c r="V316" s="230"/>
      <c r="W316" s="230"/>
      <c r="X316" s="230"/>
      <c r="Y316" s="230"/>
      <c r="Z316" s="230"/>
    </row>
    <row r="317" spans="1:26" ht="15.75" customHeight="1">
      <c r="A317" s="230"/>
      <c r="B317" s="230"/>
      <c r="C317" s="230"/>
      <c r="D317" s="230"/>
      <c r="E317" s="230"/>
      <c r="F317" s="230"/>
      <c r="G317" s="230"/>
      <c r="H317" s="230"/>
      <c r="I317" s="230"/>
      <c r="J317" s="230"/>
      <c r="K317" s="230"/>
      <c r="L317" s="230"/>
      <c r="M317" s="230"/>
      <c r="N317" s="230"/>
      <c r="O317" s="230"/>
      <c r="P317" s="230"/>
      <c r="Q317" s="230"/>
      <c r="R317" s="230"/>
      <c r="S317" s="230"/>
      <c r="T317" s="230"/>
      <c r="U317" s="230"/>
      <c r="V317" s="230"/>
      <c r="W317" s="230"/>
      <c r="X317" s="230"/>
      <c r="Y317" s="230"/>
      <c r="Z317" s="230"/>
    </row>
    <row r="318" spans="1:26" ht="15.75" customHeight="1">
      <c r="A318" s="230"/>
      <c r="B318" s="230"/>
      <c r="C318" s="230"/>
      <c r="D318" s="230"/>
      <c r="E318" s="230"/>
      <c r="F318" s="230"/>
      <c r="G318" s="230"/>
      <c r="H318" s="230"/>
      <c r="I318" s="230"/>
      <c r="J318" s="230"/>
      <c r="K318" s="230"/>
      <c r="L318" s="230"/>
      <c r="M318" s="230"/>
      <c r="N318" s="230"/>
      <c r="O318" s="230"/>
      <c r="P318" s="230"/>
      <c r="Q318" s="230"/>
      <c r="R318" s="230"/>
      <c r="S318" s="230"/>
      <c r="T318" s="230"/>
      <c r="U318" s="230"/>
      <c r="V318" s="230"/>
      <c r="W318" s="230"/>
      <c r="X318" s="230"/>
      <c r="Y318" s="230"/>
      <c r="Z318" s="230"/>
    </row>
    <row r="319" spans="1:26" ht="15.75" customHeight="1">
      <c r="A319" s="230"/>
      <c r="B319" s="230"/>
      <c r="C319" s="230"/>
      <c r="D319" s="230"/>
      <c r="E319" s="230"/>
      <c r="F319" s="230"/>
      <c r="G319" s="230"/>
      <c r="H319" s="230"/>
      <c r="I319" s="230"/>
      <c r="J319" s="230"/>
      <c r="K319" s="230"/>
      <c r="L319" s="230"/>
      <c r="M319" s="230"/>
      <c r="N319" s="230"/>
      <c r="O319" s="230"/>
      <c r="P319" s="230"/>
      <c r="Q319" s="230"/>
      <c r="R319" s="230"/>
      <c r="S319" s="230"/>
      <c r="T319" s="230"/>
      <c r="U319" s="230"/>
      <c r="V319" s="230"/>
      <c r="W319" s="230"/>
      <c r="X319" s="230"/>
      <c r="Y319" s="230"/>
      <c r="Z319" s="230"/>
    </row>
    <row r="320" spans="1:26" ht="15.75" customHeight="1">
      <c r="A320" s="230"/>
      <c r="B320" s="230"/>
      <c r="C320" s="230"/>
      <c r="D320" s="230"/>
      <c r="E320" s="230"/>
      <c r="F320" s="230"/>
      <c r="G320" s="230"/>
      <c r="H320" s="230"/>
      <c r="I320" s="230"/>
      <c r="J320" s="230"/>
      <c r="K320" s="230"/>
      <c r="L320" s="230"/>
      <c r="M320" s="230"/>
      <c r="N320" s="230"/>
      <c r="O320" s="230"/>
      <c r="P320" s="230"/>
      <c r="Q320" s="230"/>
      <c r="R320" s="230"/>
      <c r="S320" s="230"/>
      <c r="T320" s="230"/>
      <c r="U320" s="230"/>
      <c r="V320" s="230"/>
      <c r="W320" s="230"/>
      <c r="X320" s="230"/>
      <c r="Y320" s="230"/>
      <c r="Z320" s="230"/>
    </row>
    <row r="321" spans="1:26" ht="15.75" customHeight="1">
      <c r="A321" s="230"/>
      <c r="B321" s="230"/>
      <c r="C321" s="230"/>
      <c r="D321" s="230"/>
      <c r="E321" s="230"/>
      <c r="F321" s="230"/>
      <c r="G321" s="230"/>
      <c r="H321" s="230"/>
      <c r="I321" s="230"/>
      <c r="J321" s="230"/>
      <c r="K321" s="230"/>
      <c r="L321" s="230"/>
      <c r="M321" s="230"/>
      <c r="N321" s="230"/>
      <c r="O321" s="230"/>
      <c r="P321" s="230"/>
      <c r="Q321" s="230"/>
      <c r="R321" s="230"/>
      <c r="S321" s="230"/>
      <c r="T321" s="230"/>
      <c r="U321" s="230"/>
      <c r="V321" s="230"/>
      <c r="W321" s="230"/>
      <c r="X321" s="230"/>
      <c r="Y321" s="230"/>
      <c r="Z321" s="230"/>
    </row>
    <row r="322" spans="1:26" ht="15.75" customHeight="1">
      <c r="A322" s="230"/>
      <c r="B322" s="230"/>
      <c r="C322" s="230"/>
      <c r="D322" s="230"/>
      <c r="E322" s="230"/>
      <c r="F322" s="230"/>
      <c r="G322" s="230"/>
      <c r="H322" s="230"/>
      <c r="I322" s="230"/>
      <c r="J322" s="230"/>
      <c r="K322" s="230"/>
      <c r="L322" s="230"/>
      <c r="M322" s="230"/>
      <c r="N322" s="230"/>
      <c r="O322" s="230"/>
      <c r="P322" s="230"/>
      <c r="Q322" s="230"/>
      <c r="R322" s="230"/>
      <c r="S322" s="230"/>
      <c r="T322" s="230"/>
      <c r="U322" s="230"/>
      <c r="V322" s="230"/>
      <c r="W322" s="230"/>
      <c r="X322" s="230"/>
      <c r="Y322" s="230"/>
      <c r="Z322" s="230"/>
    </row>
    <row r="323" spans="1:26" ht="15.75" customHeight="1">
      <c r="A323" s="230"/>
      <c r="B323" s="230"/>
      <c r="C323" s="230"/>
      <c r="D323" s="230"/>
      <c r="E323" s="230"/>
      <c r="F323" s="230"/>
      <c r="G323" s="230"/>
      <c r="H323" s="230"/>
      <c r="I323" s="230"/>
      <c r="J323" s="230"/>
      <c r="K323" s="230"/>
      <c r="L323" s="230"/>
      <c r="M323" s="230"/>
      <c r="N323" s="230"/>
      <c r="O323" s="230"/>
      <c r="P323" s="230"/>
      <c r="Q323" s="230"/>
      <c r="R323" s="230"/>
      <c r="S323" s="230"/>
      <c r="T323" s="230"/>
      <c r="U323" s="230"/>
      <c r="V323" s="230"/>
      <c r="W323" s="230"/>
      <c r="X323" s="230"/>
      <c r="Y323" s="230"/>
      <c r="Z323" s="230"/>
    </row>
    <row r="324" spans="1:26" ht="15.75" customHeight="1">
      <c r="A324" s="230"/>
      <c r="B324" s="230"/>
      <c r="C324" s="230"/>
      <c r="D324" s="230"/>
      <c r="E324" s="230"/>
      <c r="F324" s="230"/>
      <c r="G324" s="230"/>
      <c r="H324" s="230"/>
      <c r="I324" s="230"/>
      <c r="J324" s="230"/>
      <c r="K324" s="230"/>
      <c r="L324" s="230"/>
      <c r="M324" s="230"/>
      <c r="N324" s="230"/>
      <c r="O324" s="230"/>
      <c r="P324" s="230"/>
      <c r="Q324" s="230"/>
      <c r="R324" s="230"/>
      <c r="S324" s="230"/>
      <c r="T324" s="230"/>
      <c r="U324" s="230"/>
      <c r="V324" s="230"/>
      <c r="W324" s="230"/>
      <c r="X324" s="230"/>
      <c r="Y324" s="230"/>
      <c r="Z324" s="230"/>
    </row>
    <row r="325" spans="1:26" ht="15.75" customHeight="1">
      <c r="A325" s="230"/>
      <c r="B325" s="230"/>
      <c r="C325" s="230"/>
      <c r="D325" s="230"/>
      <c r="E325" s="230"/>
      <c r="F325" s="230"/>
      <c r="G325" s="230"/>
      <c r="H325" s="230"/>
      <c r="I325" s="230"/>
      <c r="J325" s="230"/>
      <c r="K325" s="230"/>
      <c r="L325" s="230"/>
      <c r="M325" s="230"/>
      <c r="N325" s="230"/>
      <c r="O325" s="230"/>
      <c r="P325" s="230"/>
      <c r="Q325" s="230"/>
      <c r="R325" s="230"/>
      <c r="S325" s="230"/>
      <c r="T325" s="230"/>
      <c r="U325" s="230"/>
      <c r="V325" s="230"/>
      <c r="W325" s="230"/>
      <c r="X325" s="230"/>
      <c r="Y325" s="230"/>
      <c r="Z325" s="230"/>
    </row>
    <row r="326" spans="1:26" ht="15.75" customHeight="1">
      <c r="A326" s="230"/>
      <c r="B326" s="230"/>
      <c r="C326" s="230"/>
      <c r="D326" s="230"/>
      <c r="E326" s="230"/>
      <c r="F326" s="230"/>
      <c r="G326" s="230"/>
      <c r="H326" s="230"/>
      <c r="I326" s="230"/>
      <c r="J326" s="230"/>
      <c r="K326" s="230"/>
      <c r="L326" s="230"/>
      <c r="M326" s="230"/>
      <c r="N326" s="230"/>
      <c r="O326" s="230"/>
      <c r="P326" s="230"/>
      <c r="Q326" s="230"/>
      <c r="R326" s="230"/>
      <c r="S326" s="230"/>
      <c r="T326" s="230"/>
      <c r="U326" s="230"/>
      <c r="V326" s="230"/>
      <c r="W326" s="230"/>
      <c r="X326" s="230"/>
      <c r="Y326" s="230"/>
      <c r="Z326" s="230"/>
    </row>
    <row r="327" spans="1:26" ht="15.75" customHeight="1">
      <c r="A327" s="230"/>
      <c r="B327" s="230"/>
      <c r="C327" s="230"/>
      <c r="D327" s="230"/>
      <c r="E327" s="230"/>
      <c r="F327" s="230"/>
      <c r="G327" s="230"/>
      <c r="H327" s="230"/>
      <c r="I327" s="230"/>
      <c r="J327" s="230"/>
      <c r="K327" s="230"/>
      <c r="L327" s="230"/>
      <c r="M327" s="230"/>
      <c r="N327" s="230"/>
      <c r="O327" s="230"/>
      <c r="P327" s="230"/>
      <c r="Q327" s="230"/>
      <c r="R327" s="230"/>
      <c r="S327" s="230"/>
      <c r="T327" s="230"/>
      <c r="U327" s="230"/>
      <c r="V327" s="230"/>
      <c r="W327" s="230"/>
      <c r="X327" s="230"/>
      <c r="Y327" s="230"/>
      <c r="Z327" s="230"/>
    </row>
    <row r="328" spans="1:26" ht="15.75" customHeight="1">
      <c r="A328" s="230"/>
      <c r="B328" s="230"/>
      <c r="C328" s="230"/>
      <c r="D328" s="230"/>
      <c r="E328" s="230"/>
      <c r="F328" s="230"/>
      <c r="G328" s="230"/>
      <c r="H328" s="230"/>
      <c r="I328" s="230"/>
      <c r="J328" s="230"/>
      <c r="K328" s="230"/>
      <c r="L328" s="230"/>
      <c r="M328" s="230"/>
      <c r="N328" s="230"/>
      <c r="O328" s="230"/>
      <c r="P328" s="230"/>
      <c r="Q328" s="230"/>
      <c r="R328" s="230"/>
      <c r="S328" s="230"/>
      <c r="T328" s="230"/>
      <c r="U328" s="230"/>
      <c r="V328" s="230"/>
      <c r="W328" s="230"/>
      <c r="X328" s="230"/>
      <c r="Y328" s="230"/>
      <c r="Z328" s="230"/>
    </row>
    <row r="329" spans="1:26" ht="15.75" customHeight="1">
      <c r="A329" s="230"/>
      <c r="B329" s="230"/>
      <c r="C329" s="230"/>
      <c r="D329" s="230"/>
      <c r="E329" s="230"/>
      <c r="F329" s="230"/>
      <c r="G329" s="230"/>
      <c r="H329" s="230"/>
      <c r="I329" s="230"/>
      <c r="J329" s="230"/>
      <c r="K329" s="230"/>
      <c r="L329" s="230"/>
      <c r="M329" s="230"/>
      <c r="N329" s="230"/>
      <c r="O329" s="230"/>
      <c r="P329" s="230"/>
      <c r="Q329" s="230"/>
      <c r="R329" s="230"/>
      <c r="S329" s="230"/>
      <c r="T329" s="230"/>
      <c r="U329" s="230"/>
      <c r="V329" s="230"/>
      <c r="W329" s="230"/>
      <c r="X329" s="230"/>
      <c r="Y329" s="230"/>
      <c r="Z329" s="230"/>
    </row>
    <row r="330" spans="1:26" ht="15.75" customHeight="1">
      <c r="A330" s="230"/>
      <c r="B330" s="230"/>
      <c r="C330" s="230"/>
      <c r="D330" s="230"/>
      <c r="E330" s="230"/>
      <c r="F330" s="230"/>
      <c r="G330" s="230"/>
      <c r="H330" s="230"/>
      <c r="I330" s="230"/>
      <c r="J330" s="230"/>
      <c r="K330" s="230"/>
      <c r="L330" s="230"/>
      <c r="M330" s="230"/>
      <c r="N330" s="230"/>
      <c r="O330" s="230"/>
      <c r="P330" s="230"/>
      <c r="Q330" s="230"/>
      <c r="R330" s="230"/>
      <c r="S330" s="230"/>
      <c r="T330" s="230"/>
      <c r="U330" s="230"/>
      <c r="V330" s="230"/>
      <c r="W330" s="230"/>
      <c r="X330" s="230"/>
      <c r="Y330" s="230"/>
      <c r="Z330" s="230"/>
    </row>
    <row r="331" spans="1:26" ht="15.75" customHeight="1">
      <c r="A331" s="230"/>
      <c r="B331" s="230"/>
      <c r="C331" s="230"/>
      <c r="D331" s="230"/>
      <c r="E331" s="230"/>
      <c r="F331" s="230"/>
      <c r="G331" s="230"/>
      <c r="H331" s="230"/>
      <c r="I331" s="230"/>
      <c r="J331" s="230"/>
      <c r="K331" s="230"/>
      <c r="L331" s="230"/>
      <c r="M331" s="230"/>
      <c r="N331" s="230"/>
      <c r="O331" s="230"/>
      <c r="P331" s="230"/>
      <c r="Q331" s="230"/>
      <c r="R331" s="230"/>
      <c r="S331" s="230"/>
      <c r="T331" s="230"/>
      <c r="U331" s="230"/>
      <c r="V331" s="230"/>
      <c r="W331" s="230"/>
      <c r="X331" s="230"/>
      <c r="Y331" s="230"/>
      <c r="Z331" s="230"/>
    </row>
    <row r="332" spans="1:26" ht="15.75" customHeight="1">
      <c r="A332" s="230"/>
      <c r="B332" s="230"/>
      <c r="C332" s="230"/>
      <c r="D332" s="230"/>
      <c r="E332" s="230"/>
      <c r="F332" s="230"/>
      <c r="G332" s="230"/>
      <c r="H332" s="230"/>
      <c r="I332" s="230"/>
      <c r="J332" s="230"/>
      <c r="K332" s="230"/>
      <c r="L332" s="230"/>
      <c r="M332" s="230"/>
      <c r="N332" s="230"/>
      <c r="O332" s="230"/>
      <c r="P332" s="230"/>
      <c r="Q332" s="230"/>
      <c r="R332" s="230"/>
      <c r="S332" s="230"/>
      <c r="T332" s="230"/>
      <c r="U332" s="230"/>
      <c r="V332" s="230"/>
      <c r="W332" s="230"/>
      <c r="X332" s="230"/>
      <c r="Y332" s="230"/>
      <c r="Z332" s="230"/>
    </row>
    <row r="333" spans="1:26" ht="15.75" customHeight="1">
      <c r="A333" s="230"/>
      <c r="B333" s="230"/>
      <c r="C333" s="230"/>
      <c r="D333" s="230"/>
      <c r="E333" s="230"/>
      <c r="F333" s="230"/>
      <c r="G333" s="230"/>
      <c r="H333" s="230"/>
      <c r="I333" s="230"/>
      <c r="J333" s="230"/>
      <c r="K333" s="230"/>
      <c r="L333" s="230"/>
      <c r="M333" s="230"/>
      <c r="N333" s="230"/>
      <c r="O333" s="230"/>
      <c r="P333" s="230"/>
      <c r="Q333" s="230"/>
      <c r="R333" s="230"/>
      <c r="S333" s="230"/>
      <c r="T333" s="230"/>
      <c r="U333" s="230"/>
      <c r="V333" s="230"/>
      <c r="W333" s="230"/>
      <c r="X333" s="230"/>
      <c r="Y333" s="230"/>
      <c r="Z333" s="230"/>
    </row>
    <row r="334" spans="1:26" ht="15.75" customHeight="1">
      <c r="A334" s="230"/>
      <c r="B334" s="230"/>
      <c r="C334" s="230"/>
      <c r="D334" s="230"/>
      <c r="E334" s="230"/>
      <c r="F334" s="230"/>
      <c r="G334" s="230"/>
      <c r="H334" s="230"/>
      <c r="I334" s="230"/>
      <c r="J334" s="230"/>
      <c r="K334" s="230"/>
      <c r="L334" s="230"/>
      <c r="M334" s="230"/>
      <c r="N334" s="230"/>
      <c r="O334" s="230"/>
      <c r="P334" s="230"/>
      <c r="Q334" s="230"/>
      <c r="R334" s="230"/>
      <c r="S334" s="230"/>
      <c r="T334" s="230"/>
      <c r="U334" s="230"/>
      <c r="V334" s="230"/>
      <c r="W334" s="230"/>
      <c r="X334" s="230"/>
      <c r="Y334" s="230"/>
      <c r="Z334" s="230"/>
    </row>
    <row r="335" spans="1:26" ht="15.75" customHeight="1">
      <c r="A335" s="230"/>
      <c r="B335" s="230"/>
      <c r="C335" s="230"/>
      <c r="D335" s="230"/>
      <c r="E335" s="230"/>
      <c r="F335" s="230"/>
      <c r="G335" s="230"/>
      <c r="H335" s="230"/>
      <c r="I335" s="230"/>
      <c r="J335" s="230"/>
      <c r="K335" s="230"/>
      <c r="L335" s="230"/>
      <c r="M335" s="230"/>
      <c r="N335" s="230"/>
      <c r="O335" s="230"/>
      <c r="P335" s="230"/>
      <c r="Q335" s="230"/>
      <c r="R335" s="230"/>
      <c r="S335" s="230"/>
      <c r="T335" s="230"/>
      <c r="U335" s="230"/>
      <c r="V335" s="230"/>
      <c r="W335" s="230"/>
      <c r="X335" s="230"/>
      <c r="Y335" s="230"/>
      <c r="Z335" s="230"/>
    </row>
    <row r="336" spans="1:26" ht="15.75" customHeight="1">
      <c r="A336" s="230"/>
      <c r="B336" s="230"/>
      <c r="C336" s="230"/>
      <c r="D336" s="230"/>
      <c r="E336" s="230"/>
      <c r="F336" s="230"/>
      <c r="G336" s="230"/>
      <c r="H336" s="230"/>
      <c r="I336" s="230"/>
      <c r="J336" s="230"/>
      <c r="K336" s="230"/>
      <c r="L336" s="230"/>
      <c r="M336" s="230"/>
      <c r="N336" s="230"/>
      <c r="O336" s="230"/>
      <c r="P336" s="230"/>
      <c r="Q336" s="230"/>
      <c r="R336" s="230"/>
      <c r="S336" s="230"/>
      <c r="T336" s="230"/>
      <c r="U336" s="230"/>
      <c r="V336" s="230"/>
      <c r="W336" s="230"/>
      <c r="X336" s="230"/>
      <c r="Y336" s="230"/>
      <c r="Z336" s="230"/>
    </row>
    <row r="337" spans="1:26" ht="15.75" customHeight="1">
      <c r="A337" s="230"/>
      <c r="B337" s="230"/>
      <c r="C337" s="230"/>
      <c r="D337" s="230"/>
      <c r="E337" s="230"/>
      <c r="F337" s="230"/>
      <c r="G337" s="230"/>
      <c r="H337" s="230"/>
      <c r="I337" s="230"/>
      <c r="J337" s="230"/>
      <c r="K337" s="230"/>
      <c r="L337" s="230"/>
      <c r="M337" s="230"/>
      <c r="N337" s="230"/>
      <c r="O337" s="230"/>
      <c r="P337" s="230"/>
      <c r="Q337" s="230"/>
      <c r="R337" s="230"/>
      <c r="S337" s="230"/>
      <c r="T337" s="230"/>
      <c r="U337" s="230"/>
      <c r="V337" s="230"/>
      <c r="W337" s="230"/>
      <c r="X337" s="230"/>
      <c r="Y337" s="230"/>
      <c r="Z337" s="230"/>
    </row>
    <row r="338" spans="1:26" ht="15.75" customHeight="1">
      <c r="A338" s="230"/>
      <c r="B338" s="230"/>
      <c r="C338" s="230"/>
      <c r="D338" s="230"/>
      <c r="E338" s="230"/>
      <c r="F338" s="230"/>
      <c r="G338" s="230"/>
      <c r="H338" s="230"/>
      <c r="I338" s="230"/>
      <c r="J338" s="230"/>
      <c r="K338" s="230"/>
      <c r="L338" s="230"/>
      <c r="M338" s="230"/>
      <c r="N338" s="230"/>
      <c r="O338" s="230"/>
      <c r="P338" s="230"/>
      <c r="Q338" s="230"/>
      <c r="R338" s="230"/>
      <c r="S338" s="230"/>
      <c r="T338" s="230"/>
      <c r="U338" s="230"/>
      <c r="V338" s="230"/>
      <c r="W338" s="230"/>
      <c r="X338" s="230"/>
      <c r="Y338" s="230"/>
      <c r="Z338" s="230"/>
    </row>
    <row r="339" spans="1:26" ht="15.75" customHeight="1">
      <c r="A339" s="230"/>
      <c r="B339" s="230"/>
      <c r="C339" s="230"/>
      <c r="D339" s="230"/>
      <c r="E339" s="230"/>
      <c r="F339" s="230"/>
      <c r="G339" s="230"/>
      <c r="H339" s="230"/>
      <c r="I339" s="230"/>
      <c r="J339" s="230"/>
      <c r="K339" s="230"/>
      <c r="L339" s="230"/>
      <c r="M339" s="230"/>
      <c r="N339" s="230"/>
      <c r="O339" s="230"/>
      <c r="P339" s="230"/>
      <c r="Q339" s="230"/>
      <c r="R339" s="230"/>
      <c r="S339" s="230"/>
      <c r="T339" s="230"/>
      <c r="U339" s="230"/>
      <c r="V339" s="230"/>
      <c r="W339" s="230"/>
      <c r="X339" s="230"/>
      <c r="Y339" s="230"/>
      <c r="Z339" s="230"/>
    </row>
    <row r="340" spans="1:26" ht="15.75" customHeight="1">
      <c r="A340" s="230"/>
      <c r="B340" s="230"/>
      <c r="C340" s="230"/>
      <c r="D340" s="230"/>
      <c r="E340" s="230"/>
      <c r="F340" s="230"/>
      <c r="G340" s="230"/>
      <c r="H340" s="230"/>
      <c r="I340" s="230"/>
      <c r="J340" s="230"/>
      <c r="K340" s="230"/>
      <c r="L340" s="230"/>
      <c r="M340" s="230"/>
      <c r="N340" s="230"/>
      <c r="O340" s="230"/>
      <c r="P340" s="230"/>
      <c r="Q340" s="230"/>
      <c r="R340" s="230"/>
      <c r="S340" s="230"/>
      <c r="T340" s="230"/>
      <c r="U340" s="230"/>
      <c r="V340" s="230"/>
      <c r="W340" s="230"/>
      <c r="X340" s="230"/>
      <c r="Y340" s="230"/>
      <c r="Z340" s="230"/>
    </row>
    <row r="341" spans="1:26" ht="15.75" customHeight="1">
      <c r="A341" s="230"/>
      <c r="B341" s="230"/>
      <c r="C341" s="230"/>
      <c r="D341" s="230"/>
      <c r="E341" s="230"/>
      <c r="F341" s="230"/>
      <c r="G341" s="230"/>
      <c r="H341" s="230"/>
      <c r="I341" s="230"/>
      <c r="J341" s="230"/>
      <c r="K341" s="230"/>
      <c r="L341" s="230"/>
      <c r="M341" s="230"/>
      <c r="N341" s="230"/>
      <c r="O341" s="230"/>
      <c r="P341" s="230"/>
      <c r="Q341" s="230"/>
      <c r="R341" s="230"/>
      <c r="S341" s="230"/>
      <c r="T341" s="230"/>
      <c r="U341" s="230"/>
      <c r="V341" s="230"/>
      <c r="W341" s="230"/>
      <c r="X341" s="230"/>
      <c r="Y341" s="230"/>
      <c r="Z341" s="230"/>
    </row>
    <row r="342" spans="1:26" ht="15.75" customHeight="1">
      <c r="A342" s="230"/>
      <c r="B342" s="230"/>
      <c r="C342" s="230"/>
      <c r="D342" s="230"/>
      <c r="E342" s="230"/>
      <c r="F342" s="230"/>
      <c r="G342" s="230"/>
      <c r="H342" s="230"/>
      <c r="I342" s="230"/>
      <c r="J342" s="230"/>
      <c r="K342" s="230"/>
      <c r="L342" s="230"/>
      <c r="M342" s="230"/>
      <c r="N342" s="230"/>
      <c r="O342" s="230"/>
      <c r="P342" s="230"/>
      <c r="Q342" s="230"/>
      <c r="R342" s="230"/>
      <c r="S342" s="230"/>
      <c r="T342" s="230"/>
      <c r="U342" s="230"/>
      <c r="V342" s="230"/>
      <c r="W342" s="230"/>
      <c r="X342" s="230"/>
      <c r="Y342" s="230"/>
      <c r="Z342" s="230"/>
    </row>
    <row r="343" spans="1:26" ht="15.75" customHeight="1">
      <c r="A343" s="230"/>
      <c r="B343" s="230"/>
      <c r="C343" s="230"/>
      <c r="D343" s="230"/>
      <c r="E343" s="230"/>
      <c r="F343" s="230"/>
      <c r="G343" s="230"/>
      <c r="H343" s="230"/>
      <c r="I343" s="230"/>
      <c r="J343" s="230"/>
      <c r="K343" s="230"/>
      <c r="L343" s="230"/>
      <c r="M343" s="230"/>
      <c r="N343" s="230"/>
      <c r="O343" s="230"/>
      <c r="P343" s="230"/>
      <c r="Q343" s="230"/>
      <c r="R343" s="230"/>
      <c r="S343" s="230"/>
      <c r="T343" s="230"/>
      <c r="U343" s="230"/>
      <c r="V343" s="230"/>
      <c r="W343" s="230"/>
      <c r="X343" s="230"/>
      <c r="Y343" s="230"/>
      <c r="Z343" s="230"/>
    </row>
    <row r="344" spans="1:26" ht="15.75" customHeight="1">
      <c r="A344" s="230"/>
      <c r="B344" s="230"/>
      <c r="C344" s="230"/>
      <c r="D344" s="230"/>
      <c r="E344" s="230"/>
      <c r="F344" s="230"/>
      <c r="G344" s="230"/>
      <c r="H344" s="230"/>
      <c r="I344" s="230"/>
      <c r="J344" s="230"/>
      <c r="K344" s="230"/>
      <c r="L344" s="230"/>
      <c r="M344" s="230"/>
      <c r="N344" s="230"/>
      <c r="O344" s="230"/>
      <c r="P344" s="230"/>
      <c r="Q344" s="230"/>
      <c r="R344" s="230"/>
      <c r="S344" s="230"/>
      <c r="T344" s="230"/>
      <c r="U344" s="230"/>
      <c r="V344" s="230"/>
      <c r="W344" s="230"/>
      <c r="X344" s="230"/>
      <c r="Y344" s="230"/>
      <c r="Z344" s="230"/>
    </row>
    <row r="345" spans="1:26" ht="15.75" customHeight="1">
      <c r="A345" s="230"/>
      <c r="B345" s="230"/>
      <c r="C345" s="230"/>
      <c r="D345" s="230"/>
      <c r="E345" s="230"/>
      <c r="F345" s="230"/>
      <c r="G345" s="230"/>
      <c r="H345" s="230"/>
      <c r="I345" s="230"/>
      <c r="J345" s="230"/>
      <c r="K345" s="230"/>
      <c r="L345" s="230"/>
      <c r="M345" s="230"/>
      <c r="N345" s="230"/>
      <c r="O345" s="230"/>
      <c r="P345" s="230"/>
      <c r="Q345" s="230"/>
      <c r="R345" s="230"/>
      <c r="S345" s="230"/>
      <c r="T345" s="230"/>
      <c r="U345" s="230"/>
      <c r="V345" s="230"/>
      <c r="W345" s="230"/>
      <c r="X345" s="230"/>
      <c r="Y345" s="230"/>
      <c r="Z345" s="230"/>
    </row>
    <row r="346" spans="1:26" ht="15.75" customHeight="1">
      <c r="A346" s="230"/>
      <c r="B346" s="230"/>
      <c r="C346" s="230"/>
      <c r="D346" s="230"/>
      <c r="E346" s="230"/>
      <c r="F346" s="230"/>
      <c r="G346" s="230"/>
      <c r="H346" s="230"/>
      <c r="I346" s="230"/>
      <c r="J346" s="230"/>
      <c r="K346" s="230"/>
      <c r="L346" s="230"/>
      <c r="M346" s="230"/>
      <c r="N346" s="230"/>
      <c r="O346" s="230"/>
      <c r="P346" s="230"/>
      <c r="Q346" s="230"/>
      <c r="R346" s="230"/>
      <c r="S346" s="230"/>
      <c r="T346" s="230"/>
      <c r="U346" s="230"/>
      <c r="V346" s="230"/>
      <c r="W346" s="230"/>
      <c r="X346" s="230"/>
      <c r="Y346" s="230"/>
      <c r="Z346" s="230"/>
    </row>
    <row r="347" spans="1:26" ht="15.75" customHeight="1">
      <c r="A347" s="230"/>
      <c r="B347" s="230"/>
      <c r="C347" s="230"/>
      <c r="D347" s="230"/>
      <c r="E347" s="230"/>
      <c r="F347" s="230"/>
      <c r="G347" s="230"/>
      <c r="H347" s="230"/>
      <c r="I347" s="230"/>
      <c r="J347" s="230"/>
      <c r="K347" s="230"/>
      <c r="L347" s="230"/>
      <c r="M347" s="230"/>
      <c r="N347" s="230"/>
      <c r="O347" s="230"/>
      <c r="P347" s="230"/>
      <c r="Q347" s="230"/>
      <c r="R347" s="230"/>
      <c r="S347" s="230"/>
      <c r="T347" s="230"/>
      <c r="U347" s="230"/>
      <c r="V347" s="230"/>
      <c r="W347" s="230"/>
      <c r="X347" s="230"/>
      <c r="Y347" s="230"/>
      <c r="Z347" s="230"/>
    </row>
    <row r="348" spans="1:26" ht="15.75" customHeight="1">
      <c r="A348" s="230"/>
      <c r="B348" s="230"/>
      <c r="C348" s="230"/>
      <c r="D348" s="230"/>
      <c r="E348" s="230"/>
      <c r="F348" s="230"/>
      <c r="G348" s="230"/>
      <c r="H348" s="230"/>
      <c r="I348" s="230"/>
      <c r="J348" s="230"/>
      <c r="K348" s="230"/>
      <c r="L348" s="230"/>
      <c r="M348" s="230"/>
      <c r="N348" s="230"/>
      <c r="O348" s="230"/>
      <c r="P348" s="230"/>
      <c r="Q348" s="230"/>
      <c r="R348" s="230"/>
      <c r="S348" s="230"/>
      <c r="T348" s="230"/>
      <c r="U348" s="230"/>
      <c r="V348" s="230"/>
      <c r="W348" s="230"/>
      <c r="X348" s="230"/>
      <c r="Y348" s="230"/>
      <c r="Z348" s="230"/>
    </row>
    <row r="349" spans="1:26" ht="15.75" customHeight="1">
      <c r="A349" s="230"/>
      <c r="B349" s="230"/>
      <c r="C349" s="230"/>
      <c r="D349" s="230"/>
      <c r="E349" s="230"/>
      <c r="F349" s="230"/>
      <c r="G349" s="230"/>
      <c r="H349" s="230"/>
      <c r="I349" s="230"/>
      <c r="J349" s="230"/>
      <c r="K349" s="230"/>
      <c r="L349" s="230"/>
      <c r="M349" s="230"/>
      <c r="N349" s="230"/>
      <c r="O349" s="230"/>
      <c r="P349" s="230"/>
      <c r="Q349" s="230"/>
      <c r="R349" s="230"/>
      <c r="S349" s="230"/>
      <c r="T349" s="230"/>
      <c r="U349" s="230"/>
      <c r="V349" s="230"/>
      <c r="W349" s="230"/>
      <c r="X349" s="230"/>
      <c r="Y349" s="230"/>
      <c r="Z349" s="230"/>
    </row>
    <row r="350" spans="1:26" ht="15.75" customHeight="1">
      <c r="A350" s="230"/>
      <c r="B350" s="230"/>
      <c r="C350" s="230"/>
      <c r="D350" s="230"/>
      <c r="E350" s="230"/>
      <c r="F350" s="230"/>
      <c r="G350" s="230"/>
      <c r="H350" s="230"/>
      <c r="I350" s="230"/>
      <c r="J350" s="230"/>
      <c r="K350" s="230"/>
      <c r="L350" s="230"/>
      <c r="M350" s="230"/>
      <c r="N350" s="230"/>
      <c r="O350" s="230"/>
      <c r="P350" s="230"/>
      <c r="Q350" s="230"/>
      <c r="R350" s="230"/>
      <c r="S350" s="230"/>
      <c r="T350" s="230"/>
      <c r="U350" s="230"/>
      <c r="V350" s="230"/>
      <c r="W350" s="230"/>
      <c r="X350" s="230"/>
      <c r="Y350" s="230"/>
      <c r="Z350" s="230"/>
    </row>
    <row r="351" spans="1:26" ht="15.75" customHeight="1">
      <c r="A351" s="230"/>
      <c r="B351" s="230"/>
      <c r="C351" s="230"/>
      <c r="D351" s="230"/>
      <c r="E351" s="230"/>
      <c r="F351" s="230"/>
      <c r="G351" s="230"/>
      <c r="H351" s="230"/>
      <c r="I351" s="230"/>
      <c r="J351" s="230"/>
      <c r="K351" s="230"/>
      <c r="L351" s="230"/>
      <c r="M351" s="230"/>
      <c r="N351" s="230"/>
      <c r="O351" s="230"/>
      <c r="P351" s="230"/>
      <c r="Q351" s="230"/>
      <c r="R351" s="230"/>
      <c r="S351" s="230"/>
      <c r="T351" s="230"/>
      <c r="U351" s="230"/>
      <c r="V351" s="230"/>
      <c r="W351" s="230"/>
      <c r="X351" s="230"/>
      <c r="Y351" s="230"/>
      <c r="Z351" s="230"/>
    </row>
    <row r="352" spans="1:26" ht="15.75" customHeight="1">
      <c r="A352" s="230"/>
      <c r="B352" s="230"/>
      <c r="C352" s="230"/>
      <c r="D352" s="230"/>
      <c r="E352" s="230"/>
      <c r="F352" s="230"/>
      <c r="G352" s="230"/>
      <c r="H352" s="230"/>
      <c r="I352" s="230"/>
      <c r="J352" s="230"/>
      <c r="K352" s="230"/>
      <c r="L352" s="230"/>
      <c r="M352" s="230"/>
      <c r="N352" s="230"/>
      <c r="O352" s="230"/>
      <c r="P352" s="230"/>
      <c r="Q352" s="230"/>
      <c r="R352" s="230"/>
      <c r="S352" s="230"/>
      <c r="T352" s="230"/>
      <c r="U352" s="230"/>
      <c r="V352" s="230"/>
      <c r="W352" s="230"/>
      <c r="X352" s="230"/>
      <c r="Y352" s="230"/>
      <c r="Z352" s="230"/>
    </row>
    <row r="353" spans="1:26" ht="15.75" customHeight="1">
      <c r="A353" s="230"/>
      <c r="B353" s="230"/>
      <c r="C353" s="230"/>
      <c r="D353" s="230"/>
      <c r="E353" s="230"/>
      <c r="F353" s="230"/>
      <c r="G353" s="230"/>
      <c r="H353" s="230"/>
      <c r="I353" s="230"/>
      <c r="J353" s="230"/>
      <c r="K353" s="230"/>
      <c r="L353" s="230"/>
      <c r="M353" s="230"/>
      <c r="N353" s="230"/>
      <c r="O353" s="230"/>
      <c r="P353" s="230"/>
      <c r="Q353" s="230"/>
      <c r="R353" s="230"/>
      <c r="S353" s="230"/>
      <c r="T353" s="230"/>
      <c r="U353" s="230"/>
      <c r="V353" s="230"/>
      <c r="W353" s="230"/>
      <c r="X353" s="230"/>
      <c r="Y353" s="230"/>
      <c r="Z353" s="230"/>
    </row>
    <row r="354" spans="1:26" ht="15.75" customHeight="1">
      <c r="A354" s="230"/>
      <c r="B354" s="230"/>
      <c r="C354" s="230"/>
      <c r="D354" s="230"/>
      <c r="E354" s="230"/>
      <c r="F354" s="230"/>
      <c r="G354" s="230"/>
      <c r="H354" s="230"/>
      <c r="I354" s="230"/>
      <c r="J354" s="230"/>
      <c r="K354" s="230"/>
      <c r="L354" s="230"/>
      <c r="M354" s="230"/>
      <c r="N354" s="230"/>
      <c r="O354" s="230"/>
      <c r="P354" s="230"/>
      <c r="Q354" s="230"/>
      <c r="R354" s="230"/>
      <c r="S354" s="230"/>
      <c r="T354" s="230"/>
      <c r="U354" s="230"/>
      <c r="V354" s="230"/>
      <c r="W354" s="230"/>
      <c r="X354" s="230"/>
      <c r="Y354" s="230"/>
      <c r="Z354" s="230"/>
    </row>
    <row r="355" spans="1:26" ht="15.75" customHeight="1">
      <c r="A355" s="230"/>
      <c r="B355" s="230"/>
      <c r="C355" s="230"/>
      <c r="D355" s="230"/>
      <c r="E355" s="230"/>
      <c r="F355" s="230"/>
      <c r="G355" s="230"/>
      <c r="H355" s="230"/>
      <c r="I355" s="230"/>
      <c r="J355" s="230"/>
      <c r="K355" s="230"/>
      <c r="L355" s="230"/>
      <c r="M355" s="230"/>
      <c r="N355" s="230"/>
      <c r="O355" s="230"/>
      <c r="P355" s="230"/>
      <c r="Q355" s="230"/>
      <c r="R355" s="230"/>
      <c r="S355" s="230"/>
      <c r="T355" s="230"/>
      <c r="U355" s="230"/>
      <c r="V355" s="230"/>
      <c r="W355" s="230"/>
      <c r="X355" s="230"/>
      <c r="Y355" s="230"/>
      <c r="Z355" s="230"/>
    </row>
    <row r="356" spans="1:26" ht="15.75" customHeight="1">
      <c r="A356" s="230"/>
      <c r="B356" s="230"/>
      <c r="C356" s="230"/>
      <c r="D356" s="230"/>
      <c r="E356" s="230"/>
      <c r="F356" s="230"/>
      <c r="G356" s="230"/>
      <c r="H356" s="230"/>
      <c r="I356" s="230"/>
      <c r="J356" s="230"/>
      <c r="K356" s="230"/>
      <c r="L356" s="230"/>
      <c r="M356" s="230"/>
      <c r="N356" s="230"/>
      <c r="O356" s="230"/>
      <c r="P356" s="230"/>
      <c r="Q356" s="230"/>
      <c r="R356" s="230"/>
      <c r="S356" s="230"/>
      <c r="T356" s="230"/>
      <c r="U356" s="230"/>
      <c r="V356" s="230"/>
      <c r="W356" s="230"/>
      <c r="X356" s="230"/>
      <c r="Y356" s="230"/>
      <c r="Z356" s="230"/>
    </row>
    <row r="357" spans="1:26" ht="15.75" customHeight="1">
      <c r="A357" s="230"/>
      <c r="B357" s="230"/>
      <c r="C357" s="230"/>
      <c r="D357" s="230"/>
      <c r="E357" s="230"/>
      <c r="F357" s="230"/>
      <c r="G357" s="230"/>
      <c r="H357" s="230"/>
      <c r="I357" s="230"/>
      <c r="J357" s="230"/>
      <c r="K357" s="230"/>
      <c r="L357" s="230"/>
      <c r="M357" s="230"/>
      <c r="N357" s="230"/>
      <c r="O357" s="230"/>
      <c r="P357" s="230"/>
      <c r="Q357" s="230"/>
      <c r="R357" s="230"/>
      <c r="S357" s="230"/>
      <c r="T357" s="230"/>
      <c r="U357" s="230"/>
      <c r="V357" s="230"/>
      <c r="W357" s="230"/>
      <c r="X357" s="230"/>
      <c r="Y357" s="230"/>
      <c r="Z357" s="230"/>
    </row>
    <row r="358" spans="1:26" ht="15.75" customHeight="1">
      <c r="A358" s="230"/>
      <c r="B358" s="230"/>
      <c r="C358" s="230"/>
      <c r="D358" s="230"/>
      <c r="E358" s="230"/>
      <c r="F358" s="230"/>
      <c r="G358" s="230"/>
      <c r="H358" s="230"/>
      <c r="I358" s="230"/>
      <c r="J358" s="230"/>
      <c r="K358" s="230"/>
      <c r="L358" s="230"/>
      <c r="M358" s="230"/>
      <c r="N358" s="230"/>
      <c r="O358" s="230"/>
      <c r="P358" s="230"/>
      <c r="Q358" s="230"/>
      <c r="R358" s="230"/>
      <c r="S358" s="230"/>
      <c r="T358" s="230"/>
      <c r="U358" s="230"/>
      <c r="V358" s="230"/>
      <c r="W358" s="230"/>
      <c r="X358" s="230"/>
      <c r="Y358" s="230"/>
      <c r="Z358" s="230"/>
    </row>
    <row r="359" spans="1:26" ht="15.75" customHeight="1">
      <c r="A359" s="230"/>
      <c r="B359" s="230"/>
      <c r="C359" s="230"/>
      <c r="D359" s="230"/>
      <c r="E359" s="230"/>
      <c r="F359" s="230"/>
      <c r="G359" s="230"/>
      <c r="H359" s="230"/>
      <c r="I359" s="230"/>
      <c r="J359" s="230"/>
      <c r="K359" s="230"/>
      <c r="L359" s="230"/>
      <c r="M359" s="230"/>
      <c r="N359" s="230"/>
      <c r="O359" s="230"/>
      <c r="P359" s="230"/>
      <c r="Q359" s="230"/>
      <c r="R359" s="230"/>
      <c r="S359" s="230"/>
      <c r="T359" s="230"/>
      <c r="U359" s="230"/>
      <c r="V359" s="230"/>
      <c r="W359" s="230"/>
      <c r="X359" s="230"/>
      <c r="Y359" s="230"/>
      <c r="Z359" s="230"/>
    </row>
    <row r="360" spans="1:26" ht="15.75" customHeight="1">
      <c r="A360" s="230"/>
      <c r="B360" s="230"/>
      <c r="C360" s="230"/>
      <c r="D360" s="230"/>
      <c r="E360" s="230"/>
      <c r="F360" s="230"/>
      <c r="G360" s="230"/>
      <c r="H360" s="230"/>
      <c r="I360" s="230"/>
      <c r="J360" s="230"/>
      <c r="K360" s="230"/>
      <c r="L360" s="230"/>
      <c r="M360" s="230"/>
      <c r="N360" s="230"/>
      <c r="O360" s="230"/>
      <c r="P360" s="230"/>
      <c r="Q360" s="230"/>
      <c r="R360" s="230"/>
      <c r="S360" s="230"/>
      <c r="T360" s="230"/>
      <c r="U360" s="230"/>
      <c r="V360" s="230"/>
      <c r="W360" s="230"/>
      <c r="X360" s="230"/>
      <c r="Y360" s="230"/>
      <c r="Z360" s="230"/>
    </row>
    <row r="361" spans="1:26" ht="15.75" customHeight="1">
      <c r="A361" s="230"/>
      <c r="B361" s="230"/>
      <c r="C361" s="230"/>
      <c r="D361" s="230"/>
      <c r="E361" s="230"/>
      <c r="F361" s="230"/>
      <c r="G361" s="230"/>
      <c r="H361" s="230"/>
      <c r="I361" s="230"/>
      <c r="J361" s="230"/>
      <c r="K361" s="230"/>
      <c r="L361" s="230"/>
      <c r="M361" s="230"/>
      <c r="N361" s="230"/>
      <c r="O361" s="230"/>
      <c r="P361" s="230"/>
      <c r="Q361" s="230"/>
      <c r="R361" s="230"/>
      <c r="S361" s="230"/>
      <c r="T361" s="230"/>
      <c r="U361" s="230"/>
      <c r="V361" s="230"/>
      <c r="W361" s="230"/>
      <c r="X361" s="230"/>
      <c r="Y361" s="230"/>
      <c r="Z361" s="230"/>
    </row>
    <row r="362" spans="1:26" ht="15.75" customHeight="1">
      <c r="A362" s="230"/>
      <c r="B362" s="230"/>
      <c r="C362" s="230"/>
      <c r="D362" s="230"/>
      <c r="E362" s="230"/>
      <c r="F362" s="230"/>
      <c r="G362" s="230"/>
      <c r="H362" s="230"/>
      <c r="I362" s="230"/>
      <c r="J362" s="230"/>
      <c r="K362" s="230"/>
      <c r="L362" s="230"/>
      <c r="M362" s="230"/>
      <c r="N362" s="230"/>
      <c r="O362" s="230"/>
      <c r="P362" s="230"/>
      <c r="Q362" s="230"/>
      <c r="R362" s="230"/>
      <c r="S362" s="230"/>
      <c r="T362" s="230"/>
      <c r="U362" s="230"/>
      <c r="V362" s="230"/>
      <c r="W362" s="230"/>
      <c r="X362" s="230"/>
      <c r="Y362" s="230"/>
      <c r="Z362" s="230"/>
    </row>
    <row r="363" spans="1:26" ht="15.75" customHeight="1">
      <c r="A363" s="230"/>
      <c r="B363" s="230"/>
      <c r="C363" s="230"/>
      <c r="D363" s="230"/>
      <c r="E363" s="230"/>
      <c r="F363" s="230"/>
      <c r="G363" s="230"/>
      <c r="H363" s="230"/>
      <c r="I363" s="230"/>
      <c r="J363" s="230"/>
      <c r="K363" s="230"/>
      <c r="L363" s="230"/>
      <c r="M363" s="230"/>
      <c r="N363" s="230"/>
      <c r="O363" s="230"/>
      <c r="P363" s="230"/>
      <c r="Q363" s="230"/>
      <c r="R363" s="230"/>
      <c r="S363" s="230"/>
      <c r="T363" s="230"/>
      <c r="U363" s="230"/>
      <c r="V363" s="230"/>
      <c r="W363" s="230"/>
      <c r="X363" s="230"/>
      <c r="Y363" s="230"/>
      <c r="Z363" s="230"/>
    </row>
    <row r="364" spans="1:26" ht="15.75" customHeight="1">
      <c r="A364" s="230"/>
      <c r="B364" s="230"/>
      <c r="C364" s="230"/>
      <c r="D364" s="230"/>
      <c r="E364" s="230"/>
      <c r="F364" s="230"/>
      <c r="G364" s="230"/>
      <c r="H364" s="230"/>
      <c r="I364" s="230"/>
      <c r="J364" s="230"/>
      <c r="K364" s="230"/>
      <c r="L364" s="230"/>
      <c r="M364" s="230"/>
      <c r="N364" s="230"/>
      <c r="O364" s="230"/>
      <c r="P364" s="230"/>
      <c r="Q364" s="230"/>
      <c r="R364" s="230"/>
      <c r="S364" s="230"/>
      <c r="T364" s="230"/>
      <c r="U364" s="230"/>
      <c r="V364" s="230"/>
      <c r="W364" s="230"/>
      <c r="X364" s="230"/>
      <c r="Y364" s="230"/>
      <c r="Z364" s="230"/>
    </row>
    <row r="365" spans="1:26" ht="15.75" customHeight="1">
      <c r="A365" s="230"/>
      <c r="B365" s="230"/>
      <c r="C365" s="230"/>
      <c r="D365" s="230"/>
      <c r="E365" s="230"/>
      <c r="F365" s="230"/>
      <c r="G365" s="230"/>
      <c r="H365" s="230"/>
      <c r="I365" s="230"/>
      <c r="J365" s="230"/>
      <c r="K365" s="230"/>
      <c r="L365" s="230"/>
      <c r="M365" s="230"/>
      <c r="N365" s="230"/>
      <c r="O365" s="230"/>
      <c r="P365" s="230"/>
      <c r="Q365" s="230"/>
      <c r="R365" s="230"/>
      <c r="S365" s="230"/>
      <c r="T365" s="230"/>
      <c r="U365" s="230"/>
      <c r="V365" s="230"/>
      <c r="W365" s="230"/>
      <c r="X365" s="230"/>
      <c r="Y365" s="230"/>
      <c r="Z365" s="230"/>
    </row>
    <row r="366" spans="1:26" ht="15.75" customHeight="1">
      <c r="A366" s="230"/>
      <c r="B366" s="230"/>
      <c r="C366" s="230"/>
      <c r="D366" s="230"/>
      <c r="E366" s="230"/>
      <c r="F366" s="230"/>
      <c r="G366" s="230"/>
      <c r="H366" s="230"/>
      <c r="I366" s="230"/>
      <c r="J366" s="230"/>
      <c r="K366" s="230"/>
      <c r="L366" s="230"/>
      <c r="M366" s="230"/>
      <c r="N366" s="230"/>
      <c r="O366" s="230"/>
      <c r="P366" s="230"/>
      <c r="Q366" s="230"/>
      <c r="R366" s="230"/>
      <c r="S366" s="230"/>
      <c r="T366" s="230"/>
      <c r="U366" s="230"/>
      <c r="V366" s="230"/>
      <c r="W366" s="230"/>
      <c r="X366" s="230"/>
      <c r="Y366" s="230"/>
      <c r="Z366" s="230"/>
    </row>
    <row r="367" spans="1:26" ht="15.75" customHeight="1">
      <c r="A367" s="230"/>
      <c r="B367" s="230"/>
      <c r="C367" s="230"/>
      <c r="D367" s="230"/>
      <c r="E367" s="230"/>
      <c r="F367" s="230"/>
      <c r="G367" s="230"/>
      <c r="H367" s="230"/>
      <c r="I367" s="230"/>
      <c r="J367" s="230"/>
      <c r="K367" s="230"/>
      <c r="L367" s="230"/>
      <c r="M367" s="230"/>
      <c r="N367" s="230"/>
      <c r="O367" s="230"/>
      <c r="P367" s="230"/>
      <c r="Q367" s="230"/>
      <c r="R367" s="230"/>
      <c r="S367" s="230"/>
      <c r="T367" s="230"/>
      <c r="U367" s="230"/>
      <c r="V367" s="230"/>
      <c r="W367" s="230"/>
      <c r="X367" s="230"/>
      <c r="Y367" s="230"/>
      <c r="Z367" s="230"/>
    </row>
    <row r="368" spans="1:26" ht="15.75" customHeight="1">
      <c r="A368" s="230"/>
      <c r="B368" s="230"/>
      <c r="C368" s="230"/>
      <c r="D368" s="230"/>
      <c r="E368" s="230"/>
      <c r="F368" s="230"/>
      <c r="G368" s="230"/>
      <c r="H368" s="230"/>
      <c r="I368" s="230"/>
      <c r="J368" s="230"/>
      <c r="K368" s="230"/>
      <c r="L368" s="230"/>
      <c r="M368" s="230"/>
      <c r="N368" s="230"/>
      <c r="O368" s="230"/>
      <c r="P368" s="230"/>
      <c r="Q368" s="230"/>
      <c r="R368" s="230"/>
      <c r="S368" s="230"/>
      <c r="T368" s="230"/>
      <c r="U368" s="230"/>
      <c r="V368" s="230"/>
      <c r="W368" s="230"/>
      <c r="X368" s="230"/>
      <c r="Y368" s="230"/>
      <c r="Z368" s="230"/>
    </row>
    <row r="369" spans="1:26" ht="15.75" customHeight="1">
      <c r="A369" s="230"/>
      <c r="B369" s="230"/>
      <c r="C369" s="230"/>
      <c r="D369" s="230"/>
      <c r="E369" s="230"/>
      <c r="F369" s="230"/>
      <c r="G369" s="230"/>
      <c r="H369" s="230"/>
      <c r="I369" s="230"/>
      <c r="J369" s="230"/>
      <c r="K369" s="230"/>
      <c r="L369" s="230"/>
      <c r="M369" s="230"/>
      <c r="N369" s="230"/>
      <c r="O369" s="230"/>
      <c r="P369" s="230"/>
      <c r="Q369" s="230"/>
      <c r="R369" s="230"/>
      <c r="S369" s="230"/>
      <c r="T369" s="230"/>
      <c r="U369" s="230"/>
      <c r="V369" s="230"/>
      <c r="W369" s="230"/>
      <c r="X369" s="230"/>
      <c r="Y369" s="230"/>
      <c r="Z369" s="230"/>
    </row>
    <row r="370" spans="1:26" ht="15.75" customHeight="1">
      <c r="A370" s="230"/>
      <c r="B370" s="230"/>
      <c r="C370" s="230"/>
      <c r="D370" s="230"/>
      <c r="E370" s="230"/>
      <c r="F370" s="230"/>
      <c r="G370" s="230"/>
      <c r="H370" s="230"/>
      <c r="I370" s="230"/>
      <c r="J370" s="230"/>
      <c r="K370" s="230"/>
      <c r="L370" s="230"/>
      <c r="M370" s="230"/>
      <c r="N370" s="230"/>
      <c r="O370" s="230"/>
      <c r="P370" s="230"/>
      <c r="Q370" s="230"/>
      <c r="R370" s="230"/>
      <c r="S370" s="230"/>
      <c r="T370" s="230"/>
      <c r="U370" s="230"/>
      <c r="V370" s="230"/>
      <c r="W370" s="230"/>
      <c r="X370" s="230"/>
      <c r="Y370" s="230"/>
      <c r="Z370" s="230"/>
    </row>
    <row r="371" spans="1:26" ht="15.75" customHeight="1">
      <c r="A371" s="230"/>
      <c r="B371" s="230"/>
      <c r="C371" s="230"/>
      <c r="D371" s="230"/>
      <c r="E371" s="230"/>
      <c r="F371" s="230"/>
      <c r="G371" s="230"/>
      <c r="H371" s="230"/>
      <c r="I371" s="230"/>
      <c r="J371" s="230"/>
      <c r="K371" s="230"/>
      <c r="L371" s="230"/>
      <c r="M371" s="230"/>
      <c r="N371" s="230"/>
      <c r="O371" s="230"/>
      <c r="P371" s="230"/>
      <c r="Q371" s="230"/>
      <c r="R371" s="230"/>
      <c r="S371" s="230"/>
      <c r="T371" s="230"/>
      <c r="U371" s="230"/>
      <c r="V371" s="230"/>
      <c r="W371" s="230"/>
      <c r="X371" s="230"/>
      <c r="Y371" s="230"/>
      <c r="Z371" s="230"/>
    </row>
    <row r="372" spans="1:26" ht="15.75" customHeight="1">
      <c r="A372" s="230"/>
      <c r="B372" s="230"/>
      <c r="C372" s="230"/>
      <c r="D372" s="230"/>
      <c r="E372" s="230"/>
      <c r="F372" s="230"/>
      <c r="G372" s="230"/>
      <c r="H372" s="230"/>
      <c r="I372" s="230"/>
      <c r="J372" s="230"/>
      <c r="K372" s="230"/>
      <c r="L372" s="230"/>
      <c r="M372" s="230"/>
      <c r="N372" s="230"/>
      <c r="O372" s="230"/>
      <c r="P372" s="230"/>
      <c r="Q372" s="230"/>
      <c r="R372" s="230"/>
      <c r="S372" s="230"/>
      <c r="T372" s="230"/>
      <c r="U372" s="230"/>
      <c r="V372" s="230"/>
      <c r="W372" s="230"/>
      <c r="X372" s="230"/>
      <c r="Y372" s="230"/>
      <c r="Z372" s="230"/>
    </row>
    <row r="373" spans="1:26" ht="15.75" customHeight="1">
      <c r="A373" s="230"/>
      <c r="B373" s="230"/>
      <c r="C373" s="230"/>
      <c r="D373" s="230"/>
      <c r="E373" s="230"/>
      <c r="F373" s="230"/>
      <c r="G373" s="230"/>
      <c r="H373" s="230"/>
      <c r="I373" s="230"/>
      <c r="J373" s="230"/>
      <c r="K373" s="230"/>
      <c r="L373" s="230"/>
      <c r="M373" s="230"/>
      <c r="N373" s="230"/>
      <c r="O373" s="230"/>
      <c r="P373" s="230"/>
      <c r="Q373" s="230"/>
      <c r="R373" s="230"/>
      <c r="S373" s="230"/>
      <c r="T373" s="230"/>
      <c r="U373" s="230"/>
      <c r="V373" s="230"/>
      <c r="W373" s="230"/>
      <c r="X373" s="230"/>
      <c r="Y373" s="230"/>
      <c r="Z373" s="230"/>
    </row>
    <row r="374" spans="1:26" ht="15.75" customHeight="1">
      <c r="A374" s="230"/>
      <c r="B374" s="230"/>
      <c r="C374" s="230"/>
      <c r="D374" s="230"/>
      <c r="E374" s="230"/>
      <c r="F374" s="230"/>
      <c r="G374" s="230"/>
      <c r="H374" s="230"/>
      <c r="I374" s="230"/>
      <c r="J374" s="230"/>
      <c r="K374" s="230"/>
      <c r="L374" s="230"/>
      <c r="M374" s="230"/>
      <c r="N374" s="230"/>
      <c r="O374" s="230"/>
      <c r="P374" s="230"/>
      <c r="Q374" s="230"/>
      <c r="R374" s="230"/>
      <c r="S374" s="230"/>
      <c r="T374" s="230"/>
      <c r="U374" s="230"/>
      <c r="V374" s="230"/>
      <c r="W374" s="230"/>
      <c r="X374" s="230"/>
      <c r="Y374" s="230"/>
      <c r="Z374" s="230"/>
    </row>
    <row r="375" spans="1:26" ht="15.75" customHeight="1">
      <c r="A375" s="230"/>
      <c r="B375" s="230"/>
      <c r="C375" s="230"/>
      <c r="D375" s="230"/>
      <c r="E375" s="230"/>
      <c r="F375" s="230"/>
      <c r="G375" s="230"/>
      <c r="H375" s="230"/>
      <c r="I375" s="230"/>
      <c r="J375" s="230"/>
      <c r="K375" s="230"/>
      <c r="L375" s="230"/>
      <c r="M375" s="230"/>
      <c r="N375" s="230"/>
      <c r="O375" s="230"/>
      <c r="P375" s="230"/>
      <c r="Q375" s="230"/>
      <c r="R375" s="230"/>
      <c r="S375" s="230"/>
      <c r="T375" s="230"/>
      <c r="U375" s="230"/>
      <c r="V375" s="230"/>
      <c r="W375" s="230"/>
      <c r="X375" s="230"/>
      <c r="Y375" s="230"/>
      <c r="Z375" s="230"/>
    </row>
    <row r="376" spans="1:26" ht="15.75" customHeight="1">
      <c r="A376" s="230"/>
      <c r="B376" s="230"/>
      <c r="C376" s="230"/>
      <c r="D376" s="230"/>
      <c r="E376" s="230"/>
      <c r="F376" s="230"/>
      <c r="G376" s="230"/>
      <c r="H376" s="230"/>
      <c r="I376" s="230"/>
      <c r="J376" s="230"/>
      <c r="K376" s="230"/>
      <c r="L376" s="230"/>
      <c r="M376" s="230"/>
      <c r="N376" s="230"/>
      <c r="O376" s="230"/>
      <c r="P376" s="230"/>
      <c r="Q376" s="230"/>
      <c r="R376" s="230"/>
      <c r="S376" s="230"/>
      <c r="T376" s="230"/>
      <c r="U376" s="230"/>
      <c r="V376" s="230"/>
      <c r="W376" s="230"/>
      <c r="X376" s="230"/>
      <c r="Y376" s="230"/>
      <c r="Z376" s="230"/>
    </row>
    <row r="377" spans="1:26" ht="15.75" customHeight="1">
      <c r="A377" s="230"/>
      <c r="B377" s="230"/>
      <c r="C377" s="230"/>
      <c r="D377" s="230"/>
      <c r="E377" s="230"/>
      <c r="F377" s="230"/>
      <c r="G377" s="230"/>
      <c r="H377" s="230"/>
      <c r="I377" s="230"/>
      <c r="J377" s="230"/>
      <c r="K377" s="230"/>
      <c r="L377" s="230"/>
      <c r="M377" s="230"/>
      <c r="N377" s="230"/>
      <c r="O377" s="230"/>
      <c r="P377" s="230"/>
      <c r="Q377" s="230"/>
      <c r="R377" s="230"/>
      <c r="S377" s="230"/>
      <c r="T377" s="230"/>
      <c r="U377" s="230"/>
      <c r="V377" s="230"/>
      <c r="W377" s="230"/>
      <c r="X377" s="230"/>
      <c r="Y377" s="230"/>
      <c r="Z377" s="230"/>
    </row>
    <row r="378" spans="1:26" ht="15.75" customHeight="1">
      <c r="A378" s="230"/>
      <c r="B378" s="230"/>
      <c r="C378" s="230"/>
      <c r="D378" s="230"/>
      <c r="E378" s="230"/>
      <c r="F378" s="230"/>
      <c r="G378" s="230"/>
      <c r="H378" s="230"/>
      <c r="I378" s="230"/>
      <c r="J378" s="230"/>
      <c r="K378" s="230"/>
      <c r="L378" s="230"/>
      <c r="M378" s="230"/>
      <c r="N378" s="230"/>
      <c r="O378" s="230"/>
      <c r="P378" s="230"/>
      <c r="Q378" s="230"/>
      <c r="R378" s="230"/>
      <c r="S378" s="230"/>
      <c r="T378" s="230"/>
      <c r="U378" s="230"/>
      <c r="V378" s="230"/>
      <c r="W378" s="230"/>
      <c r="X378" s="230"/>
      <c r="Y378" s="230"/>
      <c r="Z378" s="230"/>
    </row>
    <row r="379" spans="1:26" ht="15.75" customHeight="1">
      <c r="A379" s="230"/>
      <c r="B379" s="230"/>
      <c r="C379" s="230"/>
      <c r="D379" s="230"/>
      <c r="E379" s="230"/>
      <c r="F379" s="230"/>
      <c r="G379" s="230"/>
      <c r="H379" s="230"/>
      <c r="I379" s="230"/>
      <c r="J379" s="230"/>
      <c r="K379" s="230"/>
      <c r="L379" s="230"/>
      <c r="M379" s="230"/>
      <c r="N379" s="230"/>
      <c r="O379" s="230"/>
      <c r="P379" s="230"/>
      <c r="Q379" s="230"/>
      <c r="R379" s="230"/>
      <c r="S379" s="230"/>
      <c r="T379" s="230"/>
      <c r="U379" s="230"/>
      <c r="V379" s="230"/>
      <c r="W379" s="230"/>
      <c r="X379" s="230"/>
      <c r="Y379" s="230"/>
      <c r="Z379" s="230"/>
    </row>
    <row r="380" spans="1:26" ht="15.75" customHeight="1">
      <c r="A380" s="230"/>
      <c r="B380" s="230"/>
      <c r="C380" s="230"/>
      <c r="D380" s="230"/>
      <c r="E380" s="230"/>
      <c r="F380" s="230"/>
      <c r="G380" s="230"/>
      <c r="H380" s="230"/>
      <c r="I380" s="230"/>
      <c r="J380" s="230"/>
      <c r="K380" s="230"/>
      <c r="L380" s="230"/>
      <c r="M380" s="230"/>
      <c r="N380" s="230"/>
      <c r="O380" s="230"/>
      <c r="P380" s="230"/>
      <c r="Q380" s="230"/>
      <c r="R380" s="230"/>
      <c r="S380" s="230"/>
      <c r="T380" s="230"/>
      <c r="U380" s="230"/>
      <c r="V380" s="230"/>
      <c r="W380" s="230"/>
      <c r="X380" s="230"/>
      <c r="Y380" s="230"/>
      <c r="Z380" s="230"/>
    </row>
    <row r="381" spans="1:26" ht="15.75" customHeight="1">
      <c r="A381" s="230"/>
      <c r="B381" s="230"/>
      <c r="C381" s="230"/>
      <c r="D381" s="230"/>
      <c r="E381" s="230"/>
      <c r="F381" s="230"/>
      <c r="G381" s="230"/>
      <c r="H381" s="230"/>
      <c r="I381" s="230"/>
      <c r="J381" s="230"/>
      <c r="K381" s="230"/>
      <c r="L381" s="230"/>
      <c r="M381" s="230"/>
      <c r="N381" s="230"/>
      <c r="O381" s="230"/>
      <c r="P381" s="230"/>
      <c r="Q381" s="230"/>
      <c r="R381" s="230"/>
      <c r="S381" s="230"/>
      <c r="T381" s="230"/>
      <c r="U381" s="230"/>
      <c r="V381" s="230"/>
      <c r="W381" s="230"/>
      <c r="X381" s="230"/>
      <c r="Y381" s="230"/>
      <c r="Z381" s="230"/>
    </row>
    <row r="382" spans="1:26" ht="15.75" customHeight="1">
      <c r="A382" s="230"/>
      <c r="B382" s="230"/>
      <c r="C382" s="230"/>
      <c r="D382" s="230"/>
      <c r="E382" s="230"/>
      <c r="F382" s="230"/>
      <c r="G382" s="230"/>
      <c r="H382" s="230"/>
      <c r="I382" s="230"/>
      <c r="J382" s="230"/>
      <c r="K382" s="230"/>
      <c r="L382" s="230"/>
      <c r="M382" s="230"/>
      <c r="N382" s="230"/>
      <c r="O382" s="230"/>
      <c r="P382" s="230"/>
      <c r="Q382" s="230"/>
      <c r="R382" s="230"/>
      <c r="S382" s="230"/>
      <c r="T382" s="230"/>
      <c r="U382" s="230"/>
      <c r="V382" s="230"/>
      <c r="W382" s="230"/>
      <c r="X382" s="230"/>
      <c r="Y382" s="230"/>
      <c r="Z382" s="230"/>
    </row>
    <row r="383" spans="1:26" ht="15.75" customHeight="1">
      <c r="A383" s="230"/>
      <c r="B383" s="230"/>
      <c r="C383" s="230"/>
      <c r="D383" s="230"/>
      <c r="E383" s="230"/>
      <c r="F383" s="230"/>
      <c r="G383" s="230"/>
      <c r="H383" s="230"/>
      <c r="I383" s="230"/>
      <c r="J383" s="230"/>
      <c r="K383" s="230"/>
      <c r="L383" s="230"/>
      <c r="M383" s="230"/>
      <c r="N383" s="230"/>
      <c r="O383" s="230"/>
      <c r="P383" s="230"/>
      <c r="Q383" s="230"/>
      <c r="R383" s="230"/>
      <c r="S383" s="230"/>
      <c r="T383" s="230"/>
      <c r="U383" s="230"/>
      <c r="V383" s="230"/>
      <c r="W383" s="230"/>
      <c r="X383" s="230"/>
      <c r="Y383" s="230"/>
      <c r="Z383" s="230"/>
    </row>
    <row r="384" spans="1:26" ht="15.75" customHeight="1">
      <c r="A384" s="230"/>
      <c r="B384" s="230"/>
      <c r="C384" s="230"/>
      <c r="D384" s="230"/>
      <c r="E384" s="230"/>
      <c r="F384" s="230"/>
      <c r="G384" s="230"/>
      <c r="H384" s="230"/>
      <c r="I384" s="230"/>
      <c r="J384" s="230"/>
      <c r="K384" s="230"/>
      <c r="L384" s="230"/>
      <c r="M384" s="230"/>
      <c r="N384" s="230"/>
      <c r="O384" s="230"/>
      <c r="P384" s="230"/>
      <c r="Q384" s="230"/>
      <c r="R384" s="230"/>
      <c r="S384" s="230"/>
      <c r="T384" s="230"/>
      <c r="U384" s="230"/>
      <c r="V384" s="230"/>
      <c r="W384" s="230"/>
      <c r="X384" s="230"/>
      <c r="Y384" s="230"/>
      <c r="Z384" s="230"/>
    </row>
    <row r="385" spans="1:26" ht="15.75" customHeight="1">
      <c r="A385" s="230"/>
      <c r="B385" s="230"/>
      <c r="C385" s="230"/>
      <c r="D385" s="230"/>
      <c r="E385" s="230"/>
      <c r="F385" s="230"/>
      <c r="G385" s="230"/>
      <c r="H385" s="230"/>
      <c r="I385" s="230"/>
      <c r="J385" s="230"/>
      <c r="K385" s="230"/>
      <c r="L385" s="230"/>
      <c r="M385" s="230"/>
      <c r="N385" s="230"/>
      <c r="O385" s="230"/>
      <c r="P385" s="230"/>
      <c r="Q385" s="230"/>
      <c r="R385" s="230"/>
      <c r="S385" s="230"/>
      <c r="T385" s="230"/>
      <c r="U385" s="230"/>
      <c r="V385" s="230"/>
      <c r="W385" s="230"/>
      <c r="X385" s="230"/>
      <c r="Y385" s="230"/>
      <c r="Z385" s="230"/>
    </row>
    <row r="386" spans="1:26" ht="15.75" customHeight="1">
      <c r="A386" s="230"/>
      <c r="B386" s="230"/>
      <c r="C386" s="230"/>
      <c r="D386" s="230"/>
      <c r="E386" s="230"/>
      <c r="F386" s="230"/>
      <c r="G386" s="230"/>
      <c r="H386" s="230"/>
      <c r="I386" s="230"/>
      <c r="J386" s="230"/>
      <c r="K386" s="230"/>
      <c r="L386" s="230"/>
      <c r="M386" s="230"/>
      <c r="N386" s="230"/>
      <c r="O386" s="230"/>
      <c r="P386" s="230"/>
      <c r="Q386" s="230"/>
      <c r="R386" s="230"/>
      <c r="S386" s="230"/>
      <c r="T386" s="230"/>
      <c r="U386" s="230"/>
      <c r="V386" s="230"/>
      <c r="W386" s="230"/>
      <c r="X386" s="230"/>
      <c r="Y386" s="230"/>
      <c r="Z386" s="230"/>
    </row>
    <row r="387" spans="1:26" ht="15.75" customHeight="1">
      <c r="A387" s="230"/>
      <c r="B387" s="230"/>
      <c r="C387" s="230"/>
      <c r="D387" s="230"/>
      <c r="E387" s="230"/>
      <c r="F387" s="230"/>
      <c r="G387" s="230"/>
      <c r="H387" s="230"/>
      <c r="I387" s="230"/>
      <c r="J387" s="230"/>
      <c r="K387" s="230"/>
      <c r="L387" s="230"/>
      <c r="M387" s="230"/>
      <c r="N387" s="230"/>
      <c r="O387" s="230"/>
      <c r="P387" s="230"/>
      <c r="Q387" s="230"/>
      <c r="R387" s="230"/>
      <c r="S387" s="230"/>
      <c r="T387" s="230"/>
      <c r="U387" s="230"/>
      <c r="V387" s="230"/>
      <c r="W387" s="230"/>
      <c r="X387" s="230"/>
      <c r="Y387" s="230"/>
      <c r="Z387" s="230"/>
    </row>
    <row r="388" spans="1:26" ht="15.75" customHeight="1">
      <c r="A388" s="230"/>
      <c r="B388" s="230"/>
      <c r="C388" s="230"/>
      <c r="D388" s="230"/>
      <c r="E388" s="230"/>
      <c r="F388" s="230"/>
      <c r="G388" s="230"/>
      <c r="H388" s="230"/>
      <c r="I388" s="230"/>
      <c r="J388" s="230"/>
      <c r="K388" s="230"/>
      <c r="L388" s="230"/>
      <c r="M388" s="230"/>
      <c r="N388" s="230"/>
      <c r="O388" s="230"/>
      <c r="P388" s="230"/>
      <c r="Q388" s="230"/>
      <c r="R388" s="230"/>
      <c r="S388" s="230"/>
      <c r="T388" s="230"/>
      <c r="U388" s="230"/>
      <c r="V388" s="230"/>
      <c r="W388" s="230"/>
      <c r="X388" s="230"/>
      <c r="Y388" s="230"/>
      <c r="Z388" s="230"/>
    </row>
    <row r="389" spans="1:26" ht="15.75" customHeight="1">
      <c r="A389" s="230"/>
      <c r="B389" s="230"/>
      <c r="C389" s="230"/>
      <c r="D389" s="230"/>
      <c r="E389" s="230"/>
      <c r="F389" s="230"/>
      <c r="G389" s="230"/>
      <c r="H389" s="230"/>
      <c r="I389" s="230"/>
      <c r="J389" s="230"/>
      <c r="K389" s="230"/>
      <c r="L389" s="230"/>
      <c r="M389" s="230"/>
      <c r="N389" s="230"/>
      <c r="O389" s="230"/>
      <c r="P389" s="230"/>
      <c r="Q389" s="230"/>
      <c r="R389" s="230"/>
      <c r="S389" s="230"/>
      <c r="T389" s="230"/>
      <c r="U389" s="230"/>
      <c r="V389" s="230"/>
      <c r="W389" s="230"/>
      <c r="X389" s="230"/>
      <c r="Y389" s="230"/>
      <c r="Z389" s="230"/>
    </row>
    <row r="390" spans="1:26" ht="15.75" customHeight="1">
      <c r="A390" s="230"/>
      <c r="B390" s="230"/>
      <c r="C390" s="230"/>
      <c r="D390" s="230"/>
      <c r="E390" s="230"/>
      <c r="F390" s="230"/>
      <c r="G390" s="230"/>
      <c r="H390" s="230"/>
      <c r="I390" s="230"/>
      <c r="J390" s="230"/>
      <c r="K390" s="230"/>
      <c r="L390" s="230"/>
      <c r="M390" s="230"/>
      <c r="N390" s="230"/>
      <c r="O390" s="230"/>
      <c r="P390" s="230"/>
      <c r="Q390" s="230"/>
      <c r="R390" s="230"/>
      <c r="S390" s="230"/>
      <c r="T390" s="230"/>
      <c r="U390" s="230"/>
      <c r="V390" s="230"/>
      <c r="W390" s="230"/>
      <c r="X390" s="230"/>
      <c r="Y390" s="230"/>
      <c r="Z390" s="230"/>
    </row>
    <row r="391" spans="1:26" ht="15.75" customHeight="1">
      <c r="A391" s="230"/>
      <c r="B391" s="230"/>
      <c r="C391" s="230"/>
      <c r="D391" s="230"/>
      <c r="E391" s="230"/>
      <c r="F391" s="230"/>
      <c r="G391" s="230"/>
      <c r="H391" s="230"/>
      <c r="I391" s="230"/>
      <c r="J391" s="230"/>
      <c r="K391" s="230"/>
      <c r="L391" s="230"/>
      <c r="M391" s="230"/>
      <c r="N391" s="230"/>
      <c r="O391" s="230"/>
      <c r="P391" s="230"/>
      <c r="Q391" s="230"/>
      <c r="R391" s="230"/>
      <c r="S391" s="230"/>
      <c r="T391" s="230"/>
      <c r="U391" s="230"/>
      <c r="V391" s="230"/>
      <c r="W391" s="230"/>
      <c r="X391" s="230"/>
      <c r="Y391" s="230"/>
      <c r="Z391" s="230"/>
    </row>
    <row r="392" spans="1:26" ht="15.75" customHeight="1">
      <c r="A392" s="230"/>
      <c r="B392" s="230"/>
      <c r="C392" s="230"/>
      <c r="D392" s="230"/>
      <c r="E392" s="230"/>
      <c r="F392" s="230"/>
      <c r="G392" s="230"/>
      <c r="H392" s="230"/>
      <c r="I392" s="230"/>
      <c r="J392" s="230"/>
      <c r="K392" s="230"/>
      <c r="L392" s="230"/>
      <c r="M392" s="230"/>
      <c r="N392" s="230"/>
      <c r="O392" s="230"/>
      <c r="P392" s="230"/>
      <c r="Q392" s="230"/>
      <c r="R392" s="230"/>
      <c r="S392" s="230"/>
      <c r="T392" s="230"/>
      <c r="U392" s="230"/>
      <c r="V392" s="230"/>
      <c r="W392" s="230"/>
      <c r="X392" s="230"/>
      <c r="Y392" s="230"/>
      <c r="Z392" s="230"/>
    </row>
    <row r="393" spans="1:26" ht="15.75" customHeight="1">
      <c r="A393" s="230"/>
      <c r="B393" s="230"/>
      <c r="C393" s="230"/>
      <c r="D393" s="230"/>
      <c r="E393" s="230"/>
      <c r="F393" s="230"/>
      <c r="G393" s="230"/>
      <c r="H393" s="230"/>
      <c r="I393" s="230"/>
      <c r="J393" s="230"/>
      <c r="K393" s="230"/>
      <c r="L393" s="230"/>
      <c r="M393" s="230"/>
      <c r="N393" s="230"/>
      <c r="O393" s="230"/>
      <c r="P393" s="230"/>
      <c r="Q393" s="230"/>
      <c r="R393" s="230"/>
      <c r="S393" s="230"/>
      <c r="T393" s="230"/>
      <c r="U393" s="230"/>
      <c r="V393" s="230"/>
      <c r="W393" s="230"/>
      <c r="X393" s="230"/>
      <c r="Y393" s="230"/>
      <c r="Z393" s="230"/>
    </row>
    <row r="394" spans="1:26" ht="15.75" customHeight="1">
      <c r="A394" s="230"/>
      <c r="B394" s="230"/>
      <c r="C394" s="230"/>
      <c r="D394" s="230"/>
      <c r="E394" s="230"/>
      <c r="F394" s="230"/>
      <c r="G394" s="230"/>
      <c r="H394" s="230"/>
      <c r="I394" s="230"/>
      <c r="J394" s="230"/>
      <c r="K394" s="230"/>
      <c r="L394" s="230"/>
      <c r="M394" s="230"/>
      <c r="N394" s="230"/>
      <c r="O394" s="230"/>
      <c r="P394" s="230"/>
      <c r="Q394" s="230"/>
      <c r="R394" s="230"/>
      <c r="S394" s="230"/>
      <c r="T394" s="230"/>
      <c r="U394" s="230"/>
      <c r="V394" s="230"/>
      <c r="W394" s="230"/>
      <c r="X394" s="230"/>
      <c r="Y394" s="230"/>
      <c r="Z394" s="230"/>
    </row>
    <row r="395" spans="1:26" ht="15.75" customHeight="1">
      <c r="A395" s="230"/>
      <c r="B395" s="230"/>
      <c r="C395" s="230"/>
      <c r="D395" s="230"/>
      <c r="E395" s="230"/>
      <c r="F395" s="230"/>
      <c r="G395" s="230"/>
      <c r="H395" s="230"/>
      <c r="I395" s="230"/>
      <c r="J395" s="230"/>
      <c r="K395" s="230"/>
      <c r="L395" s="230"/>
      <c r="M395" s="230"/>
      <c r="N395" s="230"/>
      <c r="O395" s="230"/>
      <c r="P395" s="230"/>
      <c r="Q395" s="230"/>
      <c r="R395" s="230"/>
      <c r="S395" s="230"/>
      <c r="T395" s="230"/>
      <c r="U395" s="230"/>
      <c r="V395" s="230"/>
      <c r="W395" s="230"/>
      <c r="X395" s="230"/>
      <c r="Y395" s="230"/>
      <c r="Z395" s="230"/>
    </row>
    <row r="396" spans="1:26" ht="15.75" customHeight="1">
      <c r="A396" s="230"/>
      <c r="B396" s="230"/>
      <c r="C396" s="230"/>
      <c r="D396" s="230"/>
      <c r="E396" s="230"/>
      <c r="F396" s="230"/>
      <c r="G396" s="230"/>
      <c r="H396" s="230"/>
      <c r="I396" s="230"/>
      <c r="J396" s="230"/>
      <c r="K396" s="230"/>
      <c r="L396" s="230"/>
      <c r="M396" s="230"/>
      <c r="N396" s="230"/>
      <c r="O396" s="230"/>
      <c r="P396" s="230"/>
      <c r="Q396" s="230"/>
      <c r="R396" s="230"/>
      <c r="S396" s="230"/>
      <c r="T396" s="230"/>
      <c r="U396" s="230"/>
      <c r="V396" s="230"/>
      <c r="W396" s="230"/>
      <c r="X396" s="230"/>
      <c r="Y396" s="230"/>
      <c r="Z396" s="230"/>
    </row>
    <row r="397" spans="1:26" ht="15.75" customHeight="1">
      <c r="A397" s="230"/>
      <c r="B397" s="230"/>
      <c r="C397" s="230"/>
      <c r="D397" s="230"/>
      <c r="E397" s="230"/>
      <c r="F397" s="230"/>
      <c r="G397" s="230"/>
      <c r="H397" s="230"/>
      <c r="I397" s="230"/>
      <c r="J397" s="230"/>
      <c r="K397" s="230"/>
      <c r="L397" s="230"/>
      <c r="M397" s="230"/>
      <c r="N397" s="230"/>
      <c r="O397" s="230"/>
      <c r="P397" s="230"/>
      <c r="Q397" s="230"/>
      <c r="R397" s="230"/>
      <c r="S397" s="230"/>
      <c r="T397" s="230"/>
      <c r="U397" s="230"/>
      <c r="V397" s="230"/>
      <c r="W397" s="230"/>
      <c r="X397" s="230"/>
      <c r="Y397" s="230"/>
      <c r="Z397" s="230"/>
    </row>
    <row r="398" spans="1:26" ht="15.75" customHeight="1">
      <c r="A398" s="230"/>
      <c r="B398" s="230"/>
      <c r="C398" s="230"/>
      <c r="D398" s="230"/>
      <c r="E398" s="230"/>
      <c r="F398" s="230"/>
      <c r="G398" s="230"/>
      <c r="H398" s="230"/>
      <c r="I398" s="230"/>
      <c r="J398" s="230"/>
      <c r="K398" s="230"/>
      <c r="L398" s="230"/>
      <c r="M398" s="230"/>
      <c r="N398" s="230"/>
      <c r="O398" s="230"/>
      <c r="P398" s="230"/>
      <c r="Q398" s="230"/>
      <c r="R398" s="230"/>
      <c r="S398" s="230"/>
      <c r="T398" s="230"/>
      <c r="U398" s="230"/>
      <c r="V398" s="230"/>
      <c r="W398" s="230"/>
      <c r="X398" s="230"/>
      <c r="Y398" s="230"/>
      <c r="Z398" s="230"/>
    </row>
    <row r="399" spans="1:26" ht="15.75" customHeight="1">
      <c r="A399" s="230"/>
      <c r="B399" s="230"/>
      <c r="C399" s="230"/>
      <c r="D399" s="230"/>
      <c r="E399" s="230"/>
      <c r="F399" s="230"/>
      <c r="G399" s="230"/>
      <c r="H399" s="230"/>
      <c r="I399" s="230"/>
      <c r="J399" s="230"/>
      <c r="K399" s="230"/>
      <c r="L399" s="230"/>
      <c r="M399" s="230"/>
      <c r="N399" s="230"/>
      <c r="O399" s="230"/>
      <c r="P399" s="230"/>
      <c r="Q399" s="230"/>
      <c r="R399" s="230"/>
      <c r="S399" s="230"/>
      <c r="T399" s="230"/>
      <c r="U399" s="230"/>
      <c r="V399" s="230"/>
      <c r="W399" s="230"/>
      <c r="X399" s="230"/>
      <c r="Y399" s="230"/>
      <c r="Z399" s="230"/>
    </row>
    <row r="400" spans="1:26" ht="15.75" customHeight="1">
      <c r="A400" s="230"/>
      <c r="B400" s="230"/>
      <c r="C400" s="230"/>
      <c r="D400" s="230"/>
      <c r="E400" s="230"/>
      <c r="F400" s="230"/>
      <c r="G400" s="230"/>
      <c r="H400" s="230"/>
      <c r="I400" s="230"/>
      <c r="J400" s="230"/>
      <c r="K400" s="230"/>
      <c r="L400" s="230"/>
      <c r="M400" s="230"/>
      <c r="N400" s="230"/>
      <c r="O400" s="230"/>
      <c r="P400" s="230"/>
      <c r="Q400" s="230"/>
      <c r="R400" s="230"/>
      <c r="S400" s="230"/>
      <c r="T400" s="230"/>
      <c r="U400" s="230"/>
      <c r="V400" s="230"/>
      <c r="W400" s="230"/>
      <c r="X400" s="230"/>
      <c r="Y400" s="230"/>
      <c r="Z400" s="230"/>
    </row>
    <row r="401" spans="1:26" ht="15.75" customHeight="1">
      <c r="A401" s="230"/>
      <c r="B401" s="230"/>
      <c r="C401" s="230"/>
      <c r="D401" s="230"/>
      <c r="E401" s="230"/>
      <c r="F401" s="230"/>
      <c r="G401" s="230"/>
      <c r="H401" s="230"/>
      <c r="I401" s="230"/>
      <c r="J401" s="230"/>
      <c r="K401" s="230"/>
      <c r="L401" s="230"/>
      <c r="M401" s="230"/>
      <c r="N401" s="230"/>
      <c r="O401" s="230"/>
      <c r="P401" s="230"/>
      <c r="Q401" s="230"/>
      <c r="R401" s="230"/>
      <c r="S401" s="230"/>
      <c r="T401" s="230"/>
      <c r="U401" s="230"/>
      <c r="V401" s="230"/>
      <c r="W401" s="230"/>
      <c r="X401" s="230"/>
      <c r="Y401" s="230"/>
      <c r="Z401" s="230"/>
    </row>
    <row r="402" spans="1:26" ht="15.75" customHeight="1">
      <c r="A402" s="230"/>
      <c r="B402" s="230"/>
      <c r="C402" s="230"/>
      <c r="D402" s="230"/>
      <c r="E402" s="230"/>
      <c r="F402" s="230"/>
      <c r="G402" s="230"/>
      <c r="H402" s="230"/>
      <c r="I402" s="230"/>
      <c r="J402" s="230"/>
      <c r="K402" s="230"/>
      <c r="L402" s="230"/>
      <c r="M402" s="230"/>
      <c r="N402" s="230"/>
      <c r="O402" s="230"/>
      <c r="P402" s="230"/>
      <c r="Q402" s="230"/>
      <c r="R402" s="230"/>
      <c r="S402" s="230"/>
      <c r="T402" s="230"/>
      <c r="U402" s="230"/>
      <c r="V402" s="230"/>
      <c r="W402" s="230"/>
      <c r="X402" s="230"/>
      <c r="Y402" s="230"/>
      <c r="Z402" s="230"/>
    </row>
    <row r="403" spans="1:26" ht="15.75" customHeight="1">
      <c r="A403" s="230"/>
      <c r="B403" s="230"/>
      <c r="C403" s="230"/>
      <c r="D403" s="230"/>
      <c r="E403" s="230"/>
      <c r="F403" s="230"/>
      <c r="G403" s="230"/>
      <c r="H403" s="230"/>
      <c r="I403" s="230"/>
      <c r="J403" s="230"/>
      <c r="K403" s="230"/>
      <c r="L403" s="230"/>
      <c r="M403" s="230"/>
      <c r="N403" s="230"/>
      <c r="O403" s="230"/>
      <c r="P403" s="230"/>
      <c r="Q403" s="230"/>
      <c r="R403" s="230"/>
      <c r="S403" s="230"/>
      <c r="T403" s="230"/>
      <c r="U403" s="230"/>
      <c r="V403" s="230"/>
      <c r="W403" s="230"/>
      <c r="X403" s="230"/>
      <c r="Y403" s="230"/>
      <c r="Z403" s="230"/>
    </row>
    <row r="404" spans="1:26" ht="15.75" customHeight="1">
      <c r="A404" s="230"/>
      <c r="B404" s="230"/>
      <c r="C404" s="230"/>
      <c r="D404" s="230"/>
      <c r="E404" s="230"/>
      <c r="F404" s="230"/>
      <c r="G404" s="230"/>
      <c r="H404" s="230"/>
      <c r="I404" s="230"/>
      <c r="J404" s="230"/>
      <c r="K404" s="230"/>
      <c r="L404" s="230"/>
      <c r="M404" s="230"/>
      <c r="N404" s="230"/>
      <c r="O404" s="230"/>
      <c r="P404" s="230"/>
      <c r="Q404" s="230"/>
      <c r="R404" s="230"/>
      <c r="S404" s="230"/>
      <c r="T404" s="230"/>
      <c r="U404" s="230"/>
      <c r="V404" s="230"/>
      <c r="W404" s="230"/>
      <c r="X404" s="230"/>
      <c r="Y404" s="230"/>
      <c r="Z404" s="230"/>
    </row>
    <row r="405" spans="1:26" ht="15.75" customHeight="1">
      <c r="A405" s="230"/>
      <c r="B405" s="230"/>
      <c r="C405" s="230"/>
      <c r="D405" s="230"/>
      <c r="E405" s="230"/>
      <c r="F405" s="230"/>
      <c r="G405" s="230"/>
      <c r="H405" s="230"/>
      <c r="I405" s="230"/>
      <c r="J405" s="230"/>
      <c r="K405" s="230"/>
      <c r="L405" s="230"/>
      <c r="M405" s="230"/>
      <c r="N405" s="230"/>
      <c r="O405" s="230"/>
      <c r="P405" s="230"/>
      <c r="Q405" s="230"/>
      <c r="R405" s="230"/>
      <c r="S405" s="230"/>
      <c r="T405" s="230"/>
      <c r="U405" s="230"/>
      <c r="V405" s="230"/>
      <c r="W405" s="230"/>
      <c r="X405" s="230"/>
      <c r="Y405" s="230"/>
      <c r="Z405" s="230"/>
    </row>
    <row r="406" spans="1:26" ht="15.75" customHeight="1">
      <c r="A406" s="230"/>
      <c r="B406" s="230"/>
      <c r="C406" s="230"/>
      <c r="D406" s="230"/>
      <c r="E406" s="230"/>
      <c r="F406" s="230"/>
      <c r="G406" s="230"/>
      <c r="H406" s="230"/>
      <c r="I406" s="230"/>
      <c r="J406" s="230"/>
      <c r="K406" s="230"/>
      <c r="L406" s="230"/>
      <c r="M406" s="230"/>
      <c r="N406" s="230"/>
      <c r="O406" s="230"/>
      <c r="P406" s="230"/>
      <c r="Q406" s="230"/>
      <c r="R406" s="230"/>
      <c r="S406" s="230"/>
      <c r="T406" s="230"/>
      <c r="U406" s="230"/>
      <c r="V406" s="230"/>
      <c r="W406" s="230"/>
      <c r="X406" s="230"/>
      <c r="Y406" s="230"/>
      <c r="Z406" s="230"/>
    </row>
    <row r="407" spans="1:26" ht="15.75" customHeight="1">
      <c r="A407" s="230"/>
      <c r="B407" s="230"/>
      <c r="C407" s="230"/>
      <c r="D407" s="230"/>
      <c r="E407" s="230"/>
      <c r="F407" s="230"/>
      <c r="G407" s="230"/>
      <c r="H407" s="230"/>
      <c r="I407" s="230"/>
      <c r="J407" s="230"/>
      <c r="K407" s="230"/>
      <c r="L407" s="230"/>
      <c r="M407" s="230"/>
      <c r="N407" s="230"/>
      <c r="O407" s="230"/>
      <c r="P407" s="230"/>
      <c r="Q407" s="230"/>
      <c r="R407" s="230"/>
      <c r="S407" s="230"/>
      <c r="T407" s="230"/>
      <c r="U407" s="230"/>
      <c r="V407" s="230"/>
      <c r="W407" s="230"/>
      <c r="X407" s="230"/>
      <c r="Y407" s="230"/>
      <c r="Z407" s="230"/>
    </row>
    <row r="408" spans="1:26" ht="15.75" customHeight="1">
      <c r="A408" s="230"/>
      <c r="B408" s="230"/>
      <c r="C408" s="230"/>
      <c r="D408" s="230"/>
      <c r="E408" s="230"/>
      <c r="F408" s="230"/>
      <c r="G408" s="230"/>
      <c r="H408" s="230"/>
      <c r="I408" s="230"/>
      <c r="J408" s="230"/>
      <c r="K408" s="230"/>
      <c r="L408" s="230"/>
      <c r="M408" s="230"/>
      <c r="N408" s="230"/>
      <c r="O408" s="230"/>
      <c r="P408" s="230"/>
      <c r="Q408" s="230"/>
      <c r="R408" s="230"/>
      <c r="S408" s="230"/>
      <c r="T408" s="230"/>
      <c r="U408" s="230"/>
      <c r="V408" s="230"/>
      <c r="W408" s="230"/>
      <c r="X408" s="230"/>
      <c r="Y408" s="230"/>
      <c r="Z408" s="230"/>
    </row>
    <row r="409" spans="1:26" ht="15.75" customHeight="1">
      <c r="A409" s="230"/>
      <c r="B409" s="230"/>
      <c r="C409" s="230"/>
      <c r="D409" s="230"/>
      <c r="E409" s="230"/>
      <c r="F409" s="230"/>
      <c r="G409" s="230"/>
      <c r="H409" s="230"/>
      <c r="I409" s="230"/>
      <c r="J409" s="230"/>
      <c r="K409" s="230"/>
      <c r="L409" s="230"/>
      <c r="M409" s="230"/>
      <c r="N409" s="230"/>
      <c r="O409" s="230"/>
      <c r="P409" s="230"/>
      <c r="Q409" s="230"/>
      <c r="R409" s="230"/>
      <c r="S409" s="230"/>
      <c r="T409" s="230"/>
      <c r="U409" s="230"/>
      <c r="V409" s="230"/>
      <c r="W409" s="230"/>
      <c r="X409" s="230"/>
      <c r="Y409" s="230"/>
      <c r="Z409" s="230"/>
    </row>
    <row r="410" spans="1:26" ht="15.75" customHeight="1">
      <c r="A410" s="230"/>
      <c r="B410" s="230"/>
      <c r="C410" s="230"/>
      <c r="D410" s="230"/>
      <c r="E410" s="230"/>
      <c r="F410" s="230"/>
      <c r="G410" s="230"/>
      <c r="H410" s="230"/>
      <c r="I410" s="230"/>
      <c r="J410" s="230"/>
      <c r="K410" s="230"/>
      <c r="L410" s="230"/>
      <c r="M410" s="230"/>
      <c r="N410" s="230"/>
      <c r="O410" s="230"/>
      <c r="P410" s="230"/>
      <c r="Q410" s="230"/>
      <c r="R410" s="230"/>
      <c r="S410" s="230"/>
      <c r="T410" s="230"/>
      <c r="U410" s="230"/>
      <c r="V410" s="230"/>
      <c r="W410" s="230"/>
      <c r="X410" s="230"/>
      <c r="Y410" s="230"/>
      <c r="Z410" s="230"/>
    </row>
    <row r="411" spans="1:26" ht="15.75" customHeight="1">
      <c r="A411" s="230"/>
      <c r="B411" s="230"/>
      <c r="C411" s="230"/>
      <c r="D411" s="230"/>
      <c r="E411" s="230"/>
      <c r="F411" s="230"/>
      <c r="G411" s="230"/>
      <c r="H411" s="230"/>
      <c r="I411" s="230"/>
      <c r="J411" s="230"/>
      <c r="K411" s="230"/>
      <c r="L411" s="230"/>
      <c r="M411" s="230"/>
      <c r="N411" s="230"/>
      <c r="O411" s="230"/>
      <c r="P411" s="230"/>
      <c r="Q411" s="230"/>
      <c r="R411" s="230"/>
      <c r="S411" s="230"/>
      <c r="T411" s="230"/>
      <c r="U411" s="230"/>
      <c r="V411" s="230"/>
      <c r="W411" s="230"/>
      <c r="X411" s="230"/>
      <c r="Y411" s="230"/>
      <c r="Z411" s="230"/>
    </row>
    <row r="412" spans="1:26" ht="15.75" customHeight="1">
      <c r="A412" s="230"/>
      <c r="B412" s="230"/>
      <c r="C412" s="230"/>
      <c r="D412" s="230"/>
      <c r="E412" s="230"/>
      <c r="F412" s="230"/>
      <c r="G412" s="230"/>
      <c r="H412" s="230"/>
      <c r="I412" s="230"/>
      <c r="J412" s="230"/>
      <c r="K412" s="230"/>
      <c r="L412" s="230"/>
      <c r="M412" s="230"/>
      <c r="N412" s="230"/>
      <c r="O412" s="230"/>
      <c r="P412" s="230"/>
      <c r="Q412" s="230"/>
      <c r="R412" s="230"/>
      <c r="S412" s="230"/>
      <c r="T412" s="230"/>
      <c r="U412" s="230"/>
      <c r="V412" s="230"/>
      <c r="W412" s="230"/>
      <c r="X412" s="230"/>
      <c r="Y412" s="230"/>
      <c r="Z412" s="230"/>
    </row>
    <row r="413" spans="1:26" ht="15.75" customHeight="1">
      <c r="A413" s="230"/>
      <c r="B413" s="230"/>
      <c r="C413" s="230"/>
      <c r="D413" s="230"/>
      <c r="E413" s="230"/>
      <c r="F413" s="230"/>
      <c r="G413" s="230"/>
      <c r="H413" s="230"/>
      <c r="I413" s="230"/>
      <c r="J413" s="230"/>
      <c r="K413" s="230"/>
      <c r="L413" s="230"/>
      <c r="M413" s="230"/>
      <c r="N413" s="230"/>
      <c r="O413" s="230"/>
      <c r="P413" s="230"/>
      <c r="Q413" s="230"/>
      <c r="R413" s="230"/>
      <c r="S413" s="230"/>
      <c r="T413" s="230"/>
      <c r="U413" s="230"/>
      <c r="V413" s="230"/>
      <c r="W413" s="230"/>
      <c r="X413" s="230"/>
      <c r="Y413" s="230"/>
      <c r="Z413" s="230"/>
    </row>
    <row r="414" spans="1:26" ht="15.75" customHeight="1">
      <c r="A414" s="230"/>
      <c r="B414" s="230"/>
      <c r="C414" s="230"/>
      <c r="D414" s="230"/>
      <c r="E414" s="230"/>
      <c r="F414" s="230"/>
      <c r="G414" s="230"/>
      <c r="H414" s="230"/>
      <c r="I414" s="230"/>
      <c r="J414" s="230"/>
      <c r="K414" s="230"/>
      <c r="L414" s="230"/>
      <c r="M414" s="230"/>
      <c r="N414" s="230"/>
      <c r="O414" s="230"/>
      <c r="P414" s="230"/>
      <c r="Q414" s="230"/>
      <c r="R414" s="230"/>
      <c r="S414" s="230"/>
      <c r="T414" s="230"/>
      <c r="U414" s="230"/>
      <c r="V414" s="230"/>
      <c r="W414" s="230"/>
      <c r="X414" s="230"/>
      <c r="Y414" s="230"/>
      <c r="Z414" s="230"/>
    </row>
    <row r="415" spans="1:26" ht="15.75" customHeight="1">
      <c r="A415" s="230"/>
      <c r="B415" s="230"/>
      <c r="C415" s="230"/>
      <c r="D415" s="230"/>
      <c r="E415" s="230"/>
      <c r="F415" s="230"/>
      <c r="G415" s="230"/>
      <c r="H415" s="230"/>
      <c r="I415" s="230"/>
      <c r="J415" s="230"/>
      <c r="K415" s="230"/>
      <c r="L415" s="230"/>
      <c r="M415" s="230"/>
      <c r="N415" s="230"/>
      <c r="O415" s="230"/>
      <c r="P415" s="230"/>
      <c r="Q415" s="230"/>
      <c r="R415" s="230"/>
      <c r="S415" s="230"/>
      <c r="T415" s="230"/>
      <c r="U415" s="230"/>
      <c r="V415" s="230"/>
      <c r="W415" s="230"/>
      <c r="X415" s="230"/>
      <c r="Y415" s="230"/>
      <c r="Z415" s="230"/>
    </row>
    <row r="416" spans="1:26" ht="15.75" customHeight="1">
      <c r="A416" s="230"/>
      <c r="B416" s="230"/>
      <c r="C416" s="230"/>
      <c r="D416" s="230"/>
      <c r="E416" s="230"/>
      <c r="F416" s="230"/>
      <c r="G416" s="230"/>
      <c r="H416" s="230"/>
      <c r="I416" s="230"/>
      <c r="J416" s="230"/>
      <c r="K416" s="230"/>
      <c r="L416" s="230"/>
      <c r="M416" s="230"/>
      <c r="N416" s="230"/>
      <c r="O416" s="230"/>
      <c r="P416" s="230"/>
      <c r="Q416" s="230"/>
      <c r="R416" s="230"/>
      <c r="S416" s="230"/>
      <c r="T416" s="230"/>
      <c r="U416" s="230"/>
      <c r="V416" s="230"/>
      <c r="W416" s="230"/>
      <c r="X416" s="230"/>
      <c r="Y416" s="230"/>
      <c r="Z416" s="230"/>
    </row>
    <row r="417" spans="1:26" ht="15.75" customHeight="1">
      <c r="A417" s="230"/>
      <c r="B417" s="230"/>
      <c r="C417" s="230"/>
      <c r="D417" s="230"/>
      <c r="E417" s="230"/>
      <c r="F417" s="230"/>
      <c r="G417" s="230"/>
      <c r="H417" s="230"/>
      <c r="I417" s="230"/>
      <c r="J417" s="230"/>
      <c r="K417" s="230"/>
      <c r="L417" s="230"/>
      <c r="M417" s="230"/>
      <c r="N417" s="230"/>
      <c r="O417" s="230"/>
      <c r="P417" s="230"/>
      <c r="Q417" s="230"/>
      <c r="R417" s="230"/>
      <c r="S417" s="230"/>
      <c r="T417" s="230"/>
      <c r="U417" s="230"/>
      <c r="V417" s="230"/>
      <c r="W417" s="230"/>
      <c r="X417" s="230"/>
      <c r="Y417" s="230"/>
      <c r="Z417" s="230"/>
    </row>
    <row r="418" spans="1:26" ht="15.75" customHeight="1">
      <c r="A418" s="230"/>
      <c r="B418" s="230"/>
      <c r="C418" s="230"/>
      <c r="D418" s="230"/>
      <c r="E418" s="230"/>
      <c r="F418" s="230"/>
      <c r="G418" s="230"/>
      <c r="H418" s="230"/>
      <c r="I418" s="230"/>
      <c r="J418" s="230"/>
      <c r="K418" s="230"/>
      <c r="L418" s="230"/>
      <c r="M418" s="230"/>
      <c r="N418" s="230"/>
      <c r="O418" s="230"/>
      <c r="P418" s="230"/>
      <c r="Q418" s="230"/>
      <c r="R418" s="230"/>
      <c r="S418" s="230"/>
      <c r="T418" s="230"/>
      <c r="U418" s="230"/>
      <c r="V418" s="230"/>
      <c r="W418" s="230"/>
      <c r="X418" s="230"/>
      <c r="Y418" s="230"/>
      <c r="Z418" s="230"/>
    </row>
    <row r="419" spans="1:26" ht="15.75" customHeight="1">
      <c r="A419" s="230"/>
      <c r="B419" s="230"/>
      <c r="C419" s="230"/>
      <c r="D419" s="230"/>
      <c r="E419" s="230"/>
      <c r="F419" s="230"/>
      <c r="G419" s="230"/>
      <c r="H419" s="230"/>
      <c r="I419" s="230"/>
      <c r="J419" s="230"/>
      <c r="K419" s="230"/>
      <c r="L419" s="230"/>
      <c r="M419" s="230"/>
      <c r="N419" s="230"/>
      <c r="O419" s="230"/>
      <c r="P419" s="230"/>
      <c r="Q419" s="230"/>
      <c r="R419" s="230"/>
      <c r="S419" s="230"/>
      <c r="T419" s="230"/>
      <c r="U419" s="230"/>
      <c r="V419" s="230"/>
      <c r="W419" s="230"/>
      <c r="X419" s="230"/>
      <c r="Y419" s="230"/>
      <c r="Z419" s="230"/>
    </row>
    <row r="420" spans="1:26" ht="15.75" customHeight="1">
      <c r="A420" s="230"/>
      <c r="B420" s="230"/>
      <c r="C420" s="230"/>
      <c r="D420" s="230"/>
      <c r="E420" s="230"/>
      <c r="F420" s="230"/>
      <c r="G420" s="230"/>
      <c r="H420" s="230"/>
      <c r="I420" s="230"/>
      <c r="J420" s="230"/>
      <c r="K420" s="230"/>
      <c r="L420" s="230"/>
      <c r="M420" s="230"/>
      <c r="N420" s="230"/>
      <c r="O420" s="230"/>
      <c r="P420" s="230"/>
      <c r="Q420" s="230"/>
      <c r="R420" s="230"/>
      <c r="S420" s="230"/>
      <c r="T420" s="230"/>
      <c r="U420" s="230"/>
      <c r="V420" s="230"/>
      <c r="W420" s="230"/>
      <c r="X420" s="230"/>
      <c r="Y420" s="230"/>
      <c r="Z420" s="230"/>
    </row>
    <row r="421" spans="1:26" ht="15.75" customHeight="1">
      <c r="A421" s="230"/>
      <c r="B421" s="230"/>
      <c r="C421" s="230"/>
      <c r="D421" s="230"/>
      <c r="E421" s="230"/>
      <c r="F421" s="230"/>
      <c r="G421" s="230"/>
      <c r="H421" s="230"/>
      <c r="I421" s="230"/>
      <c r="J421" s="230"/>
      <c r="K421" s="230"/>
      <c r="L421" s="230"/>
      <c r="M421" s="230"/>
      <c r="N421" s="230"/>
      <c r="O421" s="230"/>
      <c r="P421" s="230"/>
      <c r="Q421" s="230"/>
      <c r="R421" s="230"/>
      <c r="S421" s="230"/>
      <c r="T421" s="230"/>
      <c r="U421" s="230"/>
      <c r="V421" s="230"/>
      <c r="W421" s="230"/>
      <c r="X421" s="230"/>
      <c r="Y421" s="230"/>
      <c r="Z421" s="230"/>
    </row>
    <row r="422" spans="1:26" ht="15.75" customHeight="1">
      <c r="A422" s="230"/>
      <c r="B422" s="230"/>
      <c r="C422" s="230"/>
      <c r="D422" s="230"/>
      <c r="E422" s="230"/>
      <c r="F422" s="230"/>
      <c r="G422" s="230"/>
      <c r="H422" s="230"/>
      <c r="I422" s="230"/>
      <c r="J422" s="230"/>
      <c r="K422" s="230"/>
      <c r="L422" s="230"/>
      <c r="M422" s="230"/>
      <c r="N422" s="230"/>
      <c r="O422" s="230"/>
      <c r="P422" s="230"/>
      <c r="Q422" s="230"/>
      <c r="R422" s="230"/>
      <c r="S422" s="230"/>
      <c r="T422" s="230"/>
      <c r="U422" s="230"/>
      <c r="V422" s="230"/>
      <c r="W422" s="230"/>
      <c r="X422" s="230"/>
      <c r="Y422" s="230"/>
      <c r="Z422" s="230"/>
    </row>
    <row r="423" spans="1:26" ht="15.75" customHeight="1">
      <c r="A423" s="230"/>
      <c r="B423" s="230"/>
      <c r="C423" s="230"/>
      <c r="D423" s="230"/>
      <c r="E423" s="230"/>
      <c r="F423" s="230"/>
      <c r="G423" s="230"/>
      <c r="H423" s="230"/>
      <c r="I423" s="230"/>
      <c r="J423" s="230"/>
      <c r="K423" s="230"/>
      <c r="L423" s="230"/>
      <c r="M423" s="230"/>
      <c r="N423" s="230"/>
      <c r="O423" s="230"/>
      <c r="P423" s="230"/>
      <c r="Q423" s="230"/>
      <c r="R423" s="230"/>
      <c r="S423" s="230"/>
      <c r="T423" s="230"/>
      <c r="U423" s="230"/>
      <c r="V423" s="230"/>
      <c r="W423" s="230"/>
      <c r="X423" s="230"/>
      <c r="Y423" s="230"/>
      <c r="Z423" s="230"/>
    </row>
    <row r="424" spans="1:26" ht="15.75" customHeight="1">
      <c r="A424" s="230"/>
      <c r="B424" s="230"/>
      <c r="C424" s="230"/>
      <c r="D424" s="230"/>
      <c r="E424" s="230"/>
      <c r="F424" s="230"/>
      <c r="G424" s="230"/>
      <c r="H424" s="230"/>
      <c r="I424" s="230"/>
      <c r="J424" s="230"/>
      <c r="K424" s="230"/>
      <c r="L424" s="230"/>
      <c r="M424" s="230"/>
      <c r="N424" s="230"/>
      <c r="O424" s="230"/>
      <c r="P424" s="230"/>
      <c r="Q424" s="230"/>
      <c r="R424" s="230"/>
      <c r="S424" s="230"/>
      <c r="T424" s="230"/>
      <c r="U424" s="230"/>
      <c r="V424" s="230"/>
      <c r="W424" s="230"/>
      <c r="X424" s="230"/>
      <c r="Y424" s="230"/>
      <c r="Z424" s="230"/>
    </row>
    <row r="425" spans="1:26" ht="15.75" customHeight="1">
      <c r="A425" s="230"/>
      <c r="B425" s="230"/>
      <c r="C425" s="230"/>
      <c r="D425" s="230"/>
      <c r="E425" s="230"/>
      <c r="F425" s="230"/>
      <c r="G425" s="230"/>
      <c r="H425" s="230"/>
      <c r="I425" s="230"/>
      <c r="J425" s="230"/>
      <c r="K425" s="230"/>
      <c r="L425" s="230"/>
      <c r="M425" s="230"/>
      <c r="N425" s="230"/>
      <c r="O425" s="230"/>
      <c r="P425" s="230"/>
      <c r="Q425" s="230"/>
      <c r="R425" s="230"/>
      <c r="S425" s="230"/>
      <c r="T425" s="230"/>
      <c r="U425" s="230"/>
      <c r="V425" s="230"/>
      <c r="W425" s="230"/>
      <c r="X425" s="230"/>
      <c r="Y425" s="230"/>
      <c r="Z425" s="230"/>
    </row>
    <row r="426" spans="1:26" ht="15.75" customHeight="1">
      <c r="A426" s="230"/>
      <c r="B426" s="230"/>
      <c r="C426" s="230"/>
      <c r="D426" s="230"/>
      <c r="E426" s="230"/>
      <c r="F426" s="230"/>
      <c r="G426" s="230"/>
      <c r="H426" s="230"/>
      <c r="I426" s="230"/>
      <c r="J426" s="230"/>
      <c r="K426" s="230"/>
      <c r="L426" s="230"/>
      <c r="M426" s="230"/>
      <c r="N426" s="230"/>
      <c r="O426" s="230"/>
      <c r="P426" s="230"/>
      <c r="Q426" s="230"/>
      <c r="R426" s="230"/>
      <c r="S426" s="230"/>
      <c r="T426" s="230"/>
      <c r="U426" s="230"/>
      <c r="V426" s="230"/>
      <c r="W426" s="230"/>
      <c r="X426" s="230"/>
      <c r="Y426" s="230"/>
      <c r="Z426" s="230"/>
    </row>
    <row r="427" spans="1:26" ht="15.75" customHeight="1">
      <c r="A427" s="230"/>
      <c r="B427" s="230"/>
      <c r="C427" s="230"/>
      <c r="D427" s="230"/>
      <c r="E427" s="230"/>
      <c r="F427" s="230"/>
      <c r="G427" s="230"/>
      <c r="H427" s="230"/>
      <c r="I427" s="230"/>
      <c r="J427" s="230"/>
      <c r="K427" s="230"/>
      <c r="L427" s="230"/>
      <c r="M427" s="230"/>
      <c r="N427" s="230"/>
      <c r="O427" s="230"/>
      <c r="P427" s="230"/>
      <c r="Q427" s="230"/>
      <c r="R427" s="230"/>
      <c r="S427" s="230"/>
      <c r="T427" s="230"/>
      <c r="U427" s="230"/>
      <c r="V427" s="230"/>
      <c r="W427" s="230"/>
      <c r="X427" s="230"/>
      <c r="Y427" s="230"/>
      <c r="Z427" s="230"/>
    </row>
    <row r="428" spans="1:26" ht="15.75" customHeight="1">
      <c r="A428" s="230"/>
      <c r="B428" s="230"/>
      <c r="C428" s="230"/>
      <c r="D428" s="230"/>
      <c r="E428" s="230"/>
      <c r="F428" s="230"/>
      <c r="G428" s="230"/>
      <c r="H428" s="230"/>
      <c r="I428" s="230"/>
      <c r="J428" s="230"/>
      <c r="K428" s="230"/>
      <c r="L428" s="230"/>
      <c r="M428" s="230"/>
      <c r="N428" s="230"/>
      <c r="O428" s="230"/>
      <c r="P428" s="230"/>
      <c r="Q428" s="230"/>
      <c r="R428" s="230"/>
      <c r="S428" s="230"/>
      <c r="T428" s="230"/>
      <c r="U428" s="230"/>
      <c r="V428" s="230"/>
      <c r="W428" s="230"/>
      <c r="X428" s="230"/>
      <c r="Y428" s="230"/>
      <c r="Z428" s="230"/>
    </row>
    <row r="429" spans="1:26" ht="15.75" customHeight="1">
      <c r="A429" s="230"/>
      <c r="B429" s="230"/>
      <c r="C429" s="230"/>
      <c r="D429" s="230"/>
      <c r="E429" s="230"/>
      <c r="F429" s="230"/>
      <c r="G429" s="230"/>
      <c r="H429" s="230"/>
      <c r="I429" s="230"/>
      <c r="J429" s="230"/>
      <c r="K429" s="230"/>
      <c r="L429" s="230"/>
      <c r="M429" s="230"/>
      <c r="N429" s="230"/>
      <c r="O429" s="230"/>
      <c r="P429" s="230"/>
      <c r="Q429" s="230"/>
      <c r="R429" s="230"/>
      <c r="S429" s="230"/>
      <c r="T429" s="230"/>
      <c r="U429" s="230"/>
      <c r="V429" s="230"/>
      <c r="W429" s="230"/>
      <c r="X429" s="230"/>
      <c r="Y429" s="230"/>
      <c r="Z429" s="230"/>
    </row>
    <row r="430" spans="1:26" ht="15.75" customHeight="1">
      <c r="A430" s="230"/>
      <c r="B430" s="230"/>
      <c r="C430" s="230"/>
      <c r="D430" s="230"/>
      <c r="E430" s="230"/>
      <c r="F430" s="230"/>
      <c r="G430" s="230"/>
      <c r="H430" s="230"/>
      <c r="I430" s="230"/>
      <c r="J430" s="230"/>
      <c r="K430" s="230"/>
      <c r="L430" s="230"/>
      <c r="M430" s="230"/>
      <c r="N430" s="230"/>
      <c r="O430" s="230"/>
      <c r="P430" s="230"/>
      <c r="Q430" s="230"/>
      <c r="R430" s="230"/>
      <c r="S430" s="230"/>
      <c r="T430" s="230"/>
      <c r="U430" s="230"/>
      <c r="V430" s="230"/>
      <c r="W430" s="230"/>
      <c r="X430" s="230"/>
      <c r="Y430" s="230"/>
      <c r="Z430" s="230"/>
    </row>
    <row r="431" spans="1:26" ht="15.75" customHeight="1">
      <c r="A431" s="230"/>
      <c r="B431" s="230"/>
      <c r="C431" s="230"/>
      <c r="D431" s="230"/>
      <c r="E431" s="230"/>
      <c r="F431" s="230"/>
      <c r="G431" s="230"/>
      <c r="H431" s="230"/>
      <c r="I431" s="230"/>
      <c r="J431" s="230"/>
      <c r="K431" s="230"/>
      <c r="L431" s="230"/>
      <c r="M431" s="230"/>
      <c r="N431" s="230"/>
      <c r="O431" s="230"/>
      <c r="P431" s="230"/>
      <c r="Q431" s="230"/>
      <c r="R431" s="230"/>
      <c r="S431" s="230"/>
      <c r="T431" s="230"/>
      <c r="U431" s="230"/>
      <c r="V431" s="230"/>
      <c r="W431" s="230"/>
      <c r="X431" s="230"/>
      <c r="Y431" s="230"/>
      <c r="Z431" s="230"/>
    </row>
    <row r="432" spans="1:26" ht="15.75" customHeight="1">
      <c r="A432" s="230"/>
      <c r="B432" s="230"/>
      <c r="C432" s="230"/>
      <c r="D432" s="230"/>
      <c r="E432" s="230"/>
      <c r="F432" s="230"/>
      <c r="G432" s="230"/>
      <c r="H432" s="230"/>
      <c r="I432" s="230"/>
      <c r="J432" s="230"/>
      <c r="K432" s="230"/>
      <c r="L432" s="230"/>
      <c r="M432" s="230"/>
      <c r="N432" s="230"/>
      <c r="O432" s="230"/>
      <c r="P432" s="230"/>
      <c r="Q432" s="230"/>
      <c r="R432" s="230"/>
      <c r="S432" s="230"/>
      <c r="T432" s="230"/>
      <c r="U432" s="230"/>
      <c r="V432" s="230"/>
      <c r="W432" s="230"/>
      <c r="X432" s="230"/>
      <c r="Y432" s="230"/>
      <c r="Z432" s="230"/>
    </row>
    <row r="433" spans="1:26" ht="15.75" customHeight="1">
      <c r="A433" s="230"/>
      <c r="B433" s="230"/>
      <c r="C433" s="230"/>
      <c r="D433" s="230"/>
      <c r="E433" s="230"/>
      <c r="F433" s="230"/>
      <c r="G433" s="230"/>
      <c r="H433" s="230"/>
      <c r="I433" s="230"/>
      <c r="J433" s="230"/>
      <c r="K433" s="230"/>
      <c r="L433" s="230"/>
      <c r="M433" s="230"/>
      <c r="N433" s="230"/>
      <c r="O433" s="230"/>
      <c r="P433" s="230"/>
      <c r="Q433" s="230"/>
      <c r="R433" s="230"/>
      <c r="S433" s="230"/>
      <c r="T433" s="230"/>
      <c r="U433" s="230"/>
      <c r="V433" s="230"/>
      <c r="W433" s="230"/>
      <c r="X433" s="230"/>
      <c r="Y433" s="230"/>
      <c r="Z433" s="230"/>
    </row>
    <row r="434" spans="1:26" ht="15.75" customHeight="1">
      <c r="A434" s="230"/>
      <c r="B434" s="230"/>
      <c r="C434" s="230"/>
      <c r="D434" s="230"/>
      <c r="E434" s="230"/>
      <c r="F434" s="230"/>
      <c r="G434" s="230"/>
      <c r="H434" s="230"/>
      <c r="I434" s="230"/>
      <c r="J434" s="230"/>
      <c r="K434" s="230"/>
      <c r="L434" s="230"/>
      <c r="M434" s="230"/>
      <c r="N434" s="230"/>
      <c r="O434" s="230"/>
      <c r="P434" s="230"/>
      <c r="Q434" s="230"/>
      <c r="R434" s="230"/>
      <c r="S434" s="230"/>
      <c r="T434" s="230"/>
      <c r="U434" s="230"/>
      <c r="V434" s="230"/>
      <c r="W434" s="230"/>
      <c r="X434" s="230"/>
      <c r="Y434" s="230"/>
      <c r="Z434" s="230"/>
    </row>
    <row r="435" spans="1:26" ht="15.75" customHeight="1">
      <c r="A435" s="230"/>
      <c r="B435" s="230"/>
      <c r="C435" s="230"/>
      <c r="D435" s="230"/>
      <c r="E435" s="230"/>
      <c r="F435" s="230"/>
      <c r="G435" s="230"/>
      <c r="H435" s="230"/>
      <c r="I435" s="230"/>
      <c r="J435" s="230"/>
      <c r="K435" s="230"/>
      <c r="L435" s="230"/>
      <c r="M435" s="230"/>
      <c r="N435" s="230"/>
      <c r="O435" s="230"/>
      <c r="P435" s="230"/>
      <c r="Q435" s="230"/>
      <c r="R435" s="230"/>
      <c r="S435" s="230"/>
      <c r="T435" s="230"/>
      <c r="U435" s="230"/>
      <c r="V435" s="230"/>
      <c r="W435" s="230"/>
      <c r="X435" s="230"/>
      <c r="Y435" s="230"/>
      <c r="Z435" s="230"/>
    </row>
    <row r="436" spans="1:26" ht="15.75" customHeight="1">
      <c r="A436" s="230"/>
      <c r="B436" s="230"/>
      <c r="C436" s="230"/>
      <c r="D436" s="230"/>
      <c r="E436" s="230"/>
      <c r="F436" s="230"/>
      <c r="G436" s="230"/>
      <c r="H436" s="230"/>
      <c r="I436" s="230"/>
      <c r="J436" s="230"/>
      <c r="K436" s="230"/>
      <c r="L436" s="230"/>
      <c r="M436" s="230"/>
      <c r="N436" s="230"/>
      <c r="O436" s="230"/>
      <c r="P436" s="230"/>
      <c r="Q436" s="230"/>
      <c r="R436" s="230"/>
      <c r="S436" s="230"/>
      <c r="T436" s="230"/>
      <c r="U436" s="230"/>
      <c r="V436" s="230"/>
      <c r="W436" s="230"/>
      <c r="X436" s="230"/>
      <c r="Y436" s="230"/>
      <c r="Z436" s="230"/>
    </row>
    <row r="437" spans="1:26" ht="15.75" customHeight="1">
      <c r="A437" s="230"/>
      <c r="B437" s="230"/>
      <c r="C437" s="230"/>
      <c r="D437" s="230"/>
      <c r="E437" s="230"/>
      <c r="F437" s="230"/>
      <c r="G437" s="230"/>
      <c r="H437" s="230"/>
      <c r="I437" s="230"/>
      <c r="J437" s="230"/>
      <c r="K437" s="230"/>
      <c r="L437" s="230"/>
      <c r="M437" s="230"/>
      <c r="N437" s="230"/>
      <c r="O437" s="230"/>
      <c r="P437" s="230"/>
      <c r="Q437" s="230"/>
      <c r="R437" s="230"/>
      <c r="S437" s="230"/>
      <c r="T437" s="230"/>
      <c r="U437" s="230"/>
      <c r="V437" s="230"/>
      <c r="W437" s="230"/>
      <c r="X437" s="230"/>
      <c r="Y437" s="230"/>
      <c r="Z437" s="230"/>
    </row>
    <row r="438" spans="1:26" ht="15.75" customHeight="1">
      <c r="A438" s="230"/>
      <c r="B438" s="230"/>
      <c r="C438" s="230"/>
      <c r="D438" s="230"/>
      <c r="E438" s="230"/>
      <c r="F438" s="230"/>
      <c r="G438" s="230"/>
      <c r="H438" s="230"/>
      <c r="I438" s="230"/>
      <c r="J438" s="230"/>
      <c r="K438" s="230"/>
      <c r="L438" s="230"/>
      <c r="M438" s="230"/>
      <c r="N438" s="230"/>
      <c r="O438" s="230"/>
      <c r="P438" s="230"/>
      <c r="Q438" s="230"/>
      <c r="R438" s="230"/>
      <c r="S438" s="230"/>
      <c r="T438" s="230"/>
      <c r="U438" s="230"/>
      <c r="V438" s="230"/>
      <c r="W438" s="230"/>
      <c r="X438" s="230"/>
      <c r="Y438" s="230"/>
      <c r="Z438" s="230"/>
    </row>
    <row r="439" spans="1:26" ht="15.75" customHeight="1">
      <c r="A439" s="230"/>
      <c r="B439" s="230"/>
      <c r="C439" s="230"/>
      <c r="D439" s="230"/>
      <c r="E439" s="230"/>
      <c r="F439" s="230"/>
      <c r="G439" s="230"/>
      <c r="H439" s="230"/>
      <c r="I439" s="230"/>
      <c r="J439" s="230"/>
      <c r="K439" s="230"/>
      <c r="L439" s="230"/>
      <c r="M439" s="230"/>
      <c r="N439" s="230"/>
      <c r="O439" s="230"/>
      <c r="P439" s="230"/>
      <c r="Q439" s="230"/>
      <c r="R439" s="230"/>
      <c r="S439" s="230"/>
      <c r="T439" s="230"/>
      <c r="U439" s="230"/>
      <c r="V439" s="230"/>
      <c r="W439" s="230"/>
      <c r="X439" s="230"/>
      <c r="Y439" s="230"/>
      <c r="Z439" s="230"/>
    </row>
    <row r="440" spans="1:26" ht="15.75" customHeight="1">
      <c r="A440" s="230"/>
      <c r="B440" s="230"/>
      <c r="C440" s="230"/>
      <c r="D440" s="230"/>
      <c r="E440" s="230"/>
      <c r="F440" s="230"/>
      <c r="G440" s="230"/>
      <c r="H440" s="230"/>
      <c r="I440" s="230"/>
      <c r="J440" s="230"/>
      <c r="K440" s="230"/>
      <c r="L440" s="230"/>
      <c r="M440" s="230"/>
      <c r="N440" s="230"/>
      <c r="O440" s="230"/>
      <c r="P440" s="230"/>
      <c r="Q440" s="230"/>
      <c r="R440" s="230"/>
      <c r="S440" s="230"/>
      <c r="T440" s="230"/>
      <c r="U440" s="230"/>
      <c r="V440" s="230"/>
      <c r="W440" s="230"/>
      <c r="X440" s="230"/>
      <c r="Y440" s="230"/>
      <c r="Z440" s="230"/>
    </row>
    <row r="441" spans="1:26" ht="15.75" customHeight="1">
      <c r="A441" s="230"/>
      <c r="B441" s="230"/>
      <c r="C441" s="230"/>
      <c r="D441" s="230"/>
      <c r="E441" s="230"/>
      <c r="F441" s="230"/>
      <c r="G441" s="230"/>
      <c r="H441" s="230"/>
      <c r="I441" s="230"/>
      <c r="J441" s="230"/>
      <c r="K441" s="230"/>
      <c r="L441" s="230"/>
      <c r="M441" s="230"/>
      <c r="N441" s="230"/>
      <c r="O441" s="230"/>
      <c r="P441" s="230"/>
      <c r="Q441" s="230"/>
      <c r="R441" s="230"/>
      <c r="S441" s="230"/>
      <c r="T441" s="230"/>
      <c r="U441" s="230"/>
      <c r="V441" s="230"/>
      <c r="W441" s="230"/>
      <c r="X441" s="230"/>
      <c r="Y441" s="230"/>
      <c r="Z441" s="230"/>
    </row>
    <row r="442" spans="1:26" ht="15.75" customHeight="1">
      <c r="A442" s="230"/>
      <c r="B442" s="230"/>
      <c r="C442" s="230"/>
      <c r="D442" s="230"/>
      <c r="E442" s="230"/>
      <c r="F442" s="230"/>
      <c r="G442" s="230"/>
      <c r="H442" s="230"/>
      <c r="I442" s="230"/>
      <c r="J442" s="230"/>
      <c r="K442" s="230"/>
      <c r="L442" s="230"/>
      <c r="M442" s="230"/>
      <c r="N442" s="230"/>
      <c r="O442" s="230"/>
      <c r="P442" s="230"/>
      <c r="Q442" s="230"/>
      <c r="R442" s="230"/>
      <c r="S442" s="230"/>
      <c r="T442" s="230"/>
      <c r="U442" s="230"/>
      <c r="V442" s="230"/>
      <c r="W442" s="230"/>
      <c r="X442" s="230"/>
      <c r="Y442" s="230"/>
      <c r="Z442" s="230"/>
    </row>
    <row r="443" spans="1:26" ht="15.75" customHeight="1">
      <c r="A443" s="230"/>
      <c r="B443" s="230"/>
      <c r="C443" s="230"/>
      <c r="D443" s="230"/>
      <c r="E443" s="230"/>
      <c r="F443" s="230"/>
      <c r="G443" s="230"/>
      <c r="H443" s="230"/>
      <c r="I443" s="230"/>
      <c r="J443" s="230"/>
      <c r="K443" s="230"/>
      <c r="L443" s="230"/>
      <c r="M443" s="230"/>
      <c r="N443" s="230"/>
      <c r="O443" s="230"/>
      <c r="P443" s="230"/>
      <c r="Q443" s="230"/>
      <c r="R443" s="230"/>
      <c r="S443" s="230"/>
      <c r="T443" s="230"/>
      <c r="U443" s="230"/>
      <c r="V443" s="230"/>
      <c r="W443" s="230"/>
      <c r="X443" s="230"/>
      <c r="Y443" s="230"/>
      <c r="Z443" s="230"/>
    </row>
    <row r="444" spans="1:26" ht="15.75" customHeight="1">
      <c r="A444" s="230"/>
      <c r="B444" s="230"/>
      <c r="C444" s="230"/>
      <c r="D444" s="230"/>
      <c r="E444" s="230"/>
      <c r="F444" s="230"/>
      <c r="G444" s="230"/>
      <c r="H444" s="230"/>
      <c r="I444" s="230"/>
      <c r="J444" s="230"/>
      <c r="K444" s="230"/>
      <c r="L444" s="230"/>
      <c r="M444" s="230"/>
      <c r="N444" s="230"/>
      <c r="O444" s="230"/>
      <c r="P444" s="230"/>
      <c r="Q444" s="230"/>
      <c r="R444" s="230"/>
      <c r="S444" s="230"/>
      <c r="T444" s="230"/>
      <c r="U444" s="230"/>
      <c r="V444" s="230"/>
      <c r="W444" s="230"/>
      <c r="X444" s="230"/>
      <c r="Y444" s="230"/>
      <c r="Z444" s="230"/>
    </row>
    <row r="445" spans="1:26" ht="15.75" customHeight="1">
      <c r="A445" s="230"/>
      <c r="B445" s="230"/>
      <c r="C445" s="230"/>
      <c r="D445" s="230"/>
      <c r="E445" s="230"/>
      <c r="F445" s="230"/>
      <c r="G445" s="230"/>
      <c r="H445" s="230"/>
      <c r="I445" s="230"/>
      <c r="J445" s="230"/>
      <c r="K445" s="230"/>
      <c r="L445" s="230"/>
      <c r="M445" s="230"/>
      <c r="N445" s="230"/>
      <c r="O445" s="230"/>
      <c r="P445" s="230"/>
      <c r="Q445" s="230"/>
      <c r="R445" s="230"/>
      <c r="S445" s="230"/>
      <c r="T445" s="230"/>
      <c r="U445" s="230"/>
      <c r="V445" s="230"/>
      <c r="W445" s="230"/>
      <c r="X445" s="230"/>
      <c r="Y445" s="230"/>
      <c r="Z445" s="230"/>
    </row>
    <row r="446" spans="1:26" ht="15.75" customHeight="1">
      <c r="A446" s="230"/>
      <c r="B446" s="230"/>
      <c r="C446" s="230"/>
      <c r="D446" s="230"/>
      <c r="E446" s="230"/>
      <c r="F446" s="230"/>
      <c r="G446" s="230"/>
      <c r="H446" s="230"/>
      <c r="I446" s="230"/>
      <c r="J446" s="230"/>
      <c r="K446" s="230"/>
      <c r="L446" s="230"/>
      <c r="M446" s="230"/>
      <c r="N446" s="230"/>
      <c r="O446" s="230"/>
      <c r="P446" s="230"/>
      <c r="Q446" s="230"/>
      <c r="R446" s="230"/>
      <c r="S446" s="230"/>
      <c r="T446" s="230"/>
      <c r="U446" s="230"/>
      <c r="V446" s="230"/>
      <c r="W446" s="230"/>
      <c r="X446" s="230"/>
      <c r="Y446" s="230"/>
      <c r="Z446" s="230"/>
    </row>
    <row r="447" spans="1:26" ht="15.75" customHeight="1">
      <c r="A447" s="230"/>
      <c r="B447" s="230"/>
      <c r="C447" s="230"/>
      <c r="D447" s="230"/>
      <c r="E447" s="230"/>
      <c r="F447" s="230"/>
      <c r="G447" s="230"/>
      <c r="H447" s="230"/>
      <c r="I447" s="230"/>
      <c r="J447" s="230"/>
      <c r="K447" s="230"/>
      <c r="L447" s="230"/>
      <c r="M447" s="230"/>
      <c r="N447" s="230"/>
      <c r="O447" s="230"/>
      <c r="P447" s="230"/>
      <c r="Q447" s="230"/>
      <c r="R447" s="230"/>
      <c r="S447" s="230"/>
      <c r="T447" s="230"/>
      <c r="U447" s="230"/>
      <c r="V447" s="230"/>
      <c r="W447" s="230"/>
      <c r="X447" s="230"/>
      <c r="Y447" s="230"/>
      <c r="Z447" s="230"/>
    </row>
    <row r="448" spans="1:26" ht="15.75" customHeight="1">
      <c r="A448" s="230"/>
      <c r="B448" s="230"/>
      <c r="C448" s="230"/>
      <c r="D448" s="230"/>
      <c r="E448" s="230"/>
      <c r="F448" s="230"/>
      <c r="G448" s="230"/>
      <c r="H448" s="230"/>
      <c r="I448" s="230"/>
      <c r="J448" s="230"/>
      <c r="K448" s="230"/>
      <c r="L448" s="230"/>
      <c r="M448" s="230"/>
      <c r="N448" s="230"/>
      <c r="O448" s="230"/>
      <c r="P448" s="230"/>
      <c r="Q448" s="230"/>
      <c r="R448" s="230"/>
      <c r="S448" s="230"/>
      <c r="T448" s="230"/>
      <c r="U448" s="230"/>
      <c r="V448" s="230"/>
      <c r="W448" s="230"/>
      <c r="X448" s="230"/>
      <c r="Y448" s="230"/>
      <c r="Z448" s="230"/>
    </row>
    <row r="449" spans="1:26" ht="15.75" customHeight="1">
      <c r="A449" s="230"/>
      <c r="B449" s="230"/>
      <c r="C449" s="230"/>
      <c r="D449" s="230"/>
      <c r="E449" s="230"/>
      <c r="F449" s="230"/>
      <c r="G449" s="230"/>
      <c r="H449" s="230"/>
      <c r="I449" s="230"/>
      <c r="J449" s="230"/>
      <c r="K449" s="230"/>
      <c r="L449" s="230"/>
      <c r="M449" s="230"/>
      <c r="N449" s="230"/>
      <c r="O449" s="230"/>
      <c r="P449" s="230"/>
      <c r="Q449" s="230"/>
      <c r="R449" s="230"/>
      <c r="S449" s="230"/>
      <c r="T449" s="230"/>
      <c r="U449" s="230"/>
      <c r="V449" s="230"/>
      <c r="W449" s="230"/>
      <c r="X449" s="230"/>
      <c r="Y449" s="230"/>
      <c r="Z449" s="230"/>
    </row>
    <row r="450" spans="1:26" ht="15.75" customHeight="1">
      <c r="A450" s="230"/>
      <c r="B450" s="230"/>
      <c r="C450" s="230"/>
      <c r="D450" s="230"/>
      <c r="E450" s="230"/>
      <c r="F450" s="230"/>
      <c r="G450" s="230"/>
      <c r="H450" s="230"/>
      <c r="I450" s="230"/>
      <c r="J450" s="230"/>
      <c r="K450" s="230"/>
      <c r="L450" s="230"/>
      <c r="M450" s="230"/>
      <c r="N450" s="230"/>
      <c r="O450" s="230"/>
      <c r="P450" s="230"/>
      <c r="Q450" s="230"/>
      <c r="R450" s="230"/>
      <c r="S450" s="230"/>
      <c r="T450" s="230"/>
      <c r="U450" s="230"/>
      <c r="V450" s="230"/>
      <c r="W450" s="230"/>
      <c r="X450" s="230"/>
      <c r="Y450" s="230"/>
      <c r="Z450" s="230"/>
    </row>
    <row r="451" spans="1:26" ht="15.75" customHeight="1">
      <c r="A451" s="230"/>
      <c r="B451" s="230"/>
      <c r="C451" s="230"/>
      <c r="D451" s="230"/>
      <c r="E451" s="230"/>
      <c r="F451" s="230"/>
      <c r="G451" s="230"/>
      <c r="H451" s="230"/>
      <c r="I451" s="230"/>
      <c r="J451" s="230"/>
      <c r="K451" s="230"/>
      <c r="L451" s="230"/>
      <c r="M451" s="230"/>
      <c r="N451" s="230"/>
      <c r="O451" s="230"/>
      <c r="P451" s="230"/>
      <c r="Q451" s="230"/>
      <c r="R451" s="230"/>
      <c r="S451" s="230"/>
      <c r="T451" s="230"/>
      <c r="U451" s="230"/>
      <c r="V451" s="230"/>
      <c r="W451" s="230"/>
      <c r="X451" s="230"/>
      <c r="Y451" s="230"/>
      <c r="Z451" s="230"/>
    </row>
    <row r="452" spans="1:26" ht="15.75" customHeight="1">
      <c r="A452" s="230"/>
      <c r="B452" s="230"/>
      <c r="C452" s="230"/>
      <c r="D452" s="230"/>
      <c r="E452" s="230"/>
      <c r="F452" s="230"/>
      <c r="G452" s="230"/>
      <c r="H452" s="230"/>
      <c r="I452" s="230"/>
      <c r="J452" s="230"/>
      <c r="K452" s="230"/>
      <c r="L452" s="230"/>
      <c r="M452" s="230"/>
      <c r="N452" s="230"/>
      <c r="O452" s="230"/>
      <c r="P452" s="230"/>
      <c r="Q452" s="230"/>
      <c r="R452" s="230"/>
      <c r="S452" s="230"/>
      <c r="T452" s="230"/>
      <c r="U452" s="230"/>
      <c r="V452" s="230"/>
      <c r="W452" s="230"/>
      <c r="X452" s="230"/>
      <c r="Y452" s="230"/>
      <c r="Z452" s="230"/>
    </row>
    <row r="453" spans="1:26" ht="15.75" customHeight="1">
      <c r="A453" s="230"/>
      <c r="B453" s="230"/>
      <c r="C453" s="230"/>
      <c r="D453" s="230"/>
      <c r="E453" s="230"/>
      <c r="F453" s="230"/>
      <c r="G453" s="230"/>
      <c r="H453" s="230"/>
      <c r="I453" s="230"/>
      <c r="J453" s="230"/>
      <c r="K453" s="230"/>
      <c r="L453" s="230"/>
      <c r="M453" s="230"/>
      <c r="N453" s="230"/>
      <c r="O453" s="230"/>
      <c r="P453" s="230"/>
      <c r="Q453" s="230"/>
      <c r="R453" s="230"/>
      <c r="S453" s="230"/>
      <c r="T453" s="230"/>
      <c r="U453" s="230"/>
      <c r="V453" s="230"/>
      <c r="W453" s="230"/>
      <c r="X453" s="230"/>
      <c r="Y453" s="230"/>
      <c r="Z453" s="230"/>
    </row>
    <row r="454" spans="1:26" ht="15.75" customHeight="1">
      <c r="A454" s="230"/>
      <c r="B454" s="230"/>
      <c r="C454" s="230"/>
      <c r="D454" s="230"/>
      <c r="E454" s="230"/>
      <c r="F454" s="230"/>
      <c r="G454" s="230"/>
      <c r="H454" s="230"/>
      <c r="I454" s="230"/>
      <c r="J454" s="230"/>
      <c r="K454" s="230"/>
      <c r="L454" s="230"/>
      <c r="M454" s="230"/>
      <c r="N454" s="230"/>
      <c r="O454" s="230"/>
      <c r="P454" s="230"/>
      <c r="Q454" s="230"/>
      <c r="R454" s="230"/>
      <c r="S454" s="230"/>
      <c r="T454" s="230"/>
      <c r="U454" s="230"/>
      <c r="V454" s="230"/>
      <c r="W454" s="230"/>
      <c r="X454" s="230"/>
      <c r="Y454" s="230"/>
      <c r="Z454" s="230"/>
    </row>
    <row r="455" spans="1:26" ht="15.75" customHeight="1">
      <c r="A455" s="230"/>
      <c r="B455" s="230"/>
      <c r="C455" s="230"/>
      <c r="D455" s="230"/>
      <c r="E455" s="230"/>
      <c r="F455" s="230"/>
      <c r="G455" s="230"/>
      <c r="H455" s="230"/>
      <c r="I455" s="230"/>
      <c r="J455" s="230"/>
      <c r="K455" s="230"/>
      <c r="L455" s="230"/>
      <c r="M455" s="230"/>
      <c r="N455" s="230"/>
      <c r="O455" s="230"/>
      <c r="P455" s="230"/>
      <c r="Q455" s="230"/>
      <c r="R455" s="230"/>
      <c r="S455" s="230"/>
      <c r="T455" s="230"/>
      <c r="U455" s="230"/>
      <c r="V455" s="230"/>
      <c r="W455" s="230"/>
      <c r="X455" s="230"/>
      <c r="Y455" s="230"/>
      <c r="Z455" s="230"/>
    </row>
    <row r="456" spans="1:26" ht="15.75" customHeight="1">
      <c r="A456" s="230"/>
      <c r="B456" s="230"/>
      <c r="C456" s="230"/>
      <c r="D456" s="230"/>
      <c r="E456" s="230"/>
      <c r="F456" s="230"/>
      <c r="G456" s="230"/>
      <c r="H456" s="230"/>
      <c r="I456" s="230"/>
      <c r="J456" s="230"/>
      <c r="K456" s="230"/>
      <c r="L456" s="230"/>
      <c r="M456" s="230"/>
      <c r="N456" s="230"/>
      <c r="O456" s="230"/>
      <c r="P456" s="230"/>
      <c r="Q456" s="230"/>
      <c r="R456" s="230"/>
      <c r="S456" s="230"/>
      <c r="T456" s="230"/>
      <c r="U456" s="230"/>
      <c r="V456" s="230"/>
      <c r="W456" s="230"/>
      <c r="X456" s="230"/>
      <c r="Y456" s="230"/>
      <c r="Z456" s="230"/>
    </row>
    <row r="457" spans="1:26" ht="15.75" customHeight="1">
      <c r="A457" s="230"/>
      <c r="B457" s="230"/>
      <c r="C457" s="230"/>
      <c r="D457" s="230"/>
      <c r="E457" s="230"/>
      <c r="F457" s="230"/>
      <c r="G457" s="230"/>
      <c r="H457" s="230"/>
      <c r="I457" s="230"/>
      <c r="J457" s="230"/>
      <c r="K457" s="230"/>
      <c r="L457" s="230"/>
      <c r="M457" s="230"/>
      <c r="N457" s="230"/>
      <c r="O457" s="230"/>
      <c r="P457" s="230"/>
      <c r="Q457" s="230"/>
      <c r="R457" s="230"/>
      <c r="S457" s="230"/>
      <c r="T457" s="230"/>
      <c r="U457" s="230"/>
      <c r="V457" s="230"/>
      <c r="W457" s="230"/>
      <c r="X457" s="230"/>
      <c r="Y457" s="230"/>
      <c r="Z457" s="230"/>
    </row>
    <row r="458" spans="1:26" ht="15.75" customHeight="1">
      <c r="A458" s="230"/>
      <c r="B458" s="230"/>
      <c r="C458" s="230"/>
      <c r="D458" s="230"/>
      <c r="E458" s="230"/>
      <c r="F458" s="230"/>
      <c r="G458" s="230"/>
      <c r="H458" s="230"/>
      <c r="I458" s="230"/>
      <c r="J458" s="230"/>
      <c r="K458" s="230"/>
      <c r="L458" s="230"/>
      <c r="M458" s="230"/>
      <c r="N458" s="230"/>
      <c r="O458" s="230"/>
      <c r="P458" s="230"/>
      <c r="Q458" s="230"/>
      <c r="R458" s="230"/>
      <c r="S458" s="230"/>
      <c r="T458" s="230"/>
      <c r="U458" s="230"/>
      <c r="V458" s="230"/>
      <c r="W458" s="230"/>
      <c r="X458" s="230"/>
      <c r="Y458" s="230"/>
      <c r="Z458" s="230"/>
    </row>
    <row r="459" spans="1:26" ht="15.75" customHeight="1">
      <c r="A459" s="230"/>
      <c r="B459" s="230"/>
      <c r="C459" s="230"/>
      <c r="D459" s="230"/>
      <c r="E459" s="230"/>
      <c r="F459" s="230"/>
      <c r="G459" s="230"/>
      <c r="H459" s="230"/>
      <c r="I459" s="230"/>
      <c r="J459" s="230"/>
      <c r="K459" s="230"/>
      <c r="L459" s="230"/>
      <c r="M459" s="230"/>
      <c r="N459" s="230"/>
      <c r="O459" s="230"/>
      <c r="P459" s="230"/>
      <c r="Q459" s="230"/>
      <c r="R459" s="230"/>
      <c r="S459" s="230"/>
      <c r="T459" s="230"/>
      <c r="U459" s="230"/>
      <c r="V459" s="230"/>
      <c r="W459" s="230"/>
      <c r="X459" s="230"/>
      <c r="Y459" s="230"/>
      <c r="Z459" s="230"/>
    </row>
    <row r="460" spans="1:26" ht="15.75" customHeight="1">
      <c r="A460" s="230"/>
      <c r="B460" s="230"/>
      <c r="C460" s="230"/>
      <c r="D460" s="230"/>
      <c r="E460" s="230"/>
      <c r="F460" s="230"/>
      <c r="G460" s="230"/>
      <c r="H460" s="230"/>
      <c r="I460" s="230"/>
      <c r="J460" s="230"/>
      <c r="K460" s="230"/>
      <c r="L460" s="230"/>
      <c r="M460" s="230"/>
      <c r="N460" s="230"/>
      <c r="O460" s="230"/>
      <c r="P460" s="230"/>
      <c r="Q460" s="230"/>
      <c r="R460" s="230"/>
      <c r="S460" s="230"/>
      <c r="T460" s="230"/>
      <c r="U460" s="230"/>
      <c r="V460" s="230"/>
      <c r="W460" s="230"/>
      <c r="X460" s="230"/>
      <c r="Y460" s="230"/>
      <c r="Z460" s="230"/>
    </row>
    <row r="461" spans="1:26" ht="15.75" customHeight="1">
      <c r="A461" s="230"/>
      <c r="B461" s="230"/>
      <c r="C461" s="230"/>
      <c r="D461" s="230"/>
      <c r="E461" s="230"/>
      <c r="F461" s="230"/>
      <c r="G461" s="230"/>
      <c r="H461" s="230"/>
      <c r="I461" s="230"/>
      <c r="J461" s="230"/>
      <c r="K461" s="230"/>
      <c r="L461" s="230"/>
      <c r="M461" s="230"/>
      <c r="N461" s="230"/>
      <c r="O461" s="230"/>
      <c r="P461" s="230"/>
      <c r="Q461" s="230"/>
      <c r="R461" s="230"/>
      <c r="S461" s="230"/>
      <c r="T461" s="230"/>
      <c r="U461" s="230"/>
      <c r="V461" s="230"/>
      <c r="W461" s="230"/>
      <c r="X461" s="230"/>
      <c r="Y461" s="230"/>
      <c r="Z461" s="230"/>
    </row>
    <row r="462" spans="1:26" ht="15.75" customHeight="1">
      <c r="A462" s="230"/>
      <c r="B462" s="230"/>
      <c r="C462" s="230"/>
      <c r="D462" s="230"/>
      <c r="E462" s="230"/>
      <c r="F462" s="230"/>
      <c r="G462" s="230"/>
      <c r="H462" s="230"/>
      <c r="I462" s="230"/>
      <c r="J462" s="230"/>
      <c r="K462" s="230"/>
      <c r="L462" s="230"/>
      <c r="M462" s="230"/>
      <c r="N462" s="230"/>
      <c r="O462" s="230"/>
      <c r="P462" s="230"/>
      <c r="Q462" s="230"/>
      <c r="R462" s="230"/>
      <c r="S462" s="230"/>
      <c r="T462" s="230"/>
      <c r="U462" s="230"/>
      <c r="V462" s="230"/>
      <c r="W462" s="230"/>
      <c r="X462" s="230"/>
      <c r="Y462" s="230"/>
      <c r="Z462" s="230"/>
    </row>
    <row r="463" spans="1:26" ht="15.75" customHeight="1">
      <c r="A463" s="230"/>
      <c r="B463" s="230"/>
      <c r="C463" s="230"/>
      <c r="D463" s="230"/>
      <c r="E463" s="230"/>
      <c r="F463" s="230"/>
      <c r="G463" s="230"/>
      <c r="H463" s="230"/>
      <c r="I463" s="230"/>
      <c r="J463" s="230"/>
      <c r="K463" s="230"/>
      <c r="L463" s="230"/>
      <c r="M463" s="230"/>
      <c r="N463" s="230"/>
      <c r="O463" s="230"/>
      <c r="P463" s="230"/>
      <c r="Q463" s="230"/>
      <c r="R463" s="230"/>
      <c r="S463" s="230"/>
      <c r="T463" s="230"/>
      <c r="U463" s="230"/>
      <c r="V463" s="230"/>
      <c r="W463" s="230"/>
      <c r="X463" s="230"/>
      <c r="Y463" s="230"/>
      <c r="Z463" s="230"/>
    </row>
    <row r="464" spans="1:26" ht="15.75" customHeight="1">
      <c r="A464" s="230"/>
      <c r="B464" s="230"/>
      <c r="C464" s="230"/>
      <c r="D464" s="230"/>
      <c r="E464" s="230"/>
      <c r="F464" s="230"/>
      <c r="G464" s="230"/>
      <c r="H464" s="230"/>
      <c r="I464" s="230"/>
      <c r="J464" s="230"/>
      <c r="K464" s="230"/>
      <c r="L464" s="230"/>
      <c r="M464" s="230"/>
      <c r="N464" s="230"/>
      <c r="O464" s="230"/>
      <c r="P464" s="230"/>
      <c r="Q464" s="230"/>
      <c r="R464" s="230"/>
      <c r="S464" s="230"/>
      <c r="T464" s="230"/>
      <c r="U464" s="230"/>
      <c r="V464" s="230"/>
      <c r="W464" s="230"/>
      <c r="X464" s="230"/>
      <c r="Y464" s="230"/>
      <c r="Z464" s="230"/>
    </row>
    <row r="465" spans="1:26" ht="15.75" customHeight="1">
      <c r="A465" s="230"/>
      <c r="B465" s="230"/>
      <c r="C465" s="230"/>
      <c r="D465" s="230"/>
      <c r="E465" s="230"/>
      <c r="F465" s="230"/>
      <c r="G465" s="230"/>
      <c r="H465" s="230"/>
      <c r="I465" s="230"/>
      <c r="J465" s="230"/>
      <c r="K465" s="230"/>
      <c r="L465" s="230"/>
      <c r="M465" s="230"/>
      <c r="N465" s="230"/>
      <c r="O465" s="230"/>
      <c r="P465" s="230"/>
      <c r="Q465" s="230"/>
      <c r="R465" s="230"/>
      <c r="S465" s="230"/>
      <c r="T465" s="230"/>
      <c r="U465" s="230"/>
      <c r="V465" s="230"/>
      <c r="W465" s="230"/>
      <c r="X465" s="230"/>
      <c r="Y465" s="230"/>
      <c r="Z465" s="230"/>
    </row>
    <row r="466" spans="1:26" ht="15.75" customHeight="1">
      <c r="A466" s="230"/>
      <c r="B466" s="230"/>
      <c r="C466" s="230"/>
      <c r="D466" s="230"/>
      <c r="E466" s="230"/>
      <c r="F466" s="230"/>
      <c r="G466" s="230"/>
      <c r="H466" s="230"/>
      <c r="I466" s="230"/>
      <c r="J466" s="230"/>
      <c r="K466" s="230"/>
      <c r="L466" s="230"/>
      <c r="M466" s="230"/>
      <c r="N466" s="230"/>
      <c r="O466" s="230"/>
      <c r="P466" s="230"/>
      <c r="Q466" s="230"/>
      <c r="R466" s="230"/>
      <c r="S466" s="230"/>
      <c r="T466" s="230"/>
      <c r="U466" s="230"/>
      <c r="V466" s="230"/>
      <c r="W466" s="230"/>
      <c r="X466" s="230"/>
      <c r="Y466" s="230"/>
      <c r="Z466" s="230"/>
    </row>
    <row r="467" spans="1:26" ht="15.75" customHeight="1">
      <c r="A467" s="230"/>
      <c r="B467" s="230"/>
      <c r="C467" s="230"/>
      <c r="D467" s="230"/>
      <c r="E467" s="230"/>
      <c r="F467" s="230"/>
      <c r="G467" s="230"/>
      <c r="H467" s="230"/>
      <c r="I467" s="230"/>
      <c r="J467" s="230"/>
      <c r="K467" s="230"/>
      <c r="L467" s="230"/>
      <c r="M467" s="230"/>
      <c r="N467" s="230"/>
      <c r="O467" s="230"/>
      <c r="P467" s="230"/>
      <c r="Q467" s="230"/>
      <c r="R467" s="230"/>
      <c r="S467" s="230"/>
      <c r="T467" s="230"/>
      <c r="U467" s="230"/>
      <c r="V467" s="230"/>
      <c r="W467" s="230"/>
      <c r="X467" s="230"/>
      <c r="Y467" s="230"/>
      <c r="Z467" s="230"/>
    </row>
    <row r="468" spans="1:26" ht="15.75" customHeight="1">
      <c r="A468" s="230"/>
      <c r="B468" s="230"/>
      <c r="C468" s="230"/>
      <c r="D468" s="230"/>
      <c r="E468" s="230"/>
      <c r="F468" s="230"/>
      <c r="G468" s="230"/>
      <c r="H468" s="230"/>
      <c r="I468" s="230"/>
      <c r="J468" s="230"/>
      <c r="K468" s="230"/>
      <c r="L468" s="230"/>
      <c r="M468" s="230"/>
      <c r="N468" s="230"/>
      <c r="O468" s="230"/>
      <c r="P468" s="230"/>
      <c r="Q468" s="230"/>
      <c r="R468" s="230"/>
      <c r="S468" s="230"/>
      <c r="T468" s="230"/>
      <c r="U468" s="230"/>
      <c r="V468" s="230"/>
      <c r="W468" s="230"/>
      <c r="X468" s="230"/>
      <c r="Y468" s="230"/>
      <c r="Z468" s="230"/>
    </row>
    <row r="469" spans="1:26" ht="15.75" customHeight="1">
      <c r="A469" s="230"/>
      <c r="B469" s="230"/>
      <c r="C469" s="230"/>
      <c r="D469" s="230"/>
      <c r="E469" s="230"/>
      <c r="F469" s="230"/>
      <c r="G469" s="230"/>
      <c r="H469" s="230"/>
      <c r="I469" s="230"/>
      <c r="J469" s="230"/>
      <c r="K469" s="230"/>
      <c r="L469" s="230"/>
      <c r="M469" s="230"/>
      <c r="N469" s="230"/>
      <c r="O469" s="230"/>
      <c r="P469" s="230"/>
      <c r="Q469" s="230"/>
      <c r="R469" s="230"/>
      <c r="S469" s="230"/>
      <c r="T469" s="230"/>
      <c r="U469" s="230"/>
      <c r="V469" s="230"/>
      <c r="W469" s="230"/>
      <c r="X469" s="230"/>
      <c r="Y469" s="230"/>
      <c r="Z469" s="230"/>
    </row>
    <row r="470" spans="1:26" ht="15.75" customHeight="1">
      <c r="A470" s="230"/>
      <c r="B470" s="230"/>
      <c r="C470" s="230"/>
      <c r="D470" s="230"/>
      <c r="E470" s="230"/>
      <c r="F470" s="230"/>
      <c r="G470" s="230"/>
      <c r="H470" s="230"/>
      <c r="I470" s="230"/>
      <c r="J470" s="230"/>
      <c r="K470" s="230"/>
      <c r="L470" s="230"/>
      <c r="M470" s="230"/>
      <c r="N470" s="230"/>
      <c r="O470" s="230"/>
      <c r="P470" s="230"/>
      <c r="Q470" s="230"/>
      <c r="R470" s="230"/>
      <c r="S470" s="230"/>
      <c r="T470" s="230"/>
      <c r="U470" s="230"/>
      <c r="V470" s="230"/>
      <c r="W470" s="230"/>
      <c r="X470" s="230"/>
      <c r="Y470" s="230"/>
      <c r="Z470" s="230"/>
    </row>
    <row r="471" spans="1:26" ht="15.75" customHeight="1">
      <c r="A471" s="230"/>
      <c r="B471" s="230"/>
      <c r="C471" s="230"/>
      <c r="D471" s="230"/>
      <c r="E471" s="230"/>
      <c r="F471" s="230"/>
      <c r="G471" s="230"/>
      <c r="H471" s="230"/>
      <c r="I471" s="230"/>
      <c r="J471" s="230"/>
      <c r="K471" s="230"/>
      <c r="L471" s="230"/>
      <c r="M471" s="230"/>
      <c r="N471" s="230"/>
      <c r="O471" s="230"/>
      <c r="P471" s="230"/>
      <c r="Q471" s="230"/>
      <c r="R471" s="230"/>
      <c r="S471" s="230"/>
      <c r="T471" s="230"/>
      <c r="U471" s="230"/>
      <c r="V471" s="230"/>
      <c r="W471" s="230"/>
      <c r="X471" s="230"/>
      <c r="Y471" s="230"/>
      <c r="Z471" s="230"/>
    </row>
    <row r="472" spans="1:26" ht="15.75" customHeight="1">
      <c r="A472" s="230"/>
      <c r="B472" s="230"/>
      <c r="C472" s="230"/>
      <c r="D472" s="230"/>
      <c r="E472" s="230"/>
      <c r="F472" s="230"/>
      <c r="G472" s="230"/>
      <c r="H472" s="230"/>
      <c r="I472" s="230"/>
      <c r="J472" s="230"/>
      <c r="K472" s="230"/>
      <c r="L472" s="230"/>
      <c r="M472" s="230"/>
      <c r="N472" s="230"/>
      <c r="O472" s="230"/>
      <c r="P472" s="230"/>
      <c r="Q472" s="230"/>
      <c r="R472" s="230"/>
      <c r="S472" s="230"/>
      <c r="T472" s="230"/>
      <c r="U472" s="230"/>
      <c r="V472" s="230"/>
      <c r="W472" s="230"/>
      <c r="X472" s="230"/>
      <c r="Y472" s="230"/>
      <c r="Z472" s="230"/>
    </row>
    <row r="473" spans="1:26" ht="15.75" customHeight="1">
      <c r="A473" s="230"/>
      <c r="B473" s="230"/>
      <c r="C473" s="230"/>
      <c r="D473" s="230"/>
      <c r="E473" s="230"/>
      <c r="F473" s="230"/>
      <c r="G473" s="230"/>
      <c r="H473" s="230"/>
      <c r="I473" s="230"/>
      <c r="J473" s="230"/>
      <c r="K473" s="230"/>
      <c r="L473" s="230"/>
      <c r="M473" s="230"/>
      <c r="N473" s="230"/>
      <c r="O473" s="230"/>
      <c r="P473" s="230"/>
      <c r="Q473" s="230"/>
      <c r="R473" s="230"/>
      <c r="S473" s="230"/>
      <c r="T473" s="230"/>
      <c r="U473" s="230"/>
      <c r="V473" s="230"/>
      <c r="W473" s="230"/>
      <c r="X473" s="230"/>
      <c r="Y473" s="230"/>
      <c r="Z473" s="230"/>
    </row>
    <row r="474" spans="1:26" ht="15.75" customHeight="1">
      <c r="A474" s="230"/>
      <c r="B474" s="230"/>
      <c r="C474" s="230"/>
      <c r="D474" s="230"/>
      <c r="E474" s="230"/>
      <c r="F474" s="230"/>
      <c r="G474" s="230"/>
      <c r="H474" s="230"/>
      <c r="I474" s="230"/>
      <c r="J474" s="230"/>
      <c r="K474" s="230"/>
      <c r="L474" s="230"/>
      <c r="M474" s="230"/>
      <c r="N474" s="230"/>
      <c r="O474" s="230"/>
      <c r="P474" s="230"/>
      <c r="Q474" s="230"/>
      <c r="R474" s="230"/>
      <c r="S474" s="230"/>
      <c r="T474" s="230"/>
      <c r="U474" s="230"/>
      <c r="V474" s="230"/>
      <c r="W474" s="230"/>
      <c r="X474" s="230"/>
      <c r="Y474" s="230"/>
      <c r="Z474" s="230"/>
    </row>
    <row r="475" spans="1:26" ht="15.75" customHeight="1">
      <c r="A475" s="230"/>
      <c r="B475" s="230"/>
      <c r="C475" s="230"/>
      <c r="D475" s="230"/>
      <c r="E475" s="230"/>
      <c r="F475" s="230"/>
      <c r="G475" s="230"/>
      <c r="H475" s="230"/>
      <c r="I475" s="230"/>
      <c r="J475" s="230"/>
      <c r="K475" s="230"/>
      <c r="L475" s="230"/>
      <c r="M475" s="230"/>
      <c r="N475" s="230"/>
      <c r="O475" s="230"/>
      <c r="P475" s="230"/>
      <c r="Q475" s="230"/>
      <c r="R475" s="230"/>
      <c r="S475" s="230"/>
      <c r="T475" s="230"/>
      <c r="U475" s="230"/>
      <c r="V475" s="230"/>
      <c r="W475" s="230"/>
      <c r="X475" s="230"/>
      <c r="Y475" s="230"/>
      <c r="Z475" s="230"/>
    </row>
    <row r="476" spans="1:26" ht="15.75" customHeight="1">
      <c r="A476" s="230"/>
      <c r="B476" s="230"/>
      <c r="C476" s="230"/>
      <c r="D476" s="230"/>
      <c r="E476" s="230"/>
      <c r="F476" s="230"/>
      <c r="G476" s="230"/>
      <c r="H476" s="230"/>
      <c r="I476" s="230"/>
      <c r="J476" s="230"/>
      <c r="K476" s="230"/>
      <c r="L476" s="230"/>
      <c r="M476" s="230"/>
      <c r="N476" s="230"/>
      <c r="O476" s="230"/>
      <c r="P476" s="230"/>
      <c r="Q476" s="230"/>
      <c r="R476" s="230"/>
      <c r="S476" s="230"/>
      <c r="T476" s="230"/>
      <c r="U476" s="230"/>
      <c r="V476" s="230"/>
      <c r="W476" s="230"/>
      <c r="X476" s="230"/>
      <c r="Y476" s="230"/>
      <c r="Z476" s="230"/>
    </row>
    <row r="477" spans="1:26" ht="15.75" customHeight="1">
      <c r="A477" s="230"/>
      <c r="B477" s="230"/>
      <c r="C477" s="230"/>
      <c r="D477" s="230"/>
      <c r="E477" s="230"/>
      <c r="F477" s="230"/>
      <c r="G477" s="230"/>
      <c r="H477" s="230"/>
      <c r="I477" s="230"/>
      <c r="J477" s="230"/>
      <c r="K477" s="230"/>
      <c r="L477" s="230"/>
      <c r="M477" s="230"/>
      <c r="N477" s="230"/>
      <c r="O477" s="230"/>
      <c r="P477" s="230"/>
      <c r="Q477" s="230"/>
      <c r="R477" s="230"/>
      <c r="S477" s="230"/>
      <c r="T477" s="230"/>
      <c r="U477" s="230"/>
      <c r="V477" s="230"/>
      <c r="W477" s="230"/>
      <c r="X477" s="230"/>
      <c r="Y477" s="230"/>
      <c r="Z477" s="230"/>
    </row>
    <row r="478" spans="1:26" ht="15.75" customHeight="1">
      <c r="A478" s="230"/>
      <c r="B478" s="230"/>
      <c r="C478" s="230"/>
      <c r="D478" s="230"/>
      <c r="E478" s="230"/>
      <c r="F478" s="230"/>
      <c r="G478" s="230"/>
      <c r="H478" s="230"/>
      <c r="I478" s="230"/>
      <c r="J478" s="230"/>
      <c r="K478" s="230"/>
      <c r="L478" s="230"/>
      <c r="M478" s="230"/>
      <c r="N478" s="230"/>
      <c r="O478" s="230"/>
      <c r="P478" s="230"/>
      <c r="Q478" s="230"/>
      <c r="R478" s="230"/>
      <c r="S478" s="230"/>
      <c r="T478" s="230"/>
      <c r="U478" s="230"/>
      <c r="V478" s="230"/>
      <c r="W478" s="230"/>
      <c r="X478" s="230"/>
      <c r="Y478" s="230"/>
      <c r="Z478" s="230"/>
    </row>
    <row r="479" spans="1:26" ht="15.75" customHeight="1">
      <c r="A479" s="230"/>
      <c r="B479" s="230"/>
      <c r="C479" s="230"/>
      <c r="D479" s="230"/>
      <c r="E479" s="230"/>
      <c r="F479" s="230"/>
      <c r="G479" s="230"/>
      <c r="H479" s="230"/>
      <c r="I479" s="230"/>
      <c r="J479" s="230"/>
      <c r="K479" s="230"/>
      <c r="L479" s="230"/>
      <c r="M479" s="230"/>
      <c r="N479" s="230"/>
      <c r="O479" s="230"/>
      <c r="P479" s="230"/>
      <c r="Q479" s="230"/>
      <c r="R479" s="230"/>
      <c r="S479" s="230"/>
      <c r="T479" s="230"/>
      <c r="U479" s="230"/>
      <c r="V479" s="230"/>
      <c r="W479" s="230"/>
      <c r="X479" s="230"/>
      <c r="Y479" s="230"/>
      <c r="Z479" s="230"/>
    </row>
    <row r="480" spans="1:26" ht="15.75" customHeight="1">
      <c r="A480" s="230"/>
      <c r="B480" s="230"/>
      <c r="C480" s="230"/>
      <c r="D480" s="230"/>
      <c r="E480" s="230"/>
      <c r="F480" s="230"/>
      <c r="G480" s="230"/>
      <c r="H480" s="230"/>
      <c r="I480" s="230"/>
      <c r="J480" s="230"/>
      <c r="K480" s="230"/>
      <c r="L480" s="230"/>
      <c r="M480" s="230"/>
      <c r="N480" s="230"/>
      <c r="O480" s="230"/>
      <c r="P480" s="230"/>
      <c r="Q480" s="230"/>
      <c r="R480" s="230"/>
      <c r="S480" s="230"/>
      <c r="T480" s="230"/>
      <c r="U480" s="230"/>
      <c r="V480" s="230"/>
      <c r="W480" s="230"/>
      <c r="X480" s="230"/>
      <c r="Y480" s="230"/>
      <c r="Z480" s="230"/>
    </row>
    <row r="481" spans="1:26" ht="15.75" customHeight="1">
      <c r="A481" s="230"/>
      <c r="B481" s="230"/>
      <c r="C481" s="230"/>
      <c r="D481" s="230"/>
      <c r="E481" s="230"/>
      <c r="F481" s="230"/>
      <c r="G481" s="230"/>
      <c r="H481" s="230"/>
      <c r="I481" s="230"/>
      <c r="J481" s="230"/>
      <c r="K481" s="230"/>
      <c r="L481" s="230"/>
      <c r="M481" s="230"/>
      <c r="N481" s="230"/>
      <c r="O481" s="230"/>
      <c r="P481" s="230"/>
      <c r="Q481" s="230"/>
      <c r="R481" s="230"/>
      <c r="S481" s="230"/>
      <c r="T481" s="230"/>
      <c r="U481" s="230"/>
      <c r="V481" s="230"/>
      <c r="W481" s="230"/>
      <c r="X481" s="230"/>
      <c r="Y481" s="230"/>
      <c r="Z481" s="230"/>
    </row>
    <row r="482" spans="1:26" ht="15.75" customHeight="1">
      <c r="A482" s="230"/>
      <c r="B482" s="230"/>
      <c r="C482" s="230"/>
      <c r="D482" s="230"/>
      <c r="E482" s="230"/>
      <c r="F482" s="230"/>
      <c r="G482" s="230"/>
      <c r="H482" s="230"/>
      <c r="I482" s="230"/>
      <c r="J482" s="230"/>
      <c r="K482" s="230"/>
      <c r="L482" s="230"/>
      <c r="M482" s="230"/>
      <c r="N482" s="230"/>
      <c r="O482" s="230"/>
      <c r="P482" s="230"/>
      <c r="Q482" s="230"/>
      <c r="R482" s="230"/>
      <c r="S482" s="230"/>
      <c r="T482" s="230"/>
      <c r="U482" s="230"/>
      <c r="V482" s="230"/>
      <c r="W482" s="230"/>
      <c r="X482" s="230"/>
      <c r="Y482" s="230"/>
      <c r="Z482" s="230"/>
    </row>
    <row r="483" spans="1:26" ht="15.75" customHeight="1">
      <c r="A483" s="230"/>
      <c r="B483" s="230"/>
      <c r="C483" s="230"/>
      <c r="D483" s="230"/>
      <c r="E483" s="230"/>
      <c r="F483" s="230"/>
      <c r="G483" s="230"/>
      <c r="H483" s="230"/>
      <c r="I483" s="230"/>
      <c r="J483" s="230"/>
      <c r="K483" s="230"/>
      <c r="L483" s="230"/>
      <c r="M483" s="230"/>
      <c r="N483" s="230"/>
      <c r="O483" s="230"/>
      <c r="P483" s="230"/>
      <c r="Q483" s="230"/>
      <c r="R483" s="230"/>
      <c r="S483" s="230"/>
      <c r="T483" s="230"/>
      <c r="U483" s="230"/>
      <c r="V483" s="230"/>
      <c r="W483" s="230"/>
      <c r="X483" s="230"/>
      <c r="Y483" s="230"/>
      <c r="Z483" s="230"/>
    </row>
    <row r="484" spans="1:26" ht="15.75" customHeight="1">
      <c r="A484" s="230"/>
      <c r="B484" s="230"/>
      <c r="C484" s="230"/>
      <c r="D484" s="230"/>
      <c r="E484" s="230"/>
      <c r="F484" s="230"/>
      <c r="G484" s="230"/>
      <c r="H484" s="230"/>
      <c r="I484" s="230"/>
      <c r="J484" s="230"/>
      <c r="K484" s="230"/>
      <c r="L484" s="230"/>
      <c r="M484" s="230"/>
      <c r="N484" s="230"/>
      <c r="O484" s="230"/>
      <c r="P484" s="230"/>
      <c r="Q484" s="230"/>
      <c r="R484" s="230"/>
      <c r="S484" s="230"/>
      <c r="T484" s="230"/>
      <c r="U484" s="230"/>
      <c r="V484" s="230"/>
      <c r="W484" s="230"/>
      <c r="X484" s="230"/>
      <c r="Y484" s="230"/>
      <c r="Z484" s="230"/>
    </row>
    <row r="485" spans="1:26" ht="15.75" customHeight="1">
      <c r="A485" s="230"/>
      <c r="B485" s="230"/>
      <c r="C485" s="230"/>
      <c r="D485" s="230"/>
      <c r="E485" s="230"/>
      <c r="F485" s="230"/>
      <c r="G485" s="230"/>
      <c r="H485" s="230"/>
      <c r="I485" s="230"/>
      <c r="J485" s="230"/>
      <c r="K485" s="230"/>
      <c r="L485" s="230"/>
      <c r="M485" s="230"/>
      <c r="N485" s="230"/>
      <c r="O485" s="230"/>
      <c r="P485" s="230"/>
      <c r="Q485" s="230"/>
      <c r="R485" s="230"/>
      <c r="S485" s="230"/>
      <c r="T485" s="230"/>
      <c r="U485" s="230"/>
      <c r="V485" s="230"/>
      <c r="W485" s="230"/>
      <c r="X485" s="230"/>
      <c r="Y485" s="230"/>
      <c r="Z485" s="230"/>
    </row>
    <row r="486" spans="1:26" ht="15.75" customHeight="1">
      <c r="A486" s="230"/>
      <c r="B486" s="230"/>
      <c r="C486" s="230"/>
      <c r="D486" s="230"/>
      <c r="E486" s="230"/>
      <c r="F486" s="230"/>
      <c r="G486" s="230"/>
      <c r="H486" s="230"/>
      <c r="I486" s="230"/>
      <c r="J486" s="230"/>
      <c r="K486" s="230"/>
      <c r="L486" s="230"/>
      <c r="M486" s="230"/>
      <c r="N486" s="230"/>
      <c r="O486" s="230"/>
      <c r="P486" s="230"/>
      <c r="Q486" s="230"/>
      <c r="R486" s="230"/>
      <c r="S486" s="230"/>
      <c r="T486" s="230"/>
      <c r="U486" s="230"/>
      <c r="V486" s="230"/>
      <c r="W486" s="230"/>
      <c r="X486" s="230"/>
      <c r="Y486" s="230"/>
      <c r="Z486" s="230"/>
    </row>
    <row r="487" spans="1:26" ht="15.75" customHeight="1">
      <c r="A487" s="230"/>
      <c r="B487" s="230"/>
      <c r="C487" s="230"/>
      <c r="D487" s="230"/>
      <c r="E487" s="230"/>
      <c r="F487" s="230"/>
      <c r="G487" s="230"/>
      <c r="H487" s="230"/>
      <c r="I487" s="230"/>
      <c r="J487" s="230"/>
      <c r="K487" s="230"/>
      <c r="L487" s="230"/>
      <c r="M487" s="230"/>
      <c r="N487" s="230"/>
      <c r="O487" s="230"/>
      <c r="P487" s="230"/>
      <c r="Q487" s="230"/>
      <c r="R487" s="230"/>
      <c r="S487" s="230"/>
      <c r="T487" s="230"/>
      <c r="U487" s="230"/>
      <c r="V487" s="230"/>
      <c r="W487" s="230"/>
      <c r="X487" s="230"/>
      <c r="Y487" s="230"/>
      <c r="Z487" s="230"/>
    </row>
    <row r="488" spans="1:26" ht="15.75" customHeight="1">
      <c r="A488" s="230"/>
      <c r="B488" s="230"/>
      <c r="C488" s="230"/>
      <c r="D488" s="230"/>
      <c r="E488" s="230"/>
      <c r="F488" s="230"/>
      <c r="G488" s="230"/>
      <c r="H488" s="230"/>
      <c r="I488" s="230"/>
      <c r="J488" s="230"/>
      <c r="K488" s="230"/>
      <c r="L488" s="230"/>
      <c r="M488" s="230"/>
      <c r="N488" s="230"/>
      <c r="O488" s="230"/>
      <c r="P488" s="230"/>
      <c r="Q488" s="230"/>
      <c r="R488" s="230"/>
      <c r="S488" s="230"/>
      <c r="T488" s="230"/>
      <c r="U488" s="230"/>
      <c r="V488" s="230"/>
      <c r="W488" s="230"/>
      <c r="X488" s="230"/>
      <c r="Y488" s="230"/>
      <c r="Z488" s="230"/>
    </row>
    <row r="489" spans="1:26" ht="15.75" customHeight="1">
      <c r="A489" s="230"/>
      <c r="B489" s="230"/>
      <c r="C489" s="230"/>
      <c r="D489" s="230"/>
      <c r="E489" s="230"/>
      <c r="F489" s="230"/>
      <c r="G489" s="230"/>
      <c r="H489" s="230"/>
      <c r="I489" s="230"/>
      <c r="J489" s="230"/>
      <c r="K489" s="230"/>
      <c r="L489" s="230"/>
      <c r="M489" s="230"/>
      <c r="N489" s="230"/>
      <c r="O489" s="230"/>
      <c r="P489" s="230"/>
      <c r="Q489" s="230"/>
      <c r="R489" s="230"/>
      <c r="S489" s="230"/>
      <c r="T489" s="230"/>
      <c r="U489" s="230"/>
      <c r="V489" s="230"/>
      <c r="W489" s="230"/>
      <c r="X489" s="230"/>
      <c r="Y489" s="230"/>
      <c r="Z489" s="230"/>
    </row>
    <row r="490" spans="1:26" ht="15.75" customHeight="1">
      <c r="A490" s="230"/>
      <c r="B490" s="230"/>
      <c r="C490" s="230"/>
      <c r="D490" s="230"/>
      <c r="E490" s="230"/>
      <c r="F490" s="230"/>
      <c r="G490" s="230"/>
      <c r="H490" s="230"/>
      <c r="I490" s="230"/>
      <c r="J490" s="230"/>
      <c r="K490" s="230"/>
      <c r="L490" s="230"/>
      <c r="M490" s="230"/>
      <c r="N490" s="230"/>
      <c r="O490" s="230"/>
      <c r="P490" s="230"/>
      <c r="Q490" s="230"/>
      <c r="R490" s="230"/>
      <c r="S490" s="230"/>
      <c r="T490" s="230"/>
      <c r="U490" s="230"/>
      <c r="V490" s="230"/>
      <c r="W490" s="230"/>
      <c r="X490" s="230"/>
      <c r="Y490" s="230"/>
      <c r="Z490" s="230"/>
    </row>
    <row r="491" spans="1:26" ht="15.75" customHeight="1">
      <c r="A491" s="230"/>
      <c r="B491" s="230"/>
      <c r="C491" s="230"/>
      <c r="D491" s="230"/>
      <c r="E491" s="230"/>
      <c r="F491" s="230"/>
      <c r="G491" s="230"/>
      <c r="H491" s="230"/>
      <c r="I491" s="230"/>
      <c r="J491" s="230"/>
      <c r="K491" s="230"/>
      <c r="L491" s="230"/>
      <c r="M491" s="230"/>
      <c r="N491" s="230"/>
      <c r="O491" s="230"/>
      <c r="P491" s="230"/>
      <c r="Q491" s="230"/>
      <c r="R491" s="230"/>
      <c r="S491" s="230"/>
      <c r="T491" s="230"/>
      <c r="U491" s="230"/>
      <c r="V491" s="230"/>
      <c r="W491" s="230"/>
      <c r="X491" s="230"/>
      <c r="Y491" s="230"/>
      <c r="Z491" s="230"/>
    </row>
    <row r="492" spans="1:26" ht="15.75" customHeight="1">
      <c r="A492" s="230"/>
      <c r="B492" s="230"/>
      <c r="C492" s="230"/>
      <c r="D492" s="230"/>
      <c r="E492" s="230"/>
      <c r="F492" s="230"/>
      <c r="G492" s="230"/>
      <c r="H492" s="230"/>
      <c r="I492" s="230"/>
      <c r="J492" s="230"/>
      <c r="K492" s="230"/>
      <c r="L492" s="230"/>
      <c r="M492" s="230"/>
      <c r="N492" s="230"/>
      <c r="O492" s="230"/>
      <c r="P492" s="230"/>
      <c r="Q492" s="230"/>
      <c r="R492" s="230"/>
      <c r="S492" s="230"/>
      <c r="T492" s="230"/>
      <c r="U492" s="230"/>
      <c r="V492" s="230"/>
      <c r="W492" s="230"/>
      <c r="X492" s="230"/>
      <c r="Y492" s="230"/>
      <c r="Z492" s="230"/>
    </row>
    <row r="493" spans="1:26" ht="15.75" customHeight="1">
      <c r="A493" s="230"/>
      <c r="B493" s="230"/>
      <c r="C493" s="230"/>
      <c r="D493" s="230"/>
      <c r="E493" s="230"/>
      <c r="F493" s="230"/>
      <c r="G493" s="230"/>
      <c r="H493" s="230"/>
      <c r="I493" s="230"/>
      <c r="J493" s="230"/>
      <c r="K493" s="230"/>
      <c r="L493" s="230"/>
      <c r="M493" s="230"/>
      <c r="N493" s="230"/>
      <c r="O493" s="230"/>
      <c r="P493" s="230"/>
      <c r="Q493" s="230"/>
      <c r="R493" s="230"/>
      <c r="S493" s="230"/>
      <c r="T493" s="230"/>
      <c r="U493" s="230"/>
      <c r="V493" s="230"/>
      <c r="W493" s="230"/>
      <c r="X493" s="230"/>
      <c r="Y493" s="230"/>
      <c r="Z493" s="230"/>
    </row>
    <row r="494" spans="1:26" ht="15.75" customHeight="1">
      <c r="A494" s="230"/>
      <c r="B494" s="230"/>
      <c r="C494" s="230"/>
      <c r="D494" s="230"/>
      <c r="E494" s="230"/>
      <c r="F494" s="230"/>
      <c r="G494" s="230"/>
      <c r="H494" s="230"/>
      <c r="I494" s="230"/>
      <c r="J494" s="230"/>
      <c r="K494" s="230"/>
      <c r="L494" s="230"/>
      <c r="M494" s="230"/>
      <c r="N494" s="230"/>
      <c r="O494" s="230"/>
      <c r="P494" s="230"/>
      <c r="Q494" s="230"/>
      <c r="R494" s="230"/>
      <c r="S494" s="230"/>
      <c r="T494" s="230"/>
      <c r="U494" s="230"/>
      <c r="V494" s="230"/>
      <c r="W494" s="230"/>
      <c r="X494" s="230"/>
      <c r="Y494" s="230"/>
      <c r="Z494" s="230"/>
    </row>
    <row r="495" spans="1:26" ht="15.75" customHeight="1">
      <c r="A495" s="230"/>
      <c r="B495" s="230"/>
      <c r="C495" s="230"/>
      <c r="D495" s="230"/>
      <c r="E495" s="230"/>
      <c r="F495" s="230"/>
      <c r="G495" s="230"/>
      <c r="H495" s="230"/>
      <c r="I495" s="230"/>
      <c r="J495" s="230"/>
      <c r="K495" s="230"/>
      <c r="L495" s="230"/>
      <c r="M495" s="230"/>
      <c r="N495" s="230"/>
      <c r="O495" s="230"/>
      <c r="P495" s="230"/>
      <c r="Q495" s="230"/>
      <c r="R495" s="230"/>
      <c r="S495" s="230"/>
      <c r="T495" s="230"/>
      <c r="U495" s="230"/>
      <c r="V495" s="230"/>
      <c r="W495" s="230"/>
      <c r="X495" s="230"/>
      <c r="Y495" s="230"/>
      <c r="Z495" s="230"/>
    </row>
    <row r="496" spans="1:26" ht="15.75" customHeight="1">
      <c r="A496" s="230"/>
      <c r="B496" s="230"/>
      <c r="C496" s="230"/>
      <c r="D496" s="230"/>
      <c r="E496" s="230"/>
      <c r="F496" s="230"/>
      <c r="G496" s="230"/>
      <c r="H496" s="230"/>
      <c r="I496" s="230"/>
      <c r="J496" s="230"/>
      <c r="K496" s="230"/>
      <c r="L496" s="230"/>
      <c r="M496" s="230"/>
      <c r="N496" s="230"/>
      <c r="O496" s="230"/>
      <c r="P496" s="230"/>
      <c r="Q496" s="230"/>
      <c r="R496" s="230"/>
      <c r="S496" s="230"/>
      <c r="T496" s="230"/>
      <c r="U496" s="230"/>
      <c r="V496" s="230"/>
      <c r="W496" s="230"/>
      <c r="X496" s="230"/>
      <c r="Y496" s="230"/>
      <c r="Z496" s="230"/>
    </row>
    <row r="497" spans="1:26" ht="15.75" customHeight="1">
      <c r="A497" s="230"/>
      <c r="B497" s="230"/>
      <c r="C497" s="230"/>
      <c r="D497" s="230"/>
      <c r="E497" s="230"/>
      <c r="F497" s="230"/>
      <c r="G497" s="230"/>
      <c r="H497" s="230"/>
      <c r="I497" s="230"/>
      <c r="J497" s="230"/>
      <c r="K497" s="230"/>
      <c r="L497" s="230"/>
      <c r="M497" s="230"/>
      <c r="N497" s="230"/>
      <c r="O497" s="230"/>
      <c r="P497" s="230"/>
      <c r="Q497" s="230"/>
      <c r="R497" s="230"/>
      <c r="S497" s="230"/>
      <c r="T497" s="230"/>
      <c r="U497" s="230"/>
      <c r="V497" s="230"/>
      <c r="W497" s="230"/>
      <c r="X497" s="230"/>
      <c r="Y497" s="230"/>
      <c r="Z497" s="230"/>
    </row>
    <row r="498" spans="1:26" ht="15.75" customHeight="1">
      <c r="A498" s="230"/>
      <c r="B498" s="230"/>
      <c r="C498" s="230"/>
      <c r="D498" s="230"/>
      <c r="E498" s="230"/>
      <c r="F498" s="230"/>
      <c r="G498" s="230"/>
      <c r="H498" s="230"/>
      <c r="I498" s="230"/>
      <c r="J498" s="230"/>
      <c r="K498" s="230"/>
      <c r="L498" s="230"/>
      <c r="M498" s="230"/>
      <c r="N498" s="230"/>
      <c r="O498" s="230"/>
      <c r="P498" s="230"/>
      <c r="Q498" s="230"/>
      <c r="R498" s="230"/>
      <c r="S498" s="230"/>
      <c r="T498" s="230"/>
      <c r="U498" s="230"/>
      <c r="V498" s="230"/>
      <c r="W498" s="230"/>
      <c r="X498" s="230"/>
      <c r="Y498" s="230"/>
      <c r="Z498" s="230"/>
    </row>
    <row r="499" spans="1:26" ht="15.75" customHeight="1">
      <c r="A499" s="230"/>
      <c r="B499" s="230"/>
      <c r="C499" s="230"/>
      <c r="D499" s="230"/>
      <c r="E499" s="230"/>
      <c r="F499" s="230"/>
      <c r="G499" s="230"/>
      <c r="H499" s="230"/>
      <c r="I499" s="230"/>
      <c r="J499" s="230"/>
      <c r="K499" s="230"/>
      <c r="L499" s="230"/>
      <c r="M499" s="230"/>
      <c r="N499" s="230"/>
      <c r="O499" s="230"/>
      <c r="P499" s="230"/>
      <c r="Q499" s="230"/>
      <c r="R499" s="230"/>
      <c r="S499" s="230"/>
      <c r="T499" s="230"/>
      <c r="U499" s="230"/>
      <c r="V499" s="230"/>
      <c r="W499" s="230"/>
      <c r="X499" s="230"/>
      <c r="Y499" s="230"/>
      <c r="Z499" s="230"/>
    </row>
    <row r="500" spans="1:26" ht="15.75" customHeight="1">
      <c r="A500" s="230"/>
      <c r="B500" s="230"/>
      <c r="C500" s="230"/>
      <c r="D500" s="230"/>
      <c r="E500" s="230"/>
      <c r="F500" s="230"/>
      <c r="G500" s="230"/>
      <c r="H500" s="230"/>
      <c r="I500" s="230"/>
      <c r="J500" s="230"/>
      <c r="K500" s="230"/>
      <c r="L500" s="230"/>
      <c r="M500" s="230"/>
      <c r="N500" s="230"/>
      <c r="O500" s="230"/>
      <c r="P500" s="230"/>
      <c r="Q500" s="230"/>
      <c r="R500" s="230"/>
      <c r="S500" s="230"/>
      <c r="T500" s="230"/>
      <c r="U500" s="230"/>
      <c r="V500" s="230"/>
      <c r="W500" s="230"/>
      <c r="X500" s="230"/>
      <c r="Y500" s="230"/>
      <c r="Z500" s="230"/>
    </row>
    <row r="501" spans="1:26" ht="15.75" customHeight="1">
      <c r="A501" s="230"/>
      <c r="B501" s="230"/>
      <c r="C501" s="230"/>
      <c r="D501" s="230"/>
      <c r="E501" s="230"/>
      <c r="F501" s="230"/>
      <c r="G501" s="230"/>
      <c r="H501" s="230"/>
      <c r="I501" s="230"/>
      <c r="J501" s="230"/>
      <c r="K501" s="230"/>
      <c r="L501" s="230"/>
      <c r="M501" s="230"/>
      <c r="N501" s="230"/>
      <c r="O501" s="230"/>
      <c r="P501" s="230"/>
      <c r="Q501" s="230"/>
      <c r="R501" s="230"/>
      <c r="S501" s="230"/>
      <c r="T501" s="230"/>
      <c r="U501" s="230"/>
      <c r="V501" s="230"/>
      <c r="W501" s="230"/>
      <c r="X501" s="230"/>
      <c r="Y501" s="230"/>
      <c r="Z501" s="230"/>
    </row>
    <row r="502" spans="1:26" ht="15.75" customHeight="1">
      <c r="A502" s="230"/>
      <c r="B502" s="230"/>
      <c r="C502" s="230"/>
      <c r="D502" s="230"/>
      <c r="E502" s="230"/>
      <c r="F502" s="230"/>
      <c r="G502" s="230"/>
      <c r="H502" s="230"/>
      <c r="I502" s="230"/>
      <c r="J502" s="230"/>
      <c r="K502" s="230"/>
      <c r="L502" s="230"/>
      <c r="M502" s="230"/>
      <c r="N502" s="230"/>
      <c r="O502" s="230"/>
      <c r="P502" s="230"/>
      <c r="Q502" s="230"/>
      <c r="R502" s="230"/>
      <c r="S502" s="230"/>
      <c r="T502" s="230"/>
      <c r="U502" s="230"/>
      <c r="V502" s="230"/>
      <c r="W502" s="230"/>
      <c r="X502" s="230"/>
      <c r="Y502" s="230"/>
      <c r="Z502" s="230"/>
    </row>
    <row r="503" spans="1:26" ht="15.75" customHeight="1">
      <c r="A503" s="230"/>
      <c r="B503" s="230"/>
      <c r="C503" s="230"/>
      <c r="D503" s="230"/>
      <c r="E503" s="230"/>
      <c r="F503" s="230"/>
      <c r="G503" s="230"/>
      <c r="H503" s="230"/>
      <c r="I503" s="230"/>
      <c r="J503" s="230"/>
      <c r="K503" s="230"/>
      <c r="L503" s="230"/>
      <c r="M503" s="230"/>
      <c r="N503" s="230"/>
      <c r="O503" s="230"/>
      <c r="P503" s="230"/>
      <c r="Q503" s="230"/>
      <c r="R503" s="230"/>
      <c r="S503" s="230"/>
      <c r="T503" s="230"/>
      <c r="U503" s="230"/>
      <c r="V503" s="230"/>
      <c r="W503" s="230"/>
      <c r="X503" s="230"/>
      <c r="Y503" s="230"/>
      <c r="Z503" s="230"/>
    </row>
    <row r="504" spans="1:26" ht="15.75" customHeight="1">
      <c r="A504" s="230"/>
      <c r="B504" s="230"/>
      <c r="C504" s="230"/>
      <c r="D504" s="230"/>
      <c r="E504" s="230"/>
      <c r="F504" s="230"/>
      <c r="G504" s="230"/>
      <c r="H504" s="230"/>
      <c r="I504" s="230"/>
      <c r="J504" s="230"/>
      <c r="K504" s="230"/>
      <c r="L504" s="230"/>
      <c r="M504" s="230"/>
      <c r="N504" s="230"/>
      <c r="O504" s="230"/>
      <c r="P504" s="230"/>
      <c r="Q504" s="230"/>
      <c r="R504" s="230"/>
      <c r="S504" s="230"/>
      <c r="T504" s="230"/>
      <c r="U504" s="230"/>
      <c r="V504" s="230"/>
      <c r="W504" s="230"/>
      <c r="X504" s="230"/>
      <c r="Y504" s="230"/>
      <c r="Z504" s="230"/>
    </row>
    <row r="505" spans="1:26" ht="15.75" customHeight="1">
      <c r="A505" s="230"/>
      <c r="B505" s="230"/>
      <c r="C505" s="230"/>
      <c r="D505" s="230"/>
      <c r="E505" s="230"/>
      <c r="F505" s="230"/>
      <c r="G505" s="230"/>
      <c r="H505" s="230"/>
      <c r="I505" s="230"/>
      <c r="J505" s="230"/>
      <c r="K505" s="230"/>
      <c r="L505" s="230"/>
      <c r="M505" s="230"/>
      <c r="N505" s="230"/>
      <c r="O505" s="230"/>
      <c r="P505" s="230"/>
      <c r="Q505" s="230"/>
      <c r="R505" s="230"/>
      <c r="S505" s="230"/>
      <c r="T505" s="230"/>
      <c r="U505" s="230"/>
      <c r="V505" s="230"/>
      <c r="W505" s="230"/>
      <c r="X505" s="230"/>
      <c r="Y505" s="230"/>
      <c r="Z505" s="230"/>
    </row>
    <row r="506" spans="1:26" ht="15.75" customHeight="1">
      <c r="A506" s="230"/>
      <c r="B506" s="230"/>
      <c r="C506" s="230"/>
      <c r="D506" s="230"/>
      <c r="E506" s="230"/>
      <c r="F506" s="230"/>
      <c r="G506" s="230"/>
      <c r="H506" s="230"/>
      <c r="I506" s="230"/>
      <c r="J506" s="230"/>
      <c r="K506" s="230"/>
      <c r="L506" s="230"/>
      <c r="M506" s="230"/>
      <c r="N506" s="230"/>
      <c r="O506" s="230"/>
      <c r="P506" s="230"/>
      <c r="Q506" s="230"/>
      <c r="R506" s="230"/>
      <c r="S506" s="230"/>
      <c r="T506" s="230"/>
      <c r="U506" s="230"/>
      <c r="V506" s="230"/>
      <c r="W506" s="230"/>
      <c r="X506" s="230"/>
      <c r="Y506" s="230"/>
      <c r="Z506" s="230"/>
    </row>
    <row r="507" spans="1:26" ht="15.75" customHeight="1">
      <c r="A507" s="230"/>
      <c r="B507" s="230"/>
      <c r="C507" s="230"/>
      <c r="D507" s="230"/>
      <c r="E507" s="230"/>
      <c r="F507" s="230"/>
      <c r="G507" s="230"/>
      <c r="H507" s="230"/>
      <c r="I507" s="230"/>
      <c r="J507" s="230"/>
      <c r="K507" s="230"/>
      <c r="L507" s="230"/>
      <c r="M507" s="230"/>
      <c r="N507" s="230"/>
      <c r="O507" s="230"/>
      <c r="P507" s="230"/>
      <c r="Q507" s="230"/>
      <c r="R507" s="230"/>
      <c r="S507" s="230"/>
      <c r="T507" s="230"/>
      <c r="U507" s="230"/>
      <c r="V507" s="230"/>
      <c r="W507" s="230"/>
      <c r="X507" s="230"/>
      <c r="Y507" s="230"/>
      <c r="Z507" s="230"/>
    </row>
    <row r="508" spans="1:26" ht="15.75" customHeight="1">
      <c r="A508" s="230"/>
      <c r="B508" s="230"/>
      <c r="C508" s="230"/>
      <c r="D508" s="230"/>
      <c r="E508" s="230"/>
      <c r="F508" s="230"/>
      <c r="G508" s="230"/>
      <c r="H508" s="230"/>
      <c r="I508" s="230"/>
      <c r="J508" s="230"/>
      <c r="K508" s="230"/>
      <c r="L508" s="230"/>
      <c r="M508" s="230"/>
      <c r="N508" s="230"/>
      <c r="O508" s="230"/>
      <c r="P508" s="230"/>
      <c r="Q508" s="230"/>
      <c r="R508" s="230"/>
      <c r="S508" s="230"/>
      <c r="T508" s="230"/>
      <c r="U508" s="230"/>
      <c r="V508" s="230"/>
      <c r="W508" s="230"/>
      <c r="X508" s="230"/>
      <c r="Y508" s="230"/>
      <c r="Z508" s="230"/>
    </row>
    <row r="509" spans="1:26" ht="15.75" customHeight="1">
      <c r="A509" s="230"/>
      <c r="B509" s="230"/>
      <c r="C509" s="230"/>
      <c r="D509" s="230"/>
      <c r="E509" s="230"/>
      <c r="F509" s="230"/>
      <c r="G509" s="230"/>
      <c r="H509" s="230"/>
      <c r="I509" s="230"/>
      <c r="J509" s="230"/>
      <c r="K509" s="230"/>
      <c r="L509" s="230"/>
      <c r="M509" s="230"/>
      <c r="N509" s="230"/>
      <c r="O509" s="230"/>
      <c r="P509" s="230"/>
      <c r="Q509" s="230"/>
      <c r="R509" s="230"/>
      <c r="S509" s="230"/>
      <c r="T509" s="230"/>
      <c r="U509" s="230"/>
      <c r="V509" s="230"/>
      <c r="W509" s="230"/>
      <c r="X509" s="230"/>
      <c r="Y509" s="230"/>
      <c r="Z509" s="230"/>
    </row>
    <row r="510" spans="1:26" ht="15.75" customHeight="1">
      <c r="A510" s="230"/>
      <c r="B510" s="230"/>
      <c r="C510" s="230"/>
      <c r="D510" s="230"/>
      <c r="E510" s="230"/>
      <c r="F510" s="230"/>
      <c r="G510" s="230"/>
      <c r="H510" s="230"/>
      <c r="I510" s="230"/>
      <c r="J510" s="230"/>
      <c r="K510" s="230"/>
      <c r="L510" s="230"/>
      <c r="M510" s="230"/>
      <c r="N510" s="230"/>
      <c r="O510" s="230"/>
      <c r="P510" s="230"/>
      <c r="Q510" s="230"/>
      <c r="R510" s="230"/>
      <c r="S510" s="230"/>
      <c r="T510" s="230"/>
      <c r="U510" s="230"/>
      <c r="V510" s="230"/>
      <c r="W510" s="230"/>
      <c r="X510" s="230"/>
      <c r="Y510" s="230"/>
      <c r="Z510" s="230"/>
    </row>
    <row r="511" spans="1:26" ht="15.75" customHeight="1">
      <c r="A511" s="230"/>
      <c r="B511" s="230"/>
      <c r="C511" s="230"/>
      <c r="D511" s="230"/>
      <c r="E511" s="230"/>
      <c r="F511" s="230"/>
      <c r="G511" s="230"/>
      <c r="H511" s="230"/>
      <c r="I511" s="230"/>
      <c r="J511" s="230"/>
      <c r="K511" s="230"/>
      <c r="L511" s="230"/>
      <c r="M511" s="230"/>
      <c r="N511" s="230"/>
      <c r="O511" s="230"/>
      <c r="P511" s="230"/>
      <c r="Q511" s="230"/>
      <c r="R511" s="230"/>
      <c r="S511" s="230"/>
      <c r="T511" s="230"/>
      <c r="U511" s="230"/>
      <c r="V511" s="230"/>
      <c r="W511" s="230"/>
      <c r="X511" s="230"/>
      <c r="Y511" s="230"/>
      <c r="Z511" s="230"/>
    </row>
    <row r="512" spans="1:26" ht="15.75" customHeight="1">
      <c r="A512" s="230"/>
      <c r="B512" s="230"/>
      <c r="C512" s="230"/>
      <c r="D512" s="230"/>
      <c r="E512" s="230"/>
      <c r="F512" s="230"/>
      <c r="G512" s="230"/>
      <c r="H512" s="230"/>
      <c r="I512" s="230"/>
      <c r="J512" s="230"/>
      <c r="K512" s="230"/>
      <c r="L512" s="230"/>
      <c r="M512" s="230"/>
      <c r="N512" s="230"/>
      <c r="O512" s="230"/>
      <c r="P512" s="230"/>
      <c r="Q512" s="230"/>
      <c r="R512" s="230"/>
      <c r="S512" s="230"/>
      <c r="T512" s="230"/>
      <c r="U512" s="230"/>
      <c r="V512" s="230"/>
      <c r="W512" s="230"/>
      <c r="X512" s="230"/>
      <c r="Y512" s="230"/>
      <c r="Z512" s="230"/>
    </row>
    <row r="513" spans="1:26" ht="15.75" customHeight="1">
      <c r="A513" s="230"/>
      <c r="B513" s="230"/>
      <c r="C513" s="230"/>
      <c r="D513" s="230"/>
      <c r="E513" s="230"/>
      <c r="F513" s="230"/>
      <c r="G513" s="230"/>
      <c r="H513" s="230"/>
      <c r="I513" s="230"/>
      <c r="J513" s="230"/>
      <c r="K513" s="230"/>
      <c r="L513" s="230"/>
      <c r="M513" s="230"/>
      <c r="N513" s="230"/>
      <c r="O513" s="230"/>
      <c r="P513" s="230"/>
      <c r="Q513" s="230"/>
      <c r="R513" s="230"/>
      <c r="S513" s="230"/>
      <c r="T513" s="230"/>
      <c r="U513" s="230"/>
      <c r="V513" s="230"/>
      <c r="W513" s="230"/>
      <c r="X513" s="230"/>
      <c r="Y513" s="230"/>
      <c r="Z513" s="230"/>
    </row>
    <row r="514" spans="1:26" ht="15.75" customHeight="1">
      <c r="A514" s="230"/>
      <c r="B514" s="230"/>
      <c r="C514" s="230"/>
      <c r="D514" s="230"/>
      <c r="E514" s="230"/>
      <c r="F514" s="230"/>
      <c r="G514" s="230"/>
      <c r="H514" s="230"/>
      <c r="I514" s="230"/>
      <c r="J514" s="230"/>
      <c r="K514" s="230"/>
      <c r="L514" s="230"/>
      <c r="M514" s="230"/>
      <c r="N514" s="230"/>
      <c r="O514" s="230"/>
      <c r="P514" s="230"/>
      <c r="Q514" s="230"/>
      <c r="R514" s="230"/>
      <c r="S514" s="230"/>
      <c r="T514" s="230"/>
      <c r="U514" s="230"/>
      <c r="V514" s="230"/>
      <c r="W514" s="230"/>
      <c r="X514" s="230"/>
      <c r="Y514" s="230"/>
      <c r="Z514" s="230"/>
    </row>
    <row r="515" spans="1:26" ht="15.75" customHeight="1">
      <c r="A515" s="230"/>
      <c r="B515" s="230"/>
      <c r="C515" s="230"/>
      <c r="D515" s="230"/>
      <c r="E515" s="230"/>
      <c r="F515" s="230"/>
      <c r="G515" s="230"/>
      <c r="H515" s="230"/>
      <c r="I515" s="230"/>
      <c r="J515" s="230"/>
      <c r="K515" s="230"/>
      <c r="L515" s="230"/>
      <c r="M515" s="230"/>
      <c r="N515" s="230"/>
      <c r="O515" s="230"/>
      <c r="P515" s="230"/>
      <c r="Q515" s="230"/>
      <c r="R515" s="230"/>
      <c r="S515" s="230"/>
      <c r="T515" s="230"/>
      <c r="U515" s="230"/>
      <c r="V515" s="230"/>
      <c r="W515" s="230"/>
      <c r="X515" s="230"/>
      <c r="Y515" s="230"/>
      <c r="Z515" s="230"/>
    </row>
    <row r="516" spans="1:26" ht="15.75" customHeight="1">
      <c r="A516" s="230"/>
      <c r="B516" s="230"/>
      <c r="C516" s="230"/>
      <c r="D516" s="230"/>
      <c r="E516" s="230"/>
      <c r="F516" s="230"/>
      <c r="G516" s="230"/>
      <c r="H516" s="230"/>
      <c r="I516" s="230"/>
      <c r="J516" s="230"/>
      <c r="K516" s="230"/>
      <c r="L516" s="230"/>
      <c r="M516" s="230"/>
      <c r="N516" s="230"/>
      <c r="O516" s="230"/>
      <c r="P516" s="230"/>
      <c r="Q516" s="230"/>
      <c r="R516" s="230"/>
      <c r="S516" s="230"/>
      <c r="T516" s="230"/>
      <c r="U516" s="230"/>
      <c r="V516" s="230"/>
      <c r="W516" s="230"/>
      <c r="X516" s="230"/>
      <c r="Y516" s="230"/>
      <c r="Z516" s="230"/>
    </row>
    <row r="517" spans="1:26" ht="15.75" customHeight="1">
      <c r="A517" s="230"/>
      <c r="B517" s="230"/>
      <c r="C517" s="230"/>
      <c r="D517" s="230"/>
      <c r="E517" s="230"/>
      <c r="F517" s="230"/>
      <c r="G517" s="230"/>
      <c r="H517" s="230"/>
      <c r="I517" s="230"/>
      <c r="J517" s="230"/>
      <c r="K517" s="230"/>
      <c r="L517" s="230"/>
      <c r="M517" s="230"/>
      <c r="N517" s="230"/>
      <c r="O517" s="230"/>
      <c r="P517" s="230"/>
      <c r="Q517" s="230"/>
      <c r="R517" s="230"/>
      <c r="S517" s="230"/>
      <c r="T517" s="230"/>
      <c r="U517" s="230"/>
      <c r="V517" s="230"/>
      <c r="W517" s="230"/>
      <c r="X517" s="230"/>
      <c r="Y517" s="230"/>
      <c r="Z517" s="230"/>
    </row>
    <row r="518" spans="1:26" ht="15.75" customHeight="1">
      <c r="A518" s="230"/>
      <c r="B518" s="230"/>
      <c r="C518" s="230"/>
      <c r="D518" s="230"/>
      <c r="E518" s="230"/>
      <c r="F518" s="230"/>
      <c r="G518" s="230"/>
      <c r="H518" s="230"/>
      <c r="I518" s="230"/>
      <c r="J518" s="230"/>
      <c r="K518" s="230"/>
      <c r="L518" s="230"/>
      <c r="M518" s="230"/>
      <c r="N518" s="230"/>
      <c r="O518" s="230"/>
      <c r="P518" s="230"/>
      <c r="Q518" s="230"/>
      <c r="R518" s="230"/>
      <c r="S518" s="230"/>
      <c r="T518" s="230"/>
      <c r="U518" s="230"/>
      <c r="V518" s="230"/>
      <c r="W518" s="230"/>
      <c r="X518" s="230"/>
      <c r="Y518" s="230"/>
      <c r="Z518" s="230"/>
    </row>
    <row r="519" spans="1:26" ht="15.75" customHeight="1">
      <c r="A519" s="230"/>
      <c r="B519" s="230"/>
      <c r="C519" s="230"/>
      <c r="D519" s="230"/>
      <c r="E519" s="230"/>
      <c r="F519" s="230"/>
      <c r="G519" s="230"/>
      <c r="H519" s="230"/>
      <c r="I519" s="230"/>
      <c r="J519" s="230"/>
      <c r="K519" s="230"/>
      <c r="L519" s="230"/>
      <c r="M519" s="230"/>
      <c r="N519" s="230"/>
      <c r="O519" s="230"/>
      <c r="P519" s="230"/>
      <c r="Q519" s="230"/>
      <c r="R519" s="230"/>
      <c r="S519" s="230"/>
      <c r="T519" s="230"/>
      <c r="U519" s="230"/>
      <c r="V519" s="230"/>
      <c r="W519" s="230"/>
      <c r="X519" s="230"/>
      <c r="Y519" s="230"/>
      <c r="Z519" s="230"/>
    </row>
    <row r="520" spans="1:26" ht="15.75" customHeight="1">
      <c r="A520" s="230"/>
      <c r="B520" s="230"/>
      <c r="C520" s="230"/>
      <c r="D520" s="230"/>
      <c r="E520" s="230"/>
      <c r="F520" s="230"/>
      <c r="G520" s="230"/>
      <c r="H520" s="230"/>
      <c r="I520" s="230"/>
      <c r="J520" s="230"/>
      <c r="K520" s="230"/>
      <c r="L520" s="230"/>
      <c r="M520" s="230"/>
      <c r="N520" s="230"/>
      <c r="O520" s="230"/>
      <c r="P520" s="230"/>
      <c r="Q520" s="230"/>
      <c r="R520" s="230"/>
      <c r="S520" s="230"/>
      <c r="T520" s="230"/>
      <c r="U520" s="230"/>
      <c r="V520" s="230"/>
      <c r="W520" s="230"/>
      <c r="X520" s="230"/>
      <c r="Y520" s="230"/>
      <c r="Z520" s="230"/>
    </row>
    <row r="521" spans="1:26" ht="15.75" customHeight="1">
      <c r="A521" s="230"/>
      <c r="B521" s="230"/>
      <c r="C521" s="230"/>
      <c r="D521" s="230"/>
      <c r="E521" s="230"/>
      <c r="F521" s="230"/>
      <c r="G521" s="230"/>
      <c r="H521" s="230"/>
      <c r="I521" s="230"/>
      <c r="J521" s="230"/>
      <c r="K521" s="230"/>
      <c r="L521" s="230"/>
      <c r="M521" s="230"/>
      <c r="N521" s="230"/>
      <c r="O521" s="230"/>
      <c r="P521" s="230"/>
      <c r="Q521" s="230"/>
      <c r="R521" s="230"/>
      <c r="S521" s="230"/>
      <c r="T521" s="230"/>
      <c r="U521" s="230"/>
      <c r="V521" s="230"/>
      <c r="W521" s="230"/>
      <c r="X521" s="230"/>
      <c r="Y521" s="230"/>
      <c r="Z521" s="230"/>
    </row>
    <row r="522" spans="1:26" ht="15.75" customHeight="1">
      <c r="A522" s="230"/>
      <c r="B522" s="230"/>
      <c r="C522" s="230"/>
      <c r="D522" s="230"/>
      <c r="E522" s="230"/>
      <c r="F522" s="230"/>
      <c r="G522" s="230"/>
      <c r="H522" s="230"/>
      <c r="I522" s="230"/>
      <c r="J522" s="230"/>
      <c r="K522" s="230"/>
      <c r="L522" s="230"/>
      <c r="M522" s="230"/>
      <c r="N522" s="230"/>
      <c r="O522" s="230"/>
      <c r="P522" s="230"/>
      <c r="Q522" s="230"/>
      <c r="R522" s="230"/>
      <c r="S522" s="230"/>
      <c r="T522" s="230"/>
      <c r="U522" s="230"/>
      <c r="V522" s="230"/>
      <c r="W522" s="230"/>
      <c r="X522" s="230"/>
      <c r="Y522" s="230"/>
      <c r="Z522" s="230"/>
    </row>
    <row r="523" spans="1:26" ht="15.75" customHeight="1">
      <c r="A523" s="230"/>
      <c r="B523" s="230"/>
      <c r="C523" s="230"/>
      <c r="D523" s="230"/>
      <c r="E523" s="230"/>
      <c r="F523" s="230"/>
      <c r="G523" s="230"/>
      <c r="H523" s="230"/>
      <c r="I523" s="230"/>
      <c r="J523" s="230"/>
      <c r="K523" s="230"/>
      <c r="L523" s="230"/>
      <c r="M523" s="230"/>
      <c r="N523" s="230"/>
      <c r="O523" s="230"/>
      <c r="P523" s="230"/>
      <c r="Q523" s="230"/>
      <c r="R523" s="230"/>
      <c r="S523" s="230"/>
      <c r="T523" s="230"/>
      <c r="U523" s="230"/>
      <c r="V523" s="230"/>
      <c r="W523" s="230"/>
      <c r="X523" s="230"/>
      <c r="Y523" s="230"/>
      <c r="Z523" s="230"/>
    </row>
    <row r="524" spans="1:26" ht="15.75" customHeight="1">
      <c r="A524" s="230"/>
      <c r="B524" s="230"/>
      <c r="C524" s="230"/>
      <c r="D524" s="230"/>
      <c r="E524" s="230"/>
      <c r="F524" s="230"/>
      <c r="G524" s="230"/>
      <c r="H524" s="230"/>
      <c r="I524" s="230"/>
      <c r="J524" s="230"/>
      <c r="K524" s="230"/>
      <c r="L524" s="230"/>
      <c r="M524" s="230"/>
      <c r="N524" s="230"/>
      <c r="O524" s="230"/>
      <c r="P524" s="230"/>
      <c r="Q524" s="230"/>
      <c r="R524" s="230"/>
      <c r="S524" s="230"/>
      <c r="T524" s="230"/>
      <c r="U524" s="230"/>
      <c r="V524" s="230"/>
      <c r="W524" s="230"/>
      <c r="X524" s="230"/>
      <c r="Y524" s="230"/>
      <c r="Z524" s="230"/>
    </row>
    <row r="525" spans="1:26" ht="15.75" customHeight="1">
      <c r="A525" s="230"/>
      <c r="B525" s="230"/>
      <c r="C525" s="230"/>
      <c r="D525" s="230"/>
      <c r="E525" s="230"/>
      <c r="F525" s="230"/>
      <c r="G525" s="230"/>
      <c r="H525" s="230"/>
      <c r="I525" s="230"/>
      <c r="J525" s="230"/>
      <c r="K525" s="230"/>
      <c r="L525" s="230"/>
      <c r="M525" s="230"/>
      <c r="N525" s="230"/>
      <c r="O525" s="230"/>
      <c r="P525" s="230"/>
      <c r="Q525" s="230"/>
      <c r="R525" s="230"/>
      <c r="S525" s="230"/>
      <c r="T525" s="230"/>
      <c r="U525" s="230"/>
      <c r="V525" s="230"/>
      <c r="W525" s="230"/>
      <c r="X525" s="230"/>
      <c r="Y525" s="230"/>
      <c r="Z525" s="230"/>
    </row>
    <row r="526" spans="1:26" ht="15.75" customHeight="1">
      <c r="A526" s="230"/>
      <c r="B526" s="230"/>
      <c r="C526" s="230"/>
      <c r="D526" s="230"/>
      <c r="E526" s="230"/>
      <c r="F526" s="230"/>
      <c r="G526" s="230"/>
      <c r="H526" s="230"/>
      <c r="I526" s="230"/>
      <c r="J526" s="230"/>
      <c r="K526" s="230"/>
      <c r="L526" s="230"/>
      <c r="M526" s="230"/>
      <c r="N526" s="230"/>
      <c r="O526" s="230"/>
      <c r="P526" s="230"/>
      <c r="Q526" s="230"/>
      <c r="R526" s="230"/>
      <c r="S526" s="230"/>
      <c r="T526" s="230"/>
      <c r="U526" s="230"/>
      <c r="V526" s="230"/>
      <c r="W526" s="230"/>
      <c r="X526" s="230"/>
      <c r="Y526" s="230"/>
      <c r="Z526" s="230"/>
    </row>
    <row r="527" spans="1:26" ht="15.75" customHeight="1">
      <c r="A527" s="230"/>
      <c r="B527" s="230"/>
      <c r="C527" s="230"/>
      <c r="D527" s="230"/>
      <c r="E527" s="230"/>
      <c r="F527" s="230"/>
      <c r="G527" s="230"/>
      <c r="H527" s="230"/>
      <c r="I527" s="230"/>
      <c r="J527" s="230"/>
      <c r="K527" s="230"/>
      <c r="L527" s="230"/>
      <c r="M527" s="230"/>
      <c r="N527" s="230"/>
      <c r="O527" s="230"/>
      <c r="P527" s="230"/>
      <c r="Q527" s="230"/>
      <c r="R527" s="230"/>
      <c r="S527" s="230"/>
      <c r="T527" s="230"/>
      <c r="U527" s="230"/>
      <c r="V527" s="230"/>
      <c r="W527" s="230"/>
      <c r="X527" s="230"/>
      <c r="Y527" s="230"/>
      <c r="Z527" s="230"/>
    </row>
    <row r="528" spans="1:26" ht="15.75" customHeight="1">
      <c r="A528" s="230"/>
      <c r="B528" s="230"/>
      <c r="C528" s="230"/>
      <c r="D528" s="230"/>
      <c r="E528" s="230"/>
      <c r="F528" s="230"/>
      <c r="G528" s="230"/>
      <c r="H528" s="230"/>
      <c r="I528" s="230"/>
      <c r="J528" s="230"/>
      <c r="K528" s="230"/>
      <c r="L528" s="230"/>
      <c r="M528" s="230"/>
      <c r="N528" s="230"/>
      <c r="O528" s="230"/>
      <c r="P528" s="230"/>
      <c r="Q528" s="230"/>
      <c r="R528" s="230"/>
      <c r="S528" s="230"/>
      <c r="T528" s="230"/>
      <c r="U528" s="230"/>
      <c r="V528" s="230"/>
      <c r="W528" s="230"/>
      <c r="X528" s="230"/>
      <c r="Y528" s="230"/>
      <c r="Z528" s="230"/>
    </row>
    <row r="529" spans="1:26" ht="15.75" customHeight="1">
      <c r="A529" s="230"/>
      <c r="B529" s="230"/>
      <c r="C529" s="230"/>
      <c r="D529" s="230"/>
      <c r="E529" s="230"/>
      <c r="F529" s="230"/>
      <c r="G529" s="230"/>
      <c r="H529" s="230"/>
      <c r="I529" s="230"/>
      <c r="J529" s="230"/>
      <c r="K529" s="230"/>
      <c r="L529" s="230"/>
      <c r="M529" s="230"/>
      <c r="N529" s="230"/>
      <c r="O529" s="230"/>
      <c r="P529" s="230"/>
      <c r="Q529" s="230"/>
      <c r="R529" s="230"/>
      <c r="S529" s="230"/>
      <c r="T529" s="230"/>
      <c r="U529" s="230"/>
      <c r="V529" s="230"/>
      <c r="W529" s="230"/>
      <c r="X529" s="230"/>
      <c r="Y529" s="230"/>
      <c r="Z529" s="230"/>
    </row>
    <row r="530" spans="1:26" ht="15.75" customHeight="1">
      <c r="A530" s="230"/>
      <c r="B530" s="230"/>
      <c r="C530" s="230"/>
      <c r="D530" s="230"/>
      <c r="E530" s="230"/>
      <c r="F530" s="230"/>
      <c r="G530" s="230"/>
      <c r="H530" s="230"/>
      <c r="I530" s="230"/>
      <c r="J530" s="230"/>
      <c r="K530" s="230"/>
      <c r="L530" s="230"/>
      <c r="M530" s="230"/>
      <c r="N530" s="230"/>
      <c r="O530" s="230"/>
      <c r="P530" s="230"/>
      <c r="Q530" s="230"/>
      <c r="R530" s="230"/>
      <c r="S530" s="230"/>
      <c r="T530" s="230"/>
      <c r="U530" s="230"/>
      <c r="V530" s="230"/>
      <c r="W530" s="230"/>
      <c r="X530" s="230"/>
      <c r="Y530" s="230"/>
      <c r="Z530" s="230"/>
    </row>
    <row r="531" spans="1:26" ht="15.75" customHeight="1">
      <c r="A531" s="230"/>
      <c r="B531" s="230"/>
      <c r="C531" s="230"/>
      <c r="D531" s="230"/>
      <c r="E531" s="230"/>
      <c r="F531" s="230"/>
      <c r="G531" s="230"/>
      <c r="H531" s="230"/>
      <c r="I531" s="230"/>
      <c r="J531" s="230"/>
      <c r="K531" s="230"/>
      <c r="L531" s="230"/>
      <c r="M531" s="230"/>
      <c r="N531" s="230"/>
      <c r="O531" s="230"/>
      <c r="P531" s="230"/>
      <c r="Q531" s="230"/>
      <c r="R531" s="230"/>
      <c r="S531" s="230"/>
      <c r="T531" s="230"/>
      <c r="U531" s="230"/>
      <c r="V531" s="230"/>
      <c r="W531" s="230"/>
      <c r="X531" s="230"/>
      <c r="Y531" s="230"/>
      <c r="Z531" s="230"/>
    </row>
    <row r="532" spans="1:26" ht="15.75" customHeight="1">
      <c r="A532" s="230"/>
      <c r="B532" s="230"/>
      <c r="C532" s="230"/>
      <c r="D532" s="230"/>
      <c r="E532" s="230"/>
      <c r="F532" s="230"/>
      <c r="G532" s="230"/>
      <c r="H532" s="230"/>
      <c r="I532" s="230"/>
      <c r="J532" s="230"/>
      <c r="K532" s="230"/>
      <c r="L532" s="230"/>
      <c r="M532" s="230"/>
      <c r="N532" s="230"/>
      <c r="O532" s="230"/>
      <c r="P532" s="230"/>
      <c r="Q532" s="230"/>
      <c r="R532" s="230"/>
      <c r="S532" s="230"/>
      <c r="T532" s="230"/>
      <c r="U532" s="230"/>
      <c r="V532" s="230"/>
      <c r="W532" s="230"/>
      <c r="X532" s="230"/>
      <c r="Y532" s="230"/>
      <c r="Z532" s="230"/>
    </row>
    <row r="533" spans="1:26" ht="15.75" customHeight="1">
      <c r="A533" s="230"/>
      <c r="B533" s="230"/>
      <c r="C533" s="230"/>
      <c r="D533" s="230"/>
      <c r="E533" s="230"/>
      <c r="F533" s="230"/>
      <c r="G533" s="230"/>
      <c r="H533" s="230"/>
      <c r="I533" s="230"/>
      <c r="J533" s="230"/>
      <c r="K533" s="230"/>
      <c r="L533" s="230"/>
      <c r="M533" s="230"/>
      <c r="N533" s="230"/>
      <c r="O533" s="230"/>
      <c r="P533" s="230"/>
      <c r="Q533" s="230"/>
      <c r="R533" s="230"/>
      <c r="S533" s="230"/>
      <c r="T533" s="230"/>
      <c r="U533" s="230"/>
      <c r="V533" s="230"/>
      <c r="W533" s="230"/>
      <c r="X533" s="230"/>
      <c r="Y533" s="230"/>
      <c r="Z533" s="230"/>
    </row>
    <row r="534" spans="1:26" ht="15.75" customHeight="1">
      <c r="A534" s="230"/>
      <c r="B534" s="230"/>
      <c r="C534" s="230"/>
      <c r="D534" s="230"/>
      <c r="E534" s="230"/>
      <c r="F534" s="230"/>
      <c r="G534" s="230"/>
      <c r="H534" s="230"/>
      <c r="I534" s="230"/>
      <c r="J534" s="230"/>
      <c r="K534" s="230"/>
      <c r="L534" s="230"/>
      <c r="M534" s="230"/>
      <c r="N534" s="230"/>
      <c r="O534" s="230"/>
      <c r="P534" s="230"/>
      <c r="Q534" s="230"/>
      <c r="R534" s="230"/>
      <c r="S534" s="230"/>
      <c r="T534" s="230"/>
      <c r="U534" s="230"/>
      <c r="V534" s="230"/>
      <c r="W534" s="230"/>
      <c r="X534" s="230"/>
      <c r="Y534" s="230"/>
      <c r="Z534" s="230"/>
    </row>
    <row r="535" spans="1:26" ht="15.75" customHeight="1">
      <c r="A535" s="230"/>
      <c r="B535" s="230"/>
      <c r="C535" s="230"/>
      <c r="D535" s="230"/>
      <c r="E535" s="230"/>
      <c r="F535" s="230"/>
      <c r="G535" s="230"/>
      <c r="H535" s="230"/>
      <c r="I535" s="230"/>
      <c r="J535" s="230"/>
      <c r="K535" s="230"/>
      <c r="L535" s="230"/>
      <c r="M535" s="230"/>
      <c r="N535" s="230"/>
      <c r="O535" s="230"/>
      <c r="P535" s="230"/>
      <c r="Q535" s="230"/>
      <c r="R535" s="230"/>
      <c r="S535" s="230"/>
      <c r="T535" s="230"/>
      <c r="U535" s="230"/>
      <c r="V535" s="230"/>
      <c r="W535" s="230"/>
      <c r="X535" s="230"/>
      <c r="Y535" s="230"/>
      <c r="Z535" s="230"/>
    </row>
    <row r="536" spans="1:26" ht="15.75" customHeight="1">
      <c r="A536" s="230"/>
      <c r="B536" s="230"/>
      <c r="C536" s="230"/>
      <c r="D536" s="230"/>
      <c r="E536" s="230"/>
      <c r="F536" s="230"/>
      <c r="G536" s="230"/>
      <c r="H536" s="230"/>
      <c r="I536" s="230"/>
      <c r="J536" s="230"/>
      <c r="K536" s="230"/>
      <c r="L536" s="230"/>
      <c r="M536" s="230"/>
      <c r="N536" s="230"/>
      <c r="O536" s="230"/>
      <c r="P536" s="230"/>
      <c r="Q536" s="230"/>
      <c r="R536" s="230"/>
      <c r="S536" s="230"/>
      <c r="T536" s="230"/>
      <c r="U536" s="230"/>
      <c r="V536" s="230"/>
      <c r="W536" s="230"/>
      <c r="X536" s="230"/>
      <c r="Y536" s="230"/>
      <c r="Z536" s="230"/>
    </row>
    <row r="537" spans="1:26" ht="15.75" customHeight="1">
      <c r="A537" s="230"/>
      <c r="B537" s="230"/>
      <c r="C537" s="230"/>
      <c r="D537" s="230"/>
      <c r="E537" s="230"/>
      <c r="F537" s="230"/>
      <c r="G537" s="230"/>
      <c r="H537" s="230"/>
      <c r="I537" s="230"/>
      <c r="J537" s="230"/>
      <c r="K537" s="230"/>
      <c r="L537" s="230"/>
      <c r="M537" s="230"/>
      <c r="N537" s="230"/>
      <c r="O537" s="230"/>
      <c r="P537" s="230"/>
      <c r="Q537" s="230"/>
      <c r="R537" s="230"/>
      <c r="S537" s="230"/>
      <c r="T537" s="230"/>
      <c r="U537" s="230"/>
      <c r="V537" s="230"/>
      <c r="W537" s="230"/>
      <c r="X537" s="230"/>
      <c r="Y537" s="230"/>
      <c r="Z537" s="230"/>
    </row>
    <row r="538" spans="1:26" ht="15.75" customHeight="1">
      <c r="A538" s="230"/>
      <c r="B538" s="230"/>
      <c r="C538" s="230"/>
      <c r="D538" s="230"/>
      <c r="E538" s="230"/>
      <c r="F538" s="230"/>
      <c r="G538" s="230"/>
      <c r="H538" s="230"/>
      <c r="I538" s="230"/>
      <c r="J538" s="230"/>
      <c r="K538" s="230"/>
      <c r="L538" s="230"/>
      <c r="M538" s="230"/>
      <c r="N538" s="230"/>
      <c r="O538" s="230"/>
      <c r="P538" s="230"/>
      <c r="Q538" s="230"/>
      <c r="R538" s="230"/>
      <c r="S538" s="230"/>
      <c r="T538" s="230"/>
      <c r="U538" s="230"/>
      <c r="V538" s="230"/>
      <c r="W538" s="230"/>
      <c r="X538" s="230"/>
      <c r="Y538" s="230"/>
      <c r="Z538" s="230"/>
    </row>
    <row r="539" spans="1:26" ht="15.75" customHeight="1">
      <c r="A539" s="230"/>
      <c r="B539" s="230"/>
      <c r="C539" s="230"/>
      <c r="D539" s="230"/>
      <c r="E539" s="230"/>
      <c r="F539" s="230"/>
      <c r="G539" s="230"/>
      <c r="H539" s="230"/>
      <c r="I539" s="230"/>
      <c r="J539" s="230"/>
      <c r="K539" s="230"/>
      <c r="L539" s="230"/>
      <c r="M539" s="230"/>
      <c r="N539" s="230"/>
      <c r="O539" s="230"/>
      <c r="P539" s="230"/>
      <c r="Q539" s="230"/>
      <c r="R539" s="230"/>
      <c r="S539" s="230"/>
      <c r="T539" s="230"/>
      <c r="U539" s="230"/>
      <c r="V539" s="230"/>
      <c r="W539" s="230"/>
      <c r="X539" s="230"/>
      <c r="Y539" s="230"/>
      <c r="Z539" s="230"/>
    </row>
    <row r="540" spans="1:26" ht="15.75" customHeight="1">
      <c r="A540" s="230"/>
      <c r="B540" s="230"/>
      <c r="C540" s="230"/>
      <c r="D540" s="230"/>
      <c r="E540" s="230"/>
      <c r="F540" s="230"/>
      <c r="G540" s="230"/>
      <c r="H540" s="230"/>
      <c r="I540" s="230"/>
      <c r="J540" s="230"/>
      <c r="K540" s="230"/>
      <c r="L540" s="230"/>
      <c r="M540" s="230"/>
      <c r="N540" s="230"/>
      <c r="O540" s="230"/>
      <c r="P540" s="230"/>
      <c r="Q540" s="230"/>
      <c r="R540" s="230"/>
      <c r="S540" s="230"/>
      <c r="T540" s="230"/>
      <c r="U540" s="230"/>
      <c r="V540" s="230"/>
      <c r="W540" s="230"/>
      <c r="X540" s="230"/>
      <c r="Y540" s="230"/>
      <c r="Z540" s="230"/>
    </row>
    <row r="541" spans="1:26" ht="15.75" customHeight="1">
      <c r="A541" s="230"/>
      <c r="B541" s="230"/>
      <c r="C541" s="230"/>
      <c r="D541" s="230"/>
      <c r="E541" s="230"/>
      <c r="F541" s="230"/>
      <c r="G541" s="230"/>
      <c r="H541" s="230"/>
      <c r="I541" s="230"/>
      <c r="J541" s="230"/>
      <c r="K541" s="230"/>
      <c r="L541" s="230"/>
      <c r="M541" s="230"/>
      <c r="N541" s="230"/>
      <c r="O541" s="230"/>
      <c r="P541" s="230"/>
      <c r="Q541" s="230"/>
      <c r="R541" s="230"/>
      <c r="S541" s="230"/>
      <c r="T541" s="230"/>
      <c r="U541" s="230"/>
      <c r="V541" s="230"/>
      <c r="W541" s="230"/>
      <c r="X541" s="230"/>
      <c r="Y541" s="230"/>
      <c r="Z541" s="230"/>
    </row>
    <row r="542" spans="1:26" ht="15.75" customHeight="1">
      <c r="A542" s="230"/>
      <c r="B542" s="230"/>
      <c r="C542" s="230"/>
      <c r="D542" s="230"/>
      <c r="E542" s="230"/>
      <c r="F542" s="230"/>
      <c r="G542" s="230"/>
      <c r="H542" s="230"/>
      <c r="I542" s="230"/>
      <c r="J542" s="230"/>
      <c r="K542" s="230"/>
      <c r="L542" s="230"/>
      <c r="M542" s="230"/>
      <c r="N542" s="230"/>
      <c r="O542" s="230"/>
      <c r="P542" s="230"/>
      <c r="Q542" s="230"/>
      <c r="R542" s="230"/>
      <c r="S542" s="230"/>
      <c r="T542" s="230"/>
      <c r="U542" s="230"/>
      <c r="V542" s="230"/>
      <c r="W542" s="230"/>
      <c r="X542" s="230"/>
      <c r="Y542" s="230"/>
      <c r="Z542" s="230"/>
    </row>
    <row r="543" spans="1:26" ht="15.75" customHeight="1">
      <c r="A543" s="230"/>
      <c r="B543" s="230"/>
      <c r="C543" s="230"/>
      <c r="D543" s="230"/>
      <c r="E543" s="230"/>
      <c r="F543" s="230"/>
      <c r="G543" s="230"/>
      <c r="H543" s="230"/>
      <c r="I543" s="230"/>
      <c r="J543" s="230"/>
      <c r="K543" s="230"/>
      <c r="L543" s="230"/>
      <c r="M543" s="230"/>
      <c r="N543" s="230"/>
      <c r="O543" s="230"/>
      <c r="P543" s="230"/>
      <c r="Q543" s="230"/>
      <c r="R543" s="230"/>
      <c r="S543" s="230"/>
      <c r="T543" s="230"/>
      <c r="U543" s="230"/>
      <c r="V543" s="230"/>
      <c r="W543" s="230"/>
      <c r="X543" s="230"/>
      <c r="Y543" s="230"/>
      <c r="Z543" s="230"/>
    </row>
    <row r="544" spans="1:26" ht="15.75" customHeight="1">
      <c r="A544" s="230"/>
      <c r="B544" s="230"/>
      <c r="C544" s="230"/>
      <c r="D544" s="230"/>
      <c r="E544" s="230"/>
      <c r="F544" s="230"/>
      <c r="G544" s="230"/>
      <c r="H544" s="230"/>
      <c r="I544" s="230"/>
      <c r="J544" s="230"/>
      <c r="K544" s="230"/>
      <c r="L544" s="230"/>
      <c r="M544" s="230"/>
      <c r="N544" s="230"/>
      <c r="O544" s="230"/>
      <c r="P544" s="230"/>
      <c r="Q544" s="230"/>
      <c r="R544" s="230"/>
      <c r="S544" s="230"/>
      <c r="T544" s="230"/>
      <c r="U544" s="230"/>
      <c r="V544" s="230"/>
      <c r="W544" s="230"/>
      <c r="X544" s="230"/>
      <c r="Y544" s="230"/>
      <c r="Z544" s="230"/>
    </row>
    <row r="545" spans="1:26" ht="15.75" customHeight="1">
      <c r="A545" s="230"/>
      <c r="B545" s="230"/>
      <c r="C545" s="230"/>
      <c r="D545" s="230"/>
      <c r="E545" s="230"/>
      <c r="F545" s="230"/>
      <c r="G545" s="230"/>
      <c r="H545" s="230"/>
      <c r="I545" s="230"/>
      <c r="J545" s="230"/>
      <c r="K545" s="230"/>
      <c r="L545" s="230"/>
      <c r="M545" s="230"/>
      <c r="N545" s="230"/>
      <c r="O545" s="230"/>
      <c r="P545" s="230"/>
      <c r="Q545" s="230"/>
      <c r="R545" s="230"/>
      <c r="S545" s="230"/>
      <c r="T545" s="230"/>
      <c r="U545" s="230"/>
      <c r="V545" s="230"/>
      <c r="W545" s="230"/>
      <c r="X545" s="230"/>
      <c r="Y545" s="230"/>
      <c r="Z545" s="230"/>
    </row>
    <row r="546" spans="1:26" ht="15.75" customHeight="1">
      <c r="A546" s="230"/>
      <c r="B546" s="230"/>
      <c r="C546" s="230"/>
      <c r="D546" s="230"/>
      <c r="E546" s="230"/>
      <c r="F546" s="230"/>
      <c r="G546" s="230"/>
      <c r="H546" s="230"/>
      <c r="I546" s="230"/>
      <c r="J546" s="230"/>
      <c r="K546" s="230"/>
      <c r="L546" s="230"/>
      <c r="M546" s="230"/>
      <c r="N546" s="230"/>
      <c r="O546" s="230"/>
      <c r="P546" s="230"/>
      <c r="Q546" s="230"/>
      <c r="R546" s="230"/>
      <c r="S546" s="230"/>
      <c r="T546" s="230"/>
      <c r="U546" s="230"/>
      <c r="V546" s="230"/>
      <c r="W546" s="230"/>
      <c r="X546" s="230"/>
      <c r="Y546" s="230"/>
      <c r="Z546" s="230"/>
    </row>
    <row r="547" spans="1:26" ht="15.75" customHeight="1">
      <c r="A547" s="230"/>
      <c r="B547" s="230"/>
      <c r="C547" s="230"/>
      <c r="D547" s="230"/>
      <c r="E547" s="230"/>
      <c r="F547" s="230"/>
      <c r="G547" s="230"/>
      <c r="H547" s="230"/>
      <c r="I547" s="230"/>
      <c r="J547" s="230"/>
      <c r="K547" s="230"/>
      <c r="L547" s="230"/>
      <c r="M547" s="230"/>
      <c r="N547" s="230"/>
      <c r="O547" s="230"/>
      <c r="P547" s="230"/>
      <c r="Q547" s="230"/>
      <c r="R547" s="230"/>
      <c r="S547" s="230"/>
      <c r="T547" s="230"/>
      <c r="U547" s="230"/>
      <c r="V547" s="230"/>
      <c r="W547" s="230"/>
      <c r="X547" s="230"/>
      <c r="Y547" s="230"/>
      <c r="Z547" s="230"/>
    </row>
    <row r="548" spans="1:26" ht="15.75" customHeight="1">
      <c r="A548" s="230"/>
      <c r="B548" s="230"/>
      <c r="C548" s="230"/>
      <c r="D548" s="230"/>
      <c r="E548" s="230"/>
      <c r="F548" s="230"/>
      <c r="G548" s="230"/>
      <c r="H548" s="230"/>
      <c r="I548" s="230"/>
      <c r="J548" s="230"/>
      <c r="K548" s="230"/>
      <c r="L548" s="230"/>
      <c r="M548" s="230"/>
      <c r="N548" s="230"/>
      <c r="O548" s="230"/>
      <c r="P548" s="230"/>
      <c r="Q548" s="230"/>
      <c r="R548" s="230"/>
      <c r="S548" s="230"/>
      <c r="T548" s="230"/>
      <c r="U548" s="230"/>
      <c r="V548" s="230"/>
      <c r="W548" s="230"/>
      <c r="X548" s="230"/>
      <c r="Y548" s="230"/>
      <c r="Z548" s="230"/>
    </row>
    <row r="549" spans="1:26" ht="15.75" customHeight="1">
      <c r="A549" s="230"/>
      <c r="B549" s="230"/>
      <c r="C549" s="230"/>
      <c r="D549" s="230"/>
      <c r="E549" s="230"/>
      <c r="F549" s="230"/>
      <c r="G549" s="230"/>
      <c r="H549" s="230"/>
      <c r="I549" s="230"/>
      <c r="J549" s="230"/>
      <c r="K549" s="230"/>
      <c r="L549" s="230"/>
      <c r="M549" s="230"/>
      <c r="N549" s="230"/>
      <c r="O549" s="230"/>
      <c r="P549" s="230"/>
      <c r="Q549" s="230"/>
      <c r="R549" s="230"/>
      <c r="S549" s="230"/>
      <c r="T549" s="230"/>
      <c r="U549" s="230"/>
      <c r="V549" s="230"/>
      <c r="W549" s="230"/>
      <c r="X549" s="230"/>
      <c r="Y549" s="230"/>
      <c r="Z549" s="230"/>
    </row>
    <row r="550" spans="1:26" ht="15.75" customHeight="1">
      <c r="A550" s="230"/>
      <c r="B550" s="230"/>
      <c r="C550" s="230"/>
      <c r="D550" s="230"/>
      <c r="E550" s="230"/>
      <c r="F550" s="230"/>
      <c r="G550" s="230"/>
      <c r="H550" s="230"/>
      <c r="I550" s="230"/>
      <c r="J550" s="230"/>
      <c r="K550" s="230"/>
      <c r="L550" s="230"/>
      <c r="M550" s="230"/>
      <c r="N550" s="230"/>
      <c r="O550" s="230"/>
      <c r="P550" s="230"/>
      <c r="Q550" s="230"/>
      <c r="R550" s="230"/>
      <c r="S550" s="230"/>
      <c r="T550" s="230"/>
      <c r="U550" s="230"/>
      <c r="V550" s="230"/>
      <c r="W550" s="230"/>
      <c r="X550" s="230"/>
      <c r="Y550" s="230"/>
      <c r="Z550" s="230"/>
    </row>
    <row r="551" spans="1:26" ht="15.75" customHeight="1">
      <c r="A551" s="230"/>
      <c r="B551" s="230"/>
      <c r="C551" s="230"/>
      <c r="D551" s="230"/>
      <c r="E551" s="230"/>
      <c r="F551" s="230"/>
      <c r="G551" s="230"/>
      <c r="H551" s="230"/>
      <c r="I551" s="230"/>
      <c r="J551" s="230"/>
      <c r="K551" s="230"/>
      <c r="L551" s="230"/>
      <c r="M551" s="230"/>
      <c r="N551" s="230"/>
      <c r="O551" s="230"/>
      <c r="P551" s="230"/>
      <c r="Q551" s="230"/>
      <c r="R551" s="230"/>
      <c r="S551" s="230"/>
      <c r="T551" s="230"/>
      <c r="U551" s="230"/>
      <c r="V551" s="230"/>
      <c r="W551" s="230"/>
      <c r="X551" s="230"/>
      <c r="Y551" s="230"/>
      <c r="Z551" s="230"/>
    </row>
    <row r="552" spans="1:26" ht="15.75" customHeight="1">
      <c r="A552" s="230"/>
      <c r="B552" s="230"/>
      <c r="C552" s="230"/>
      <c r="D552" s="230"/>
      <c r="E552" s="230"/>
      <c r="F552" s="230"/>
      <c r="G552" s="230"/>
      <c r="H552" s="230"/>
      <c r="I552" s="230"/>
      <c r="J552" s="230"/>
      <c r="K552" s="230"/>
      <c r="L552" s="230"/>
      <c r="M552" s="230"/>
      <c r="N552" s="230"/>
      <c r="O552" s="230"/>
      <c r="P552" s="230"/>
      <c r="Q552" s="230"/>
      <c r="R552" s="230"/>
      <c r="S552" s="230"/>
      <c r="T552" s="230"/>
      <c r="U552" s="230"/>
      <c r="V552" s="230"/>
      <c r="W552" s="230"/>
      <c r="X552" s="230"/>
      <c r="Y552" s="230"/>
      <c r="Z552" s="230"/>
    </row>
    <row r="553" spans="1:26" ht="15.75" customHeight="1">
      <c r="A553" s="230"/>
      <c r="B553" s="230"/>
      <c r="C553" s="230"/>
      <c r="D553" s="230"/>
      <c r="E553" s="230"/>
      <c r="F553" s="230"/>
      <c r="G553" s="230"/>
      <c r="H553" s="230"/>
      <c r="I553" s="230"/>
      <c r="J553" s="230"/>
      <c r="K553" s="230"/>
      <c r="L553" s="230"/>
      <c r="M553" s="230"/>
      <c r="N553" s="230"/>
      <c r="O553" s="230"/>
      <c r="P553" s="230"/>
      <c r="Q553" s="230"/>
      <c r="R553" s="230"/>
      <c r="S553" s="230"/>
      <c r="T553" s="230"/>
      <c r="U553" s="230"/>
      <c r="V553" s="230"/>
      <c r="W553" s="230"/>
      <c r="X553" s="230"/>
      <c r="Y553" s="230"/>
      <c r="Z553" s="230"/>
    </row>
    <row r="554" spans="1:26" ht="15.75" customHeight="1">
      <c r="A554" s="230"/>
      <c r="B554" s="230"/>
      <c r="C554" s="230"/>
      <c r="D554" s="230"/>
      <c r="E554" s="230"/>
      <c r="F554" s="230"/>
      <c r="G554" s="230"/>
      <c r="H554" s="230"/>
      <c r="I554" s="230"/>
      <c r="J554" s="230"/>
      <c r="K554" s="230"/>
      <c r="L554" s="230"/>
      <c r="M554" s="230"/>
      <c r="N554" s="230"/>
      <c r="O554" s="230"/>
      <c r="P554" s="230"/>
      <c r="Q554" s="230"/>
      <c r="R554" s="230"/>
      <c r="S554" s="230"/>
      <c r="T554" s="230"/>
      <c r="U554" s="230"/>
      <c r="V554" s="230"/>
      <c r="W554" s="230"/>
      <c r="X554" s="230"/>
      <c r="Y554" s="230"/>
      <c r="Z554" s="230"/>
    </row>
    <row r="555" spans="1:26" ht="15.75" customHeight="1">
      <c r="A555" s="230"/>
      <c r="B555" s="230"/>
      <c r="C555" s="230"/>
      <c r="D555" s="230"/>
      <c r="E555" s="230"/>
      <c r="F555" s="230"/>
      <c r="G555" s="230"/>
      <c r="H555" s="230"/>
      <c r="I555" s="230"/>
      <c r="J555" s="230"/>
      <c r="K555" s="230"/>
      <c r="L555" s="230"/>
      <c r="M555" s="230"/>
      <c r="N555" s="230"/>
      <c r="O555" s="230"/>
      <c r="P555" s="230"/>
      <c r="Q555" s="230"/>
      <c r="R555" s="230"/>
      <c r="S555" s="230"/>
      <c r="T555" s="230"/>
      <c r="U555" s="230"/>
      <c r="V555" s="230"/>
      <c r="W555" s="230"/>
      <c r="X555" s="230"/>
      <c r="Y555" s="230"/>
      <c r="Z555" s="230"/>
    </row>
    <row r="556" spans="1:26" ht="15.75" customHeight="1">
      <c r="A556" s="230"/>
      <c r="B556" s="230"/>
      <c r="C556" s="230"/>
      <c r="D556" s="230"/>
      <c r="E556" s="230"/>
      <c r="F556" s="230"/>
      <c r="G556" s="230"/>
      <c r="H556" s="230"/>
      <c r="I556" s="230"/>
      <c r="J556" s="230"/>
      <c r="K556" s="230"/>
      <c r="L556" s="230"/>
      <c r="M556" s="230"/>
      <c r="N556" s="230"/>
      <c r="O556" s="230"/>
      <c r="P556" s="230"/>
      <c r="Q556" s="230"/>
      <c r="R556" s="230"/>
      <c r="S556" s="230"/>
      <c r="T556" s="230"/>
      <c r="U556" s="230"/>
      <c r="V556" s="230"/>
      <c r="W556" s="230"/>
      <c r="X556" s="230"/>
      <c r="Y556" s="230"/>
      <c r="Z556" s="230"/>
    </row>
    <row r="557" spans="1:26" ht="15.75" customHeight="1">
      <c r="A557" s="230"/>
      <c r="B557" s="230"/>
      <c r="C557" s="230"/>
      <c r="D557" s="230"/>
      <c r="E557" s="230"/>
      <c r="F557" s="230"/>
      <c r="G557" s="230"/>
      <c r="H557" s="230"/>
      <c r="I557" s="230"/>
      <c r="J557" s="230"/>
      <c r="K557" s="230"/>
      <c r="L557" s="230"/>
      <c r="M557" s="230"/>
      <c r="N557" s="230"/>
      <c r="O557" s="230"/>
      <c r="P557" s="230"/>
      <c r="Q557" s="230"/>
      <c r="R557" s="230"/>
      <c r="S557" s="230"/>
      <c r="T557" s="230"/>
      <c r="U557" s="230"/>
      <c r="V557" s="230"/>
      <c r="W557" s="230"/>
      <c r="X557" s="230"/>
      <c r="Y557" s="230"/>
      <c r="Z557" s="230"/>
    </row>
    <row r="558" spans="1:26" ht="15.75" customHeight="1">
      <c r="A558" s="230"/>
      <c r="B558" s="230"/>
      <c r="C558" s="230"/>
      <c r="D558" s="230"/>
      <c r="E558" s="230"/>
      <c r="F558" s="230"/>
      <c r="G558" s="230"/>
      <c r="H558" s="230"/>
      <c r="I558" s="230"/>
      <c r="J558" s="230"/>
      <c r="K558" s="230"/>
      <c r="L558" s="230"/>
      <c r="M558" s="230"/>
      <c r="N558" s="230"/>
      <c r="O558" s="230"/>
      <c r="P558" s="230"/>
      <c r="Q558" s="230"/>
      <c r="R558" s="230"/>
      <c r="S558" s="230"/>
      <c r="T558" s="230"/>
      <c r="U558" s="230"/>
      <c r="V558" s="230"/>
      <c r="W558" s="230"/>
      <c r="X558" s="230"/>
      <c r="Y558" s="230"/>
      <c r="Z558" s="230"/>
    </row>
    <row r="559" spans="1:26" ht="15.75" customHeight="1">
      <c r="A559" s="230"/>
      <c r="B559" s="230"/>
      <c r="C559" s="230"/>
      <c r="D559" s="230"/>
      <c r="E559" s="230"/>
      <c r="F559" s="230"/>
      <c r="G559" s="230"/>
      <c r="H559" s="230"/>
      <c r="I559" s="230"/>
      <c r="J559" s="230"/>
      <c r="K559" s="230"/>
      <c r="L559" s="230"/>
      <c r="M559" s="230"/>
      <c r="N559" s="230"/>
      <c r="O559" s="230"/>
      <c r="P559" s="230"/>
      <c r="Q559" s="230"/>
      <c r="R559" s="230"/>
      <c r="S559" s="230"/>
      <c r="T559" s="230"/>
      <c r="U559" s="230"/>
      <c r="V559" s="230"/>
      <c r="W559" s="230"/>
      <c r="X559" s="230"/>
      <c r="Y559" s="230"/>
      <c r="Z559" s="230"/>
    </row>
    <row r="560" spans="1:26" ht="15.75" customHeight="1">
      <c r="A560" s="230"/>
      <c r="B560" s="230"/>
      <c r="C560" s="230"/>
      <c r="D560" s="230"/>
      <c r="E560" s="230"/>
      <c r="F560" s="230"/>
      <c r="G560" s="230"/>
      <c r="H560" s="230"/>
      <c r="I560" s="230"/>
      <c r="J560" s="230"/>
      <c r="K560" s="230"/>
      <c r="L560" s="230"/>
      <c r="M560" s="230"/>
      <c r="N560" s="230"/>
      <c r="O560" s="230"/>
      <c r="P560" s="230"/>
      <c r="Q560" s="230"/>
      <c r="R560" s="230"/>
      <c r="S560" s="230"/>
      <c r="T560" s="230"/>
      <c r="U560" s="230"/>
      <c r="V560" s="230"/>
      <c r="W560" s="230"/>
      <c r="X560" s="230"/>
      <c r="Y560" s="230"/>
      <c r="Z560" s="230"/>
    </row>
    <row r="561" spans="1:26" ht="15.75" customHeight="1">
      <c r="A561" s="230"/>
      <c r="B561" s="230"/>
      <c r="C561" s="230"/>
      <c r="D561" s="230"/>
      <c r="E561" s="230"/>
      <c r="F561" s="230"/>
      <c r="G561" s="230"/>
      <c r="H561" s="230"/>
      <c r="I561" s="230"/>
      <c r="J561" s="230"/>
      <c r="K561" s="230"/>
      <c r="L561" s="230"/>
      <c r="M561" s="230"/>
      <c r="N561" s="230"/>
      <c r="O561" s="230"/>
      <c r="P561" s="230"/>
      <c r="Q561" s="230"/>
      <c r="R561" s="230"/>
      <c r="S561" s="230"/>
      <c r="T561" s="230"/>
      <c r="U561" s="230"/>
      <c r="V561" s="230"/>
      <c r="W561" s="230"/>
      <c r="X561" s="230"/>
      <c r="Y561" s="230"/>
      <c r="Z561" s="230"/>
    </row>
    <row r="562" spans="1:26" ht="15.75" customHeight="1">
      <c r="A562" s="230"/>
      <c r="B562" s="230"/>
      <c r="C562" s="230"/>
      <c r="D562" s="230"/>
      <c r="E562" s="230"/>
      <c r="F562" s="230"/>
      <c r="G562" s="230"/>
      <c r="H562" s="230"/>
      <c r="I562" s="230"/>
      <c r="J562" s="230"/>
      <c r="K562" s="230"/>
      <c r="L562" s="230"/>
      <c r="M562" s="230"/>
      <c r="N562" s="230"/>
      <c r="O562" s="230"/>
      <c r="P562" s="230"/>
      <c r="Q562" s="230"/>
      <c r="R562" s="230"/>
      <c r="S562" s="230"/>
      <c r="T562" s="230"/>
      <c r="U562" s="230"/>
      <c r="V562" s="230"/>
      <c r="W562" s="230"/>
      <c r="X562" s="230"/>
      <c r="Y562" s="230"/>
      <c r="Z562" s="230"/>
    </row>
    <row r="563" spans="1:26" ht="15.75" customHeight="1">
      <c r="A563" s="230"/>
      <c r="B563" s="230"/>
      <c r="C563" s="230"/>
      <c r="D563" s="230"/>
      <c r="E563" s="230"/>
      <c r="F563" s="230"/>
      <c r="G563" s="230"/>
      <c r="H563" s="230"/>
      <c r="I563" s="230"/>
      <c r="J563" s="230"/>
      <c r="K563" s="230"/>
      <c r="L563" s="230"/>
      <c r="M563" s="230"/>
      <c r="N563" s="230"/>
      <c r="O563" s="230"/>
      <c r="P563" s="230"/>
      <c r="Q563" s="230"/>
      <c r="R563" s="230"/>
      <c r="S563" s="230"/>
      <c r="T563" s="230"/>
      <c r="U563" s="230"/>
      <c r="V563" s="230"/>
      <c r="W563" s="230"/>
      <c r="X563" s="230"/>
      <c r="Y563" s="230"/>
      <c r="Z563" s="230"/>
    </row>
    <row r="564" spans="1:26" ht="15.75" customHeight="1">
      <c r="A564" s="230"/>
      <c r="B564" s="230"/>
      <c r="C564" s="230"/>
      <c r="D564" s="230"/>
      <c r="E564" s="230"/>
      <c r="F564" s="230"/>
      <c r="G564" s="230"/>
      <c r="H564" s="230"/>
      <c r="I564" s="230"/>
      <c r="J564" s="230"/>
      <c r="K564" s="230"/>
      <c r="L564" s="230"/>
      <c r="M564" s="230"/>
      <c r="N564" s="230"/>
      <c r="O564" s="230"/>
      <c r="P564" s="230"/>
      <c r="Q564" s="230"/>
      <c r="R564" s="230"/>
      <c r="S564" s="230"/>
      <c r="T564" s="230"/>
      <c r="U564" s="230"/>
      <c r="V564" s="230"/>
      <c r="W564" s="230"/>
      <c r="X564" s="230"/>
      <c r="Y564" s="230"/>
      <c r="Z564" s="230"/>
    </row>
    <row r="565" spans="1:26" ht="15.75" customHeight="1">
      <c r="A565" s="230"/>
      <c r="B565" s="230"/>
      <c r="C565" s="230"/>
      <c r="D565" s="230"/>
      <c r="E565" s="230"/>
      <c r="F565" s="230"/>
      <c r="G565" s="230"/>
      <c r="H565" s="230"/>
      <c r="I565" s="230"/>
      <c r="J565" s="230"/>
      <c r="K565" s="230"/>
      <c r="L565" s="230"/>
      <c r="M565" s="230"/>
      <c r="N565" s="230"/>
      <c r="O565" s="230"/>
      <c r="P565" s="230"/>
      <c r="Q565" s="230"/>
      <c r="R565" s="230"/>
      <c r="S565" s="230"/>
      <c r="T565" s="230"/>
      <c r="U565" s="230"/>
      <c r="V565" s="230"/>
      <c r="W565" s="230"/>
      <c r="X565" s="230"/>
      <c r="Y565" s="230"/>
      <c r="Z565" s="230"/>
    </row>
    <row r="566" spans="1:26" ht="15.75" customHeight="1">
      <c r="A566" s="230"/>
      <c r="B566" s="230"/>
      <c r="C566" s="230"/>
      <c r="D566" s="230"/>
      <c r="E566" s="230"/>
      <c r="F566" s="230"/>
      <c r="G566" s="230"/>
      <c r="H566" s="230"/>
      <c r="I566" s="230"/>
      <c r="J566" s="230"/>
      <c r="K566" s="230"/>
      <c r="L566" s="230"/>
      <c r="M566" s="230"/>
      <c r="N566" s="230"/>
      <c r="O566" s="230"/>
      <c r="P566" s="230"/>
      <c r="Q566" s="230"/>
      <c r="R566" s="230"/>
      <c r="S566" s="230"/>
      <c r="T566" s="230"/>
      <c r="U566" s="230"/>
      <c r="V566" s="230"/>
      <c r="W566" s="230"/>
      <c r="X566" s="230"/>
      <c r="Y566" s="230"/>
      <c r="Z566" s="230"/>
    </row>
    <row r="567" spans="1:26" ht="15.75" customHeight="1">
      <c r="A567" s="230"/>
      <c r="B567" s="230"/>
      <c r="C567" s="230"/>
      <c r="D567" s="230"/>
      <c r="E567" s="230"/>
      <c r="F567" s="230"/>
      <c r="G567" s="230"/>
      <c r="H567" s="230"/>
      <c r="I567" s="230"/>
      <c r="J567" s="230"/>
      <c r="K567" s="230"/>
      <c r="L567" s="230"/>
      <c r="M567" s="230"/>
      <c r="N567" s="230"/>
      <c r="O567" s="230"/>
      <c r="P567" s="230"/>
      <c r="Q567" s="230"/>
      <c r="R567" s="230"/>
      <c r="S567" s="230"/>
      <c r="T567" s="230"/>
      <c r="U567" s="230"/>
      <c r="V567" s="230"/>
      <c r="W567" s="230"/>
      <c r="X567" s="230"/>
      <c r="Y567" s="230"/>
      <c r="Z567" s="230"/>
    </row>
    <row r="568" spans="1:26" ht="15.75" customHeight="1">
      <c r="A568" s="230"/>
      <c r="B568" s="230"/>
      <c r="C568" s="230"/>
      <c r="D568" s="230"/>
      <c r="E568" s="230"/>
      <c r="F568" s="230"/>
      <c r="G568" s="230"/>
      <c r="H568" s="230"/>
      <c r="I568" s="230"/>
      <c r="J568" s="230"/>
      <c r="K568" s="230"/>
      <c r="L568" s="230"/>
      <c r="M568" s="230"/>
      <c r="N568" s="230"/>
      <c r="O568" s="230"/>
      <c r="P568" s="230"/>
      <c r="Q568" s="230"/>
      <c r="R568" s="230"/>
      <c r="S568" s="230"/>
      <c r="T568" s="230"/>
      <c r="U568" s="230"/>
      <c r="V568" s="230"/>
      <c r="W568" s="230"/>
      <c r="X568" s="230"/>
      <c r="Y568" s="230"/>
      <c r="Z568" s="230"/>
    </row>
    <row r="569" spans="1:26" ht="15.75" customHeight="1">
      <c r="A569" s="230"/>
      <c r="B569" s="230"/>
      <c r="C569" s="230"/>
      <c r="D569" s="230"/>
      <c r="E569" s="230"/>
      <c r="F569" s="230"/>
      <c r="G569" s="230"/>
      <c r="H569" s="230"/>
      <c r="I569" s="230"/>
      <c r="J569" s="230"/>
      <c r="K569" s="230"/>
      <c r="L569" s="230"/>
      <c r="M569" s="230"/>
      <c r="N569" s="230"/>
      <c r="O569" s="230"/>
      <c r="P569" s="230"/>
      <c r="Q569" s="230"/>
      <c r="R569" s="230"/>
      <c r="S569" s="230"/>
      <c r="T569" s="230"/>
      <c r="U569" s="230"/>
      <c r="V569" s="230"/>
      <c r="W569" s="230"/>
      <c r="X569" s="230"/>
      <c r="Y569" s="230"/>
      <c r="Z569" s="230"/>
    </row>
    <row r="570" spans="1:26" ht="15.75" customHeight="1">
      <c r="A570" s="230"/>
      <c r="B570" s="230"/>
      <c r="C570" s="230"/>
      <c r="D570" s="230"/>
      <c r="E570" s="230"/>
      <c r="F570" s="230"/>
      <c r="G570" s="230"/>
      <c r="H570" s="230"/>
      <c r="I570" s="230"/>
      <c r="J570" s="230"/>
      <c r="K570" s="230"/>
      <c r="L570" s="230"/>
      <c r="M570" s="230"/>
      <c r="N570" s="230"/>
      <c r="O570" s="230"/>
      <c r="P570" s="230"/>
      <c r="Q570" s="230"/>
      <c r="R570" s="230"/>
      <c r="S570" s="230"/>
      <c r="T570" s="230"/>
      <c r="U570" s="230"/>
      <c r="V570" s="230"/>
      <c r="W570" s="230"/>
      <c r="X570" s="230"/>
      <c r="Y570" s="230"/>
      <c r="Z570" s="230"/>
    </row>
    <row r="571" spans="1:26" ht="15.75" customHeight="1">
      <c r="A571" s="230"/>
      <c r="B571" s="230"/>
      <c r="C571" s="230"/>
      <c r="D571" s="230"/>
      <c r="E571" s="230"/>
      <c r="F571" s="230"/>
      <c r="G571" s="230"/>
      <c r="H571" s="230"/>
      <c r="I571" s="230"/>
      <c r="J571" s="230"/>
      <c r="K571" s="230"/>
      <c r="L571" s="230"/>
      <c r="M571" s="230"/>
      <c r="N571" s="230"/>
      <c r="O571" s="230"/>
      <c r="P571" s="230"/>
      <c r="Q571" s="230"/>
      <c r="R571" s="230"/>
      <c r="S571" s="230"/>
      <c r="T571" s="230"/>
      <c r="U571" s="230"/>
      <c r="V571" s="230"/>
      <c r="W571" s="230"/>
      <c r="X571" s="230"/>
      <c r="Y571" s="230"/>
      <c r="Z571" s="230"/>
    </row>
    <row r="572" spans="1:26" ht="15.75" customHeight="1">
      <c r="A572" s="230"/>
      <c r="B572" s="230"/>
      <c r="C572" s="230"/>
      <c r="D572" s="230"/>
      <c r="E572" s="230"/>
      <c r="F572" s="230"/>
      <c r="G572" s="230"/>
      <c r="H572" s="230"/>
      <c r="I572" s="230"/>
      <c r="J572" s="230"/>
      <c r="K572" s="230"/>
      <c r="L572" s="230"/>
      <c r="M572" s="230"/>
      <c r="N572" s="230"/>
      <c r="O572" s="230"/>
      <c r="P572" s="230"/>
      <c r="Q572" s="230"/>
      <c r="R572" s="230"/>
      <c r="S572" s="230"/>
      <c r="T572" s="230"/>
      <c r="U572" s="230"/>
      <c r="V572" s="230"/>
      <c r="W572" s="230"/>
      <c r="X572" s="230"/>
      <c r="Y572" s="230"/>
      <c r="Z572" s="230"/>
    </row>
    <row r="573" spans="1:26" ht="15.75" customHeight="1">
      <c r="A573" s="230"/>
      <c r="B573" s="230"/>
      <c r="C573" s="230"/>
      <c r="D573" s="230"/>
      <c r="E573" s="230"/>
      <c r="F573" s="230"/>
      <c r="G573" s="230"/>
      <c r="H573" s="230"/>
      <c r="I573" s="230"/>
      <c r="J573" s="230"/>
      <c r="K573" s="230"/>
      <c r="L573" s="230"/>
      <c r="M573" s="230"/>
      <c r="N573" s="230"/>
      <c r="O573" s="230"/>
      <c r="P573" s="230"/>
      <c r="Q573" s="230"/>
      <c r="R573" s="230"/>
      <c r="S573" s="230"/>
      <c r="T573" s="230"/>
      <c r="U573" s="230"/>
      <c r="V573" s="230"/>
      <c r="W573" s="230"/>
      <c r="X573" s="230"/>
      <c r="Y573" s="230"/>
      <c r="Z573" s="230"/>
    </row>
    <row r="574" spans="1:26" ht="15.75" customHeight="1">
      <c r="A574" s="230"/>
      <c r="B574" s="230"/>
      <c r="C574" s="230"/>
      <c r="D574" s="230"/>
      <c r="E574" s="230"/>
      <c r="F574" s="230"/>
      <c r="G574" s="230"/>
      <c r="H574" s="230"/>
      <c r="I574" s="230"/>
      <c r="J574" s="230"/>
      <c r="K574" s="230"/>
      <c r="L574" s="230"/>
      <c r="M574" s="230"/>
      <c r="N574" s="230"/>
      <c r="O574" s="230"/>
      <c r="P574" s="230"/>
      <c r="Q574" s="230"/>
      <c r="R574" s="230"/>
      <c r="S574" s="230"/>
      <c r="T574" s="230"/>
      <c r="U574" s="230"/>
      <c r="V574" s="230"/>
      <c r="W574" s="230"/>
      <c r="X574" s="230"/>
      <c r="Y574" s="230"/>
      <c r="Z574" s="230"/>
    </row>
    <row r="575" spans="1:26" ht="15.75" customHeight="1">
      <c r="A575" s="230"/>
      <c r="B575" s="230"/>
      <c r="C575" s="230"/>
      <c r="D575" s="230"/>
      <c r="E575" s="230"/>
      <c r="F575" s="230"/>
      <c r="G575" s="230"/>
      <c r="H575" s="230"/>
      <c r="I575" s="230"/>
      <c r="J575" s="230"/>
      <c r="K575" s="230"/>
      <c r="L575" s="230"/>
      <c r="M575" s="230"/>
      <c r="N575" s="230"/>
      <c r="O575" s="230"/>
      <c r="P575" s="230"/>
      <c r="Q575" s="230"/>
      <c r="R575" s="230"/>
      <c r="S575" s="230"/>
      <c r="T575" s="230"/>
      <c r="U575" s="230"/>
      <c r="V575" s="230"/>
      <c r="W575" s="230"/>
      <c r="X575" s="230"/>
      <c r="Y575" s="230"/>
      <c r="Z575" s="230"/>
    </row>
    <row r="576" spans="1:26" ht="15.75" customHeight="1">
      <c r="A576" s="230"/>
      <c r="B576" s="230"/>
      <c r="C576" s="230"/>
      <c r="D576" s="230"/>
      <c r="E576" s="230"/>
      <c r="F576" s="230"/>
      <c r="G576" s="230"/>
      <c r="H576" s="230"/>
      <c r="I576" s="230"/>
      <c r="J576" s="230"/>
      <c r="K576" s="230"/>
      <c r="L576" s="230"/>
      <c r="M576" s="230"/>
      <c r="N576" s="230"/>
      <c r="O576" s="230"/>
      <c r="P576" s="230"/>
      <c r="Q576" s="230"/>
      <c r="R576" s="230"/>
      <c r="S576" s="230"/>
      <c r="T576" s="230"/>
      <c r="U576" s="230"/>
      <c r="V576" s="230"/>
      <c r="W576" s="230"/>
      <c r="X576" s="230"/>
      <c r="Y576" s="230"/>
      <c r="Z576" s="230"/>
    </row>
    <row r="577" spans="1:26" ht="15.75" customHeight="1">
      <c r="A577" s="230"/>
      <c r="B577" s="230"/>
      <c r="C577" s="230"/>
      <c r="D577" s="230"/>
      <c r="E577" s="230"/>
      <c r="F577" s="230"/>
      <c r="G577" s="230"/>
      <c r="H577" s="230"/>
      <c r="I577" s="230"/>
      <c r="J577" s="230"/>
      <c r="K577" s="230"/>
      <c r="L577" s="230"/>
      <c r="M577" s="230"/>
      <c r="N577" s="230"/>
      <c r="O577" s="230"/>
      <c r="P577" s="230"/>
      <c r="Q577" s="230"/>
      <c r="R577" s="230"/>
      <c r="S577" s="230"/>
      <c r="T577" s="230"/>
      <c r="U577" s="230"/>
      <c r="V577" s="230"/>
      <c r="W577" s="230"/>
      <c r="X577" s="230"/>
      <c r="Y577" s="230"/>
      <c r="Z577" s="230"/>
    </row>
    <row r="578" spans="1:26" ht="15.75" customHeight="1">
      <c r="A578" s="230"/>
      <c r="B578" s="230"/>
      <c r="C578" s="230"/>
      <c r="D578" s="230"/>
      <c r="E578" s="230"/>
      <c r="F578" s="230"/>
      <c r="G578" s="230"/>
      <c r="H578" s="230"/>
      <c r="I578" s="230"/>
      <c r="J578" s="230"/>
      <c r="K578" s="230"/>
      <c r="L578" s="230"/>
      <c r="M578" s="230"/>
      <c r="N578" s="230"/>
      <c r="O578" s="230"/>
      <c r="P578" s="230"/>
      <c r="Q578" s="230"/>
      <c r="R578" s="230"/>
      <c r="S578" s="230"/>
      <c r="T578" s="230"/>
      <c r="U578" s="230"/>
      <c r="V578" s="230"/>
      <c r="W578" s="230"/>
      <c r="X578" s="230"/>
      <c r="Y578" s="230"/>
      <c r="Z578" s="230"/>
    </row>
    <row r="579" spans="1:26" ht="15.75" customHeight="1">
      <c r="A579" s="230"/>
      <c r="B579" s="230"/>
      <c r="C579" s="230"/>
      <c r="D579" s="230"/>
      <c r="E579" s="230"/>
      <c r="F579" s="230"/>
      <c r="G579" s="230"/>
      <c r="H579" s="230"/>
      <c r="I579" s="230"/>
      <c r="J579" s="230"/>
      <c r="K579" s="230"/>
      <c r="L579" s="230"/>
      <c r="M579" s="230"/>
      <c r="N579" s="230"/>
      <c r="O579" s="230"/>
      <c r="P579" s="230"/>
      <c r="Q579" s="230"/>
      <c r="R579" s="230"/>
      <c r="S579" s="230"/>
      <c r="T579" s="230"/>
      <c r="U579" s="230"/>
      <c r="V579" s="230"/>
      <c r="W579" s="230"/>
      <c r="X579" s="230"/>
      <c r="Y579" s="230"/>
      <c r="Z579" s="230"/>
    </row>
    <row r="580" spans="1:26" ht="15.75" customHeight="1">
      <c r="A580" s="230"/>
      <c r="B580" s="230"/>
      <c r="C580" s="230"/>
      <c r="D580" s="230"/>
      <c r="E580" s="230"/>
      <c r="F580" s="230"/>
      <c r="G580" s="230"/>
      <c r="H580" s="230"/>
      <c r="I580" s="230"/>
      <c r="J580" s="230"/>
      <c r="K580" s="230"/>
      <c r="L580" s="230"/>
      <c r="M580" s="230"/>
      <c r="N580" s="230"/>
      <c r="O580" s="230"/>
      <c r="P580" s="230"/>
      <c r="Q580" s="230"/>
      <c r="R580" s="230"/>
      <c r="S580" s="230"/>
      <c r="T580" s="230"/>
      <c r="U580" s="230"/>
      <c r="V580" s="230"/>
      <c r="W580" s="230"/>
      <c r="X580" s="230"/>
      <c r="Y580" s="230"/>
      <c r="Z580" s="230"/>
    </row>
    <row r="581" spans="1:26" ht="15.75" customHeight="1">
      <c r="A581" s="230"/>
      <c r="B581" s="230"/>
      <c r="C581" s="230"/>
      <c r="D581" s="230"/>
      <c r="E581" s="230"/>
      <c r="F581" s="230"/>
      <c r="G581" s="230"/>
      <c r="H581" s="230"/>
      <c r="I581" s="230"/>
      <c r="J581" s="230"/>
      <c r="K581" s="230"/>
      <c r="L581" s="230"/>
      <c r="M581" s="230"/>
      <c r="N581" s="230"/>
      <c r="O581" s="230"/>
      <c r="P581" s="230"/>
      <c r="Q581" s="230"/>
      <c r="R581" s="230"/>
      <c r="S581" s="230"/>
      <c r="T581" s="230"/>
      <c r="U581" s="230"/>
      <c r="V581" s="230"/>
      <c r="W581" s="230"/>
      <c r="X581" s="230"/>
      <c r="Y581" s="230"/>
      <c r="Z581" s="230"/>
    </row>
    <row r="582" spans="1:26" ht="15.75" customHeight="1">
      <c r="A582" s="230"/>
      <c r="B582" s="230"/>
      <c r="C582" s="230"/>
      <c r="D582" s="230"/>
      <c r="E582" s="230"/>
      <c r="F582" s="230"/>
      <c r="G582" s="230"/>
      <c r="H582" s="230"/>
      <c r="I582" s="230"/>
      <c r="J582" s="230"/>
      <c r="K582" s="230"/>
      <c r="L582" s="230"/>
      <c r="M582" s="230"/>
      <c r="N582" s="230"/>
      <c r="O582" s="230"/>
      <c r="P582" s="230"/>
      <c r="Q582" s="230"/>
      <c r="R582" s="230"/>
      <c r="S582" s="230"/>
      <c r="T582" s="230"/>
      <c r="U582" s="230"/>
      <c r="V582" s="230"/>
      <c r="W582" s="230"/>
      <c r="X582" s="230"/>
      <c r="Y582" s="230"/>
      <c r="Z582" s="230"/>
    </row>
    <row r="583" spans="1:26" ht="15.75" customHeight="1">
      <c r="A583" s="230"/>
      <c r="B583" s="230"/>
      <c r="C583" s="230"/>
      <c r="D583" s="230"/>
      <c r="E583" s="230"/>
      <c r="F583" s="230"/>
      <c r="G583" s="230"/>
      <c r="H583" s="230"/>
      <c r="I583" s="230"/>
      <c r="J583" s="230"/>
      <c r="K583" s="230"/>
      <c r="L583" s="230"/>
      <c r="M583" s="230"/>
      <c r="N583" s="230"/>
      <c r="O583" s="230"/>
      <c r="P583" s="230"/>
      <c r="Q583" s="230"/>
      <c r="R583" s="230"/>
      <c r="S583" s="230"/>
      <c r="T583" s="230"/>
      <c r="U583" s="230"/>
      <c r="V583" s="230"/>
      <c r="W583" s="230"/>
      <c r="X583" s="230"/>
      <c r="Y583" s="230"/>
      <c r="Z583" s="230"/>
    </row>
    <row r="584" spans="1:26" ht="15.75" customHeight="1">
      <c r="A584" s="230"/>
      <c r="B584" s="230"/>
      <c r="C584" s="230"/>
      <c r="D584" s="230"/>
      <c r="E584" s="230"/>
      <c r="F584" s="230"/>
      <c r="G584" s="230"/>
      <c r="H584" s="230"/>
      <c r="I584" s="230"/>
      <c r="J584" s="230"/>
      <c r="K584" s="230"/>
      <c r="L584" s="230"/>
      <c r="M584" s="230"/>
      <c r="N584" s="230"/>
      <c r="O584" s="230"/>
      <c r="P584" s="230"/>
      <c r="Q584" s="230"/>
      <c r="R584" s="230"/>
      <c r="S584" s="230"/>
      <c r="T584" s="230"/>
      <c r="U584" s="230"/>
      <c r="V584" s="230"/>
      <c r="W584" s="230"/>
      <c r="X584" s="230"/>
      <c r="Y584" s="230"/>
      <c r="Z584" s="230"/>
    </row>
    <row r="585" spans="1:26" ht="15.75" customHeight="1">
      <c r="A585" s="230"/>
      <c r="B585" s="230"/>
      <c r="C585" s="230"/>
      <c r="D585" s="230"/>
      <c r="E585" s="230"/>
      <c r="F585" s="230"/>
      <c r="G585" s="230"/>
      <c r="H585" s="230"/>
      <c r="I585" s="230"/>
      <c r="J585" s="230"/>
      <c r="K585" s="230"/>
      <c r="L585" s="230"/>
      <c r="M585" s="230"/>
      <c r="N585" s="230"/>
      <c r="O585" s="230"/>
      <c r="P585" s="230"/>
      <c r="Q585" s="230"/>
      <c r="R585" s="230"/>
      <c r="S585" s="230"/>
      <c r="T585" s="230"/>
      <c r="U585" s="230"/>
      <c r="V585" s="230"/>
      <c r="W585" s="230"/>
      <c r="X585" s="230"/>
      <c r="Y585" s="230"/>
      <c r="Z585" s="230"/>
    </row>
    <row r="586" spans="1:26" ht="15.75" customHeight="1">
      <c r="A586" s="230"/>
      <c r="B586" s="230"/>
      <c r="C586" s="230"/>
      <c r="D586" s="230"/>
      <c r="E586" s="230"/>
      <c r="F586" s="230"/>
      <c r="G586" s="230"/>
      <c r="H586" s="230"/>
      <c r="I586" s="230"/>
      <c r="J586" s="230"/>
      <c r="K586" s="230"/>
      <c r="L586" s="230"/>
      <c r="M586" s="230"/>
      <c r="N586" s="230"/>
      <c r="O586" s="230"/>
      <c r="P586" s="230"/>
      <c r="Q586" s="230"/>
      <c r="R586" s="230"/>
      <c r="S586" s="230"/>
      <c r="T586" s="230"/>
      <c r="U586" s="230"/>
      <c r="V586" s="230"/>
      <c r="W586" s="230"/>
      <c r="X586" s="230"/>
      <c r="Y586" s="230"/>
      <c r="Z586" s="230"/>
    </row>
    <row r="587" spans="1:26" ht="15.75" customHeight="1">
      <c r="A587" s="230"/>
      <c r="B587" s="230"/>
      <c r="C587" s="230"/>
      <c r="D587" s="230"/>
      <c r="E587" s="230"/>
      <c r="F587" s="230"/>
      <c r="G587" s="230"/>
      <c r="H587" s="230"/>
      <c r="I587" s="230"/>
      <c r="J587" s="230"/>
      <c r="K587" s="230"/>
      <c r="L587" s="230"/>
      <c r="M587" s="230"/>
      <c r="N587" s="230"/>
      <c r="O587" s="230"/>
      <c r="P587" s="230"/>
      <c r="Q587" s="230"/>
      <c r="R587" s="230"/>
      <c r="S587" s="230"/>
      <c r="T587" s="230"/>
      <c r="U587" s="230"/>
      <c r="V587" s="230"/>
      <c r="W587" s="230"/>
      <c r="X587" s="230"/>
      <c r="Y587" s="230"/>
      <c r="Z587" s="230"/>
    </row>
    <row r="588" spans="1:26" ht="15.75" customHeight="1">
      <c r="A588" s="230"/>
      <c r="B588" s="230"/>
      <c r="C588" s="230"/>
      <c r="D588" s="230"/>
      <c r="E588" s="230"/>
      <c r="F588" s="230"/>
      <c r="G588" s="230"/>
      <c r="H588" s="230"/>
      <c r="I588" s="230"/>
      <c r="J588" s="230"/>
      <c r="K588" s="230"/>
      <c r="L588" s="230"/>
      <c r="M588" s="230"/>
      <c r="N588" s="230"/>
      <c r="O588" s="230"/>
      <c r="P588" s="230"/>
      <c r="Q588" s="230"/>
      <c r="R588" s="230"/>
      <c r="S588" s="230"/>
      <c r="T588" s="230"/>
      <c r="U588" s="230"/>
      <c r="V588" s="230"/>
      <c r="W588" s="230"/>
      <c r="X588" s="230"/>
      <c r="Y588" s="230"/>
      <c r="Z588" s="230"/>
    </row>
    <row r="589" spans="1:26" ht="15.75" customHeight="1">
      <c r="A589" s="230"/>
      <c r="B589" s="230"/>
      <c r="C589" s="230"/>
      <c r="D589" s="230"/>
      <c r="E589" s="230"/>
      <c r="F589" s="230"/>
      <c r="G589" s="230"/>
      <c r="H589" s="230"/>
      <c r="I589" s="230"/>
      <c r="J589" s="230"/>
      <c r="K589" s="230"/>
      <c r="L589" s="230"/>
      <c r="M589" s="230"/>
      <c r="N589" s="230"/>
      <c r="O589" s="230"/>
      <c r="P589" s="230"/>
      <c r="Q589" s="230"/>
      <c r="R589" s="230"/>
      <c r="S589" s="230"/>
      <c r="T589" s="230"/>
      <c r="U589" s="230"/>
      <c r="V589" s="230"/>
      <c r="W589" s="230"/>
      <c r="X589" s="230"/>
      <c r="Y589" s="230"/>
      <c r="Z589" s="230"/>
    </row>
    <row r="590" spans="1:26" ht="15.75" customHeight="1">
      <c r="A590" s="230"/>
      <c r="B590" s="230"/>
      <c r="C590" s="230"/>
      <c r="D590" s="230"/>
      <c r="E590" s="230"/>
      <c r="F590" s="230"/>
      <c r="G590" s="230"/>
      <c r="H590" s="230"/>
      <c r="I590" s="230"/>
      <c r="J590" s="230"/>
      <c r="K590" s="230"/>
      <c r="L590" s="230"/>
      <c r="M590" s="230"/>
      <c r="N590" s="230"/>
      <c r="O590" s="230"/>
      <c r="P590" s="230"/>
      <c r="Q590" s="230"/>
      <c r="R590" s="230"/>
      <c r="S590" s="230"/>
      <c r="T590" s="230"/>
      <c r="U590" s="230"/>
      <c r="V590" s="230"/>
      <c r="W590" s="230"/>
      <c r="X590" s="230"/>
      <c r="Y590" s="230"/>
      <c r="Z590" s="230"/>
    </row>
    <row r="591" spans="1:26" ht="15.75" customHeight="1">
      <c r="A591" s="230"/>
      <c r="B591" s="230"/>
      <c r="C591" s="230"/>
      <c r="D591" s="230"/>
      <c r="E591" s="230"/>
      <c r="F591" s="230"/>
      <c r="G591" s="230"/>
      <c r="H591" s="230"/>
      <c r="I591" s="230"/>
      <c r="J591" s="230"/>
      <c r="K591" s="230"/>
      <c r="L591" s="230"/>
      <c r="M591" s="230"/>
      <c r="N591" s="230"/>
      <c r="O591" s="230"/>
      <c r="P591" s="230"/>
      <c r="Q591" s="230"/>
      <c r="R591" s="230"/>
      <c r="S591" s="230"/>
      <c r="T591" s="230"/>
      <c r="U591" s="230"/>
      <c r="V591" s="230"/>
      <c r="W591" s="230"/>
      <c r="X591" s="230"/>
      <c r="Y591" s="230"/>
      <c r="Z591" s="230"/>
    </row>
    <row r="592" spans="1:26" ht="15.75" customHeight="1">
      <c r="A592" s="230"/>
      <c r="B592" s="230"/>
      <c r="C592" s="230"/>
      <c r="D592" s="230"/>
      <c r="E592" s="230"/>
      <c r="F592" s="230"/>
      <c r="G592" s="230"/>
      <c r="H592" s="230"/>
      <c r="I592" s="230"/>
      <c r="J592" s="230"/>
      <c r="K592" s="230"/>
      <c r="L592" s="230"/>
      <c r="M592" s="230"/>
      <c r="N592" s="230"/>
      <c r="O592" s="230"/>
      <c r="P592" s="230"/>
      <c r="Q592" s="230"/>
      <c r="R592" s="230"/>
      <c r="S592" s="230"/>
      <c r="T592" s="230"/>
      <c r="U592" s="230"/>
      <c r="V592" s="230"/>
      <c r="W592" s="230"/>
      <c r="X592" s="230"/>
      <c r="Y592" s="230"/>
      <c r="Z592" s="230"/>
    </row>
    <row r="593" spans="1:26" ht="15.75" customHeight="1">
      <c r="A593" s="230"/>
      <c r="B593" s="230"/>
      <c r="C593" s="230"/>
      <c r="D593" s="230"/>
      <c r="E593" s="230"/>
      <c r="F593" s="230"/>
      <c r="G593" s="230"/>
      <c r="H593" s="230"/>
      <c r="I593" s="230"/>
      <c r="J593" s="230"/>
      <c r="K593" s="230"/>
      <c r="L593" s="230"/>
      <c r="M593" s="230"/>
      <c r="N593" s="230"/>
      <c r="O593" s="230"/>
      <c r="P593" s="230"/>
      <c r="Q593" s="230"/>
      <c r="R593" s="230"/>
      <c r="S593" s="230"/>
      <c r="T593" s="230"/>
      <c r="U593" s="230"/>
      <c r="V593" s="230"/>
      <c r="W593" s="230"/>
      <c r="X593" s="230"/>
      <c r="Y593" s="230"/>
      <c r="Z593" s="230"/>
    </row>
    <row r="594" spans="1:26" ht="15.75" customHeight="1">
      <c r="A594" s="230"/>
      <c r="B594" s="230"/>
      <c r="C594" s="230"/>
      <c r="D594" s="230"/>
      <c r="E594" s="230"/>
      <c r="F594" s="230"/>
      <c r="G594" s="230"/>
      <c r="H594" s="230"/>
      <c r="I594" s="230"/>
      <c r="J594" s="230"/>
      <c r="K594" s="230"/>
      <c r="L594" s="230"/>
      <c r="M594" s="230"/>
      <c r="N594" s="230"/>
      <c r="O594" s="230"/>
      <c r="P594" s="230"/>
      <c r="Q594" s="230"/>
      <c r="R594" s="230"/>
      <c r="S594" s="230"/>
      <c r="T594" s="230"/>
      <c r="U594" s="230"/>
      <c r="V594" s="230"/>
      <c r="W594" s="230"/>
      <c r="X594" s="230"/>
      <c r="Y594" s="230"/>
      <c r="Z594" s="230"/>
    </row>
    <row r="595" spans="1:26" ht="15.75" customHeight="1">
      <c r="A595" s="230"/>
      <c r="B595" s="230"/>
      <c r="C595" s="230"/>
      <c r="D595" s="230"/>
      <c r="E595" s="230"/>
      <c r="F595" s="230"/>
      <c r="G595" s="230"/>
      <c r="H595" s="230"/>
      <c r="I595" s="230"/>
      <c r="J595" s="230"/>
      <c r="K595" s="230"/>
      <c r="L595" s="230"/>
      <c r="M595" s="230"/>
      <c r="N595" s="230"/>
      <c r="O595" s="230"/>
      <c r="P595" s="230"/>
      <c r="Q595" s="230"/>
      <c r="R595" s="230"/>
      <c r="S595" s="230"/>
      <c r="T595" s="230"/>
      <c r="U595" s="230"/>
      <c r="V595" s="230"/>
      <c r="W595" s="230"/>
      <c r="X595" s="230"/>
      <c r="Y595" s="230"/>
      <c r="Z595" s="230"/>
    </row>
    <row r="596" spans="1:26" ht="15.75" customHeight="1">
      <c r="A596" s="230"/>
      <c r="B596" s="230"/>
      <c r="C596" s="230"/>
      <c r="D596" s="230"/>
      <c r="E596" s="230"/>
      <c r="F596" s="230"/>
      <c r="G596" s="230"/>
      <c r="H596" s="230"/>
      <c r="I596" s="230"/>
      <c r="J596" s="230"/>
      <c r="K596" s="230"/>
      <c r="L596" s="230"/>
      <c r="M596" s="230"/>
      <c r="N596" s="230"/>
      <c r="O596" s="230"/>
      <c r="P596" s="230"/>
      <c r="Q596" s="230"/>
      <c r="R596" s="230"/>
      <c r="S596" s="230"/>
      <c r="T596" s="230"/>
      <c r="U596" s="230"/>
      <c r="V596" s="230"/>
      <c r="W596" s="230"/>
      <c r="X596" s="230"/>
      <c r="Y596" s="230"/>
      <c r="Z596" s="230"/>
    </row>
    <row r="597" spans="1:26" ht="15.75" customHeight="1">
      <c r="A597" s="230"/>
      <c r="B597" s="230"/>
      <c r="C597" s="230"/>
      <c r="D597" s="230"/>
      <c r="E597" s="230"/>
      <c r="F597" s="230"/>
      <c r="G597" s="230"/>
      <c r="H597" s="230"/>
      <c r="I597" s="230"/>
      <c r="J597" s="230"/>
      <c r="K597" s="230"/>
      <c r="L597" s="230"/>
      <c r="M597" s="230"/>
      <c r="N597" s="230"/>
      <c r="O597" s="230"/>
      <c r="P597" s="230"/>
      <c r="Q597" s="230"/>
      <c r="R597" s="230"/>
      <c r="S597" s="230"/>
      <c r="T597" s="230"/>
      <c r="U597" s="230"/>
      <c r="V597" s="230"/>
      <c r="W597" s="230"/>
      <c r="X597" s="230"/>
      <c r="Y597" s="230"/>
      <c r="Z597" s="230"/>
    </row>
    <row r="598" spans="1:26" ht="15.75" customHeight="1">
      <c r="A598" s="230"/>
      <c r="B598" s="230"/>
      <c r="C598" s="230"/>
      <c r="D598" s="230"/>
      <c r="E598" s="230"/>
      <c r="F598" s="230"/>
      <c r="G598" s="230"/>
      <c r="H598" s="230"/>
      <c r="I598" s="230"/>
      <c r="J598" s="230"/>
      <c r="K598" s="230"/>
      <c r="L598" s="230"/>
      <c r="M598" s="230"/>
      <c r="N598" s="230"/>
      <c r="O598" s="230"/>
      <c r="P598" s="230"/>
      <c r="Q598" s="230"/>
      <c r="R598" s="230"/>
      <c r="S598" s="230"/>
      <c r="T598" s="230"/>
      <c r="U598" s="230"/>
      <c r="V598" s="230"/>
      <c r="W598" s="230"/>
      <c r="X598" s="230"/>
      <c r="Y598" s="230"/>
      <c r="Z598" s="230"/>
    </row>
    <row r="599" spans="1:26" ht="15.75" customHeight="1">
      <c r="A599" s="230"/>
      <c r="B599" s="230"/>
      <c r="C599" s="230"/>
      <c r="D599" s="230"/>
      <c r="E599" s="230"/>
      <c r="F599" s="230"/>
      <c r="G599" s="230"/>
      <c r="H599" s="230"/>
      <c r="I599" s="230"/>
      <c r="J599" s="230"/>
      <c r="K599" s="230"/>
      <c r="L599" s="230"/>
      <c r="M599" s="230"/>
      <c r="N599" s="230"/>
      <c r="O599" s="230"/>
      <c r="P599" s="230"/>
      <c r="Q599" s="230"/>
      <c r="R599" s="230"/>
      <c r="S599" s="230"/>
      <c r="T599" s="230"/>
      <c r="U599" s="230"/>
      <c r="V599" s="230"/>
      <c r="W599" s="230"/>
      <c r="X599" s="230"/>
      <c r="Y599" s="230"/>
      <c r="Z599" s="230"/>
    </row>
    <row r="600" spans="1:26" ht="15.75" customHeight="1">
      <c r="A600" s="230"/>
      <c r="B600" s="230"/>
      <c r="C600" s="230"/>
      <c r="D600" s="230"/>
      <c r="E600" s="230"/>
      <c r="F600" s="230"/>
      <c r="G600" s="230"/>
      <c r="H600" s="230"/>
      <c r="I600" s="230"/>
      <c r="J600" s="230"/>
      <c r="K600" s="230"/>
      <c r="L600" s="230"/>
      <c r="M600" s="230"/>
      <c r="N600" s="230"/>
      <c r="O600" s="230"/>
      <c r="P600" s="230"/>
      <c r="Q600" s="230"/>
      <c r="R600" s="230"/>
      <c r="S600" s="230"/>
      <c r="T600" s="230"/>
      <c r="U600" s="230"/>
      <c r="V600" s="230"/>
      <c r="W600" s="230"/>
      <c r="X600" s="230"/>
      <c r="Y600" s="230"/>
      <c r="Z600" s="230"/>
    </row>
    <row r="601" spans="1:26" ht="15.75" customHeight="1">
      <c r="A601" s="230"/>
      <c r="B601" s="230"/>
      <c r="C601" s="230"/>
      <c r="D601" s="230"/>
      <c r="E601" s="230"/>
      <c r="F601" s="230"/>
      <c r="G601" s="230"/>
      <c r="H601" s="230"/>
      <c r="I601" s="230"/>
      <c r="J601" s="230"/>
      <c r="K601" s="230"/>
      <c r="L601" s="230"/>
      <c r="M601" s="230"/>
      <c r="N601" s="230"/>
      <c r="O601" s="230"/>
      <c r="P601" s="230"/>
      <c r="Q601" s="230"/>
      <c r="R601" s="230"/>
      <c r="S601" s="230"/>
      <c r="T601" s="230"/>
      <c r="U601" s="230"/>
      <c r="V601" s="230"/>
      <c r="W601" s="230"/>
      <c r="X601" s="230"/>
      <c r="Y601" s="230"/>
      <c r="Z601" s="230"/>
    </row>
    <row r="602" spans="1:26" ht="15.75" customHeight="1">
      <c r="A602" s="230"/>
      <c r="B602" s="230"/>
      <c r="C602" s="230"/>
      <c r="D602" s="230"/>
      <c r="E602" s="230"/>
      <c r="F602" s="230"/>
      <c r="G602" s="230"/>
      <c r="H602" s="230"/>
      <c r="I602" s="230"/>
      <c r="J602" s="230"/>
      <c r="K602" s="230"/>
      <c r="L602" s="230"/>
      <c r="M602" s="230"/>
      <c r="N602" s="230"/>
      <c r="O602" s="230"/>
      <c r="P602" s="230"/>
      <c r="Q602" s="230"/>
      <c r="R602" s="230"/>
      <c r="S602" s="230"/>
      <c r="T602" s="230"/>
      <c r="U602" s="230"/>
      <c r="V602" s="230"/>
      <c r="W602" s="230"/>
      <c r="X602" s="230"/>
      <c r="Y602" s="230"/>
      <c r="Z602" s="230"/>
    </row>
    <row r="603" spans="1:26" ht="15.75" customHeight="1">
      <c r="A603" s="230"/>
      <c r="B603" s="230"/>
      <c r="C603" s="230"/>
      <c r="D603" s="230"/>
      <c r="E603" s="230"/>
      <c r="F603" s="230"/>
      <c r="G603" s="230"/>
      <c r="H603" s="230"/>
      <c r="I603" s="230"/>
      <c r="J603" s="230"/>
      <c r="K603" s="230"/>
      <c r="L603" s="230"/>
      <c r="M603" s="230"/>
      <c r="N603" s="230"/>
      <c r="O603" s="230"/>
      <c r="P603" s="230"/>
      <c r="Q603" s="230"/>
      <c r="R603" s="230"/>
      <c r="S603" s="230"/>
      <c r="T603" s="230"/>
      <c r="U603" s="230"/>
      <c r="V603" s="230"/>
      <c r="W603" s="230"/>
      <c r="X603" s="230"/>
      <c r="Y603" s="230"/>
      <c r="Z603" s="230"/>
    </row>
    <row r="604" spans="1:26" ht="15.75" customHeight="1">
      <c r="A604" s="230"/>
      <c r="B604" s="230"/>
      <c r="C604" s="230"/>
      <c r="D604" s="230"/>
      <c r="E604" s="230"/>
      <c r="F604" s="230"/>
      <c r="G604" s="230"/>
      <c r="H604" s="230"/>
      <c r="I604" s="230"/>
      <c r="J604" s="230"/>
      <c r="K604" s="230"/>
      <c r="L604" s="230"/>
      <c r="M604" s="230"/>
      <c r="N604" s="230"/>
      <c r="O604" s="230"/>
      <c r="P604" s="230"/>
      <c r="Q604" s="230"/>
      <c r="R604" s="230"/>
      <c r="S604" s="230"/>
      <c r="T604" s="230"/>
      <c r="U604" s="230"/>
      <c r="V604" s="230"/>
      <c r="W604" s="230"/>
      <c r="X604" s="230"/>
      <c r="Y604" s="230"/>
      <c r="Z604" s="230"/>
    </row>
    <row r="605" spans="1:26" ht="15.75" customHeight="1">
      <c r="A605" s="230"/>
      <c r="B605" s="230"/>
      <c r="C605" s="230"/>
      <c r="D605" s="230"/>
      <c r="E605" s="230"/>
      <c r="F605" s="230"/>
      <c r="G605" s="230"/>
      <c r="H605" s="230"/>
      <c r="I605" s="230"/>
      <c r="J605" s="230"/>
      <c r="K605" s="230"/>
      <c r="L605" s="230"/>
      <c r="M605" s="230"/>
      <c r="N605" s="230"/>
      <c r="O605" s="230"/>
      <c r="P605" s="230"/>
      <c r="Q605" s="230"/>
      <c r="R605" s="230"/>
      <c r="S605" s="230"/>
      <c r="T605" s="230"/>
      <c r="U605" s="230"/>
      <c r="V605" s="230"/>
      <c r="W605" s="230"/>
      <c r="X605" s="230"/>
      <c r="Y605" s="230"/>
      <c r="Z605" s="230"/>
    </row>
    <row r="606" spans="1:26" ht="15.75" customHeight="1">
      <c r="A606" s="230"/>
      <c r="B606" s="230"/>
      <c r="C606" s="230"/>
      <c r="D606" s="230"/>
      <c r="E606" s="230"/>
      <c r="F606" s="230"/>
      <c r="G606" s="230"/>
      <c r="H606" s="230"/>
      <c r="I606" s="230"/>
      <c r="J606" s="230"/>
      <c r="K606" s="230"/>
      <c r="L606" s="230"/>
      <c r="M606" s="230"/>
      <c r="N606" s="230"/>
      <c r="O606" s="230"/>
      <c r="P606" s="230"/>
      <c r="Q606" s="230"/>
      <c r="R606" s="230"/>
      <c r="S606" s="230"/>
      <c r="T606" s="230"/>
      <c r="U606" s="230"/>
      <c r="V606" s="230"/>
      <c r="W606" s="230"/>
      <c r="X606" s="230"/>
      <c r="Y606" s="230"/>
      <c r="Z606" s="230"/>
    </row>
    <row r="607" spans="1:26" ht="15.75" customHeight="1">
      <c r="A607" s="230"/>
      <c r="B607" s="230"/>
      <c r="C607" s="230"/>
      <c r="D607" s="230"/>
      <c r="E607" s="230"/>
      <c r="F607" s="230"/>
      <c r="G607" s="230"/>
      <c r="H607" s="230"/>
      <c r="I607" s="230"/>
      <c r="J607" s="230"/>
      <c r="K607" s="230"/>
      <c r="L607" s="230"/>
      <c r="M607" s="230"/>
      <c r="N607" s="230"/>
      <c r="O607" s="230"/>
      <c r="P607" s="230"/>
      <c r="Q607" s="230"/>
      <c r="R607" s="230"/>
      <c r="S607" s="230"/>
      <c r="T607" s="230"/>
      <c r="U607" s="230"/>
      <c r="V607" s="230"/>
      <c r="W607" s="230"/>
      <c r="X607" s="230"/>
      <c r="Y607" s="230"/>
      <c r="Z607" s="230"/>
    </row>
    <row r="608" spans="1:26" ht="15.75" customHeight="1">
      <c r="A608" s="230"/>
      <c r="B608" s="230"/>
      <c r="C608" s="230"/>
      <c r="D608" s="230"/>
      <c r="E608" s="230"/>
      <c r="F608" s="230"/>
      <c r="G608" s="230"/>
      <c r="H608" s="230"/>
      <c r="I608" s="230"/>
      <c r="J608" s="230"/>
      <c r="K608" s="230"/>
      <c r="L608" s="230"/>
      <c r="M608" s="230"/>
      <c r="N608" s="230"/>
      <c r="O608" s="230"/>
      <c r="P608" s="230"/>
      <c r="Q608" s="230"/>
      <c r="R608" s="230"/>
      <c r="S608" s="230"/>
      <c r="T608" s="230"/>
      <c r="U608" s="230"/>
      <c r="V608" s="230"/>
      <c r="W608" s="230"/>
      <c r="X608" s="230"/>
      <c r="Y608" s="230"/>
      <c r="Z608" s="230"/>
    </row>
    <row r="609" spans="1:26" ht="15.75" customHeight="1">
      <c r="A609" s="230"/>
      <c r="B609" s="230"/>
      <c r="C609" s="230"/>
      <c r="D609" s="230"/>
      <c r="E609" s="230"/>
      <c r="F609" s="230"/>
      <c r="G609" s="230"/>
      <c r="H609" s="230"/>
      <c r="I609" s="230"/>
      <c r="J609" s="230"/>
      <c r="K609" s="230"/>
      <c r="L609" s="230"/>
      <c r="M609" s="230"/>
      <c r="N609" s="230"/>
      <c r="O609" s="230"/>
      <c r="P609" s="230"/>
      <c r="Q609" s="230"/>
      <c r="R609" s="230"/>
      <c r="S609" s="230"/>
      <c r="T609" s="230"/>
      <c r="U609" s="230"/>
      <c r="V609" s="230"/>
      <c r="W609" s="230"/>
      <c r="X609" s="230"/>
      <c r="Y609" s="230"/>
      <c r="Z609" s="230"/>
    </row>
    <row r="610" spans="1:26" ht="15.75" customHeight="1">
      <c r="A610" s="230"/>
      <c r="B610" s="230"/>
      <c r="C610" s="230"/>
      <c r="D610" s="230"/>
      <c r="E610" s="230"/>
      <c r="F610" s="230"/>
      <c r="G610" s="230"/>
      <c r="H610" s="230"/>
      <c r="I610" s="230"/>
      <c r="J610" s="230"/>
      <c r="K610" s="230"/>
      <c r="L610" s="230"/>
      <c r="M610" s="230"/>
      <c r="N610" s="230"/>
      <c r="O610" s="230"/>
      <c r="P610" s="230"/>
      <c r="Q610" s="230"/>
      <c r="R610" s="230"/>
      <c r="S610" s="230"/>
      <c r="T610" s="230"/>
      <c r="U610" s="230"/>
      <c r="V610" s="230"/>
      <c r="W610" s="230"/>
      <c r="X610" s="230"/>
      <c r="Y610" s="230"/>
      <c r="Z610" s="230"/>
    </row>
    <row r="611" spans="1:26" ht="15.75" customHeight="1">
      <c r="A611" s="230"/>
      <c r="B611" s="230"/>
      <c r="C611" s="230"/>
      <c r="D611" s="230"/>
      <c r="E611" s="230"/>
      <c r="F611" s="230"/>
      <c r="G611" s="230"/>
      <c r="H611" s="230"/>
      <c r="I611" s="230"/>
      <c r="J611" s="230"/>
      <c r="K611" s="230"/>
      <c r="L611" s="230"/>
      <c r="M611" s="230"/>
      <c r="N611" s="230"/>
      <c r="O611" s="230"/>
      <c r="P611" s="230"/>
      <c r="Q611" s="230"/>
      <c r="R611" s="230"/>
      <c r="S611" s="230"/>
      <c r="T611" s="230"/>
      <c r="U611" s="230"/>
      <c r="V611" s="230"/>
      <c r="W611" s="230"/>
      <c r="X611" s="230"/>
      <c r="Y611" s="230"/>
      <c r="Z611" s="230"/>
    </row>
    <row r="612" spans="1:26" ht="15.75" customHeight="1">
      <c r="A612" s="230"/>
      <c r="B612" s="230"/>
      <c r="C612" s="230"/>
      <c r="D612" s="230"/>
      <c r="E612" s="230"/>
      <c r="F612" s="230"/>
      <c r="G612" s="230"/>
      <c r="H612" s="230"/>
      <c r="I612" s="230"/>
      <c r="J612" s="230"/>
      <c r="K612" s="230"/>
      <c r="L612" s="230"/>
      <c r="M612" s="230"/>
      <c r="N612" s="230"/>
      <c r="O612" s="230"/>
      <c r="P612" s="230"/>
      <c r="Q612" s="230"/>
      <c r="R612" s="230"/>
      <c r="S612" s="230"/>
      <c r="T612" s="230"/>
      <c r="U612" s="230"/>
      <c r="V612" s="230"/>
      <c r="W612" s="230"/>
      <c r="X612" s="230"/>
      <c r="Y612" s="230"/>
      <c r="Z612" s="230"/>
    </row>
    <row r="613" spans="1:26" ht="15.75" customHeight="1">
      <c r="A613" s="230"/>
      <c r="B613" s="230"/>
      <c r="C613" s="230"/>
      <c r="D613" s="230"/>
      <c r="E613" s="230"/>
      <c r="F613" s="230"/>
      <c r="G613" s="230"/>
      <c r="H613" s="230"/>
      <c r="I613" s="230"/>
      <c r="J613" s="230"/>
      <c r="K613" s="230"/>
      <c r="L613" s="230"/>
      <c r="M613" s="230"/>
      <c r="N613" s="230"/>
      <c r="O613" s="230"/>
      <c r="P613" s="230"/>
      <c r="Q613" s="230"/>
      <c r="R613" s="230"/>
      <c r="S613" s="230"/>
      <c r="T613" s="230"/>
      <c r="U613" s="230"/>
      <c r="V613" s="230"/>
      <c r="W613" s="230"/>
      <c r="X613" s="230"/>
      <c r="Y613" s="230"/>
      <c r="Z613" s="230"/>
    </row>
    <row r="614" spans="1:26" ht="15.75" customHeight="1">
      <c r="A614" s="230"/>
      <c r="B614" s="230"/>
      <c r="C614" s="230"/>
      <c r="D614" s="230"/>
      <c r="E614" s="230"/>
      <c r="F614" s="230"/>
      <c r="G614" s="230"/>
      <c r="H614" s="230"/>
      <c r="I614" s="230"/>
      <c r="J614" s="230"/>
      <c r="K614" s="230"/>
      <c r="L614" s="230"/>
      <c r="M614" s="230"/>
      <c r="N614" s="230"/>
      <c r="O614" s="230"/>
      <c r="P614" s="230"/>
      <c r="Q614" s="230"/>
      <c r="R614" s="230"/>
      <c r="S614" s="230"/>
      <c r="T614" s="230"/>
      <c r="U614" s="230"/>
      <c r="V614" s="230"/>
      <c r="W614" s="230"/>
      <c r="X614" s="230"/>
      <c r="Y614" s="230"/>
      <c r="Z614" s="230"/>
    </row>
    <row r="615" spans="1:26" ht="15.75" customHeight="1">
      <c r="A615" s="230"/>
      <c r="B615" s="230"/>
      <c r="C615" s="230"/>
      <c r="D615" s="230"/>
      <c r="E615" s="230"/>
      <c r="F615" s="230"/>
      <c r="G615" s="230"/>
      <c r="H615" s="230"/>
      <c r="I615" s="230"/>
      <c r="J615" s="230"/>
      <c r="K615" s="230"/>
      <c r="L615" s="230"/>
      <c r="M615" s="230"/>
      <c r="N615" s="230"/>
      <c r="O615" s="230"/>
      <c r="P615" s="230"/>
      <c r="Q615" s="230"/>
      <c r="R615" s="230"/>
      <c r="S615" s="230"/>
      <c r="T615" s="230"/>
      <c r="U615" s="230"/>
      <c r="V615" s="230"/>
      <c r="W615" s="230"/>
      <c r="X615" s="230"/>
      <c r="Y615" s="230"/>
      <c r="Z615" s="230"/>
    </row>
    <row r="616" spans="1:26" ht="15.75" customHeight="1">
      <c r="A616" s="230"/>
      <c r="B616" s="230"/>
      <c r="C616" s="230"/>
      <c r="D616" s="230"/>
      <c r="E616" s="230"/>
      <c r="F616" s="230"/>
      <c r="G616" s="230"/>
      <c r="H616" s="230"/>
      <c r="I616" s="230"/>
      <c r="J616" s="230"/>
      <c r="K616" s="230"/>
      <c r="L616" s="230"/>
      <c r="M616" s="230"/>
      <c r="N616" s="230"/>
      <c r="O616" s="230"/>
      <c r="P616" s="230"/>
      <c r="Q616" s="230"/>
      <c r="R616" s="230"/>
      <c r="S616" s="230"/>
      <c r="T616" s="230"/>
      <c r="U616" s="230"/>
      <c r="V616" s="230"/>
      <c r="W616" s="230"/>
      <c r="X616" s="230"/>
      <c r="Y616" s="230"/>
      <c r="Z616" s="230"/>
    </row>
    <row r="617" spans="1:26" ht="15.75" customHeight="1">
      <c r="A617" s="230"/>
      <c r="B617" s="230"/>
      <c r="C617" s="230"/>
      <c r="D617" s="230"/>
      <c r="E617" s="230"/>
      <c r="F617" s="230"/>
      <c r="G617" s="230"/>
      <c r="H617" s="230"/>
      <c r="I617" s="230"/>
      <c r="J617" s="230"/>
      <c r="K617" s="230"/>
      <c r="L617" s="230"/>
      <c r="M617" s="230"/>
      <c r="N617" s="230"/>
      <c r="O617" s="230"/>
      <c r="P617" s="230"/>
      <c r="Q617" s="230"/>
      <c r="R617" s="230"/>
      <c r="S617" s="230"/>
      <c r="T617" s="230"/>
      <c r="U617" s="230"/>
      <c r="V617" s="230"/>
      <c r="W617" s="230"/>
      <c r="X617" s="230"/>
      <c r="Y617" s="230"/>
      <c r="Z617" s="230"/>
    </row>
    <row r="618" spans="1:26" ht="15.75" customHeight="1">
      <c r="A618" s="230"/>
      <c r="B618" s="230"/>
      <c r="C618" s="230"/>
      <c r="D618" s="230"/>
      <c r="E618" s="230"/>
      <c r="F618" s="230"/>
      <c r="G618" s="230"/>
      <c r="H618" s="230"/>
      <c r="I618" s="230"/>
      <c r="J618" s="230"/>
      <c r="K618" s="230"/>
      <c r="L618" s="230"/>
      <c r="M618" s="230"/>
      <c r="N618" s="230"/>
      <c r="O618" s="230"/>
      <c r="P618" s="230"/>
      <c r="Q618" s="230"/>
      <c r="R618" s="230"/>
      <c r="S618" s="230"/>
      <c r="T618" s="230"/>
      <c r="U618" s="230"/>
      <c r="V618" s="230"/>
      <c r="W618" s="230"/>
      <c r="X618" s="230"/>
      <c r="Y618" s="230"/>
      <c r="Z618" s="230"/>
    </row>
    <row r="619" spans="1:26" ht="15.75" customHeight="1">
      <c r="A619" s="230"/>
      <c r="B619" s="230"/>
      <c r="C619" s="230"/>
      <c r="D619" s="230"/>
      <c r="E619" s="230"/>
      <c r="F619" s="230"/>
      <c r="G619" s="230"/>
      <c r="H619" s="230"/>
      <c r="I619" s="230"/>
      <c r="J619" s="230"/>
      <c r="K619" s="230"/>
      <c r="L619" s="230"/>
      <c r="M619" s="230"/>
      <c r="N619" s="230"/>
      <c r="O619" s="230"/>
      <c r="P619" s="230"/>
      <c r="Q619" s="230"/>
      <c r="R619" s="230"/>
      <c r="S619" s="230"/>
      <c r="T619" s="230"/>
      <c r="U619" s="230"/>
      <c r="V619" s="230"/>
      <c r="W619" s="230"/>
      <c r="X619" s="230"/>
      <c r="Y619" s="230"/>
      <c r="Z619" s="230"/>
    </row>
    <row r="620" spans="1:26" ht="15.75" customHeight="1">
      <c r="A620" s="230"/>
      <c r="B620" s="230"/>
      <c r="C620" s="230"/>
      <c r="D620" s="230"/>
      <c r="E620" s="230"/>
      <c r="F620" s="230"/>
      <c r="G620" s="230"/>
      <c r="H620" s="230"/>
      <c r="I620" s="230"/>
      <c r="J620" s="230"/>
      <c r="K620" s="230"/>
      <c r="L620" s="230"/>
      <c r="M620" s="230"/>
      <c r="N620" s="230"/>
      <c r="O620" s="230"/>
      <c r="P620" s="230"/>
      <c r="Q620" s="230"/>
      <c r="R620" s="230"/>
      <c r="S620" s="230"/>
      <c r="T620" s="230"/>
      <c r="U620" s="230"/>
      <c r="V620" s="230"/>
      <c r="W620" s="230"/>
      <c r="X620" s="230"/>
      <c r="Y620" s="230"/>
      <c r="Z620" s="230"/>
    </row>
    <row r="621" spans="1:26" ht="15.75" customHeight="1">
      <c r="A621" s="230"/>
      <c r="B621" s="230"/>
      <c r="C621" s="230"/>
      <c r="D621" s="230"/>
      <c r="E621" s="230"/>
      <c r="F621" s="230"/>
      <c r="G621" s="230"/>
      <c r="H621" s="230"/>
      <c r="I621" s="230"/>
      <c r="J621" s="230"/>
      <c r="K621" s="230"/>
      <c r="L621" s="230"/>
      <c r="M621" s="230"/>
      <c r="N621" s="230"/>
      <c r="O621" s="230"/>
      <c r="P621" s="230"/>
      <c r="Q621" s="230"/>
      <c r="R621" s="230"/>
      <c r="S621" s="230"/>
      <c r="T621" s="230"/>
      <c r="U621" s="230"/>
      <c r="V621" s="230"/>
      <c r="W621" s="230"/>
      <c r="X621" s="230"/>
      <c r="Y621" s="230"/>
      <c r="Z621" s="230"/>
    </row>
    <row r="622" spans="1:26" ht="15.75" customHeight="1">
      <c r="A622" s="230"/>
      <c r="B622" s="230"/>
      <c r="C622" s="230"/>
      <c r="D622" s="230"/>
      <c r="E622" s="230"/>
      <c r="F622" s="230"/>
      <c r="G622" s="230"/>
      <c r="H622" s="230"/>
      <c r="I622" s="230"/>
      <c r="J622" s="230"/>
      <c r="K622" s="230"/>
      <c r="L622" s="230"/>
      <c r="M622" s="230"/>
      <c r="N622" s="230"/>
      <c r="O622" s="230"/>
      <c r="P622" s="230"/>
      <c r="Q622" s="230"/>
      <c r="R622" s="230"/>
      <c r="S622" s="230"/>
      <c r="T622" s="230"/>
      <c r="U622" s="230"/>
      <c r="V622" s="230"/>
      <c r="W622" s="230"/>
      <c r="X622" s="230"/>
      <c r="Y622" s="230"/>
      <c r="Z622" s="230"/>
    </row>
    <row r="623" spans="1:26" ht="15.75" customHeight="1">
      <c r="A623" s="230"/>
      <c r="B623" s="230"/>
      <c r="C623" s="230"/>
      <c r="D623" s="230"/>
      <c r="E623" s="230"/>
      <c r="F623" s="230"/>
      <c r="G623" s="230"/>
      <c r="H623" s="230"/>
      <c r="I623" s="230"/>
      <c r="J623" s="230"/>
      <c r="K623" s="230"/>
      <c r="L623" s="230"/>
      <c r="M623" s="230"/>
      <c r="N623" s="230"/>
      <c r="O623" s="230"/>
      <c r="P623" s="230"/>
      <c r="Q623" s="230"/>
      <c r="R623" s="230"/>
      <c r="S623" s="230"/>
      <c r="T623" s="230"/>
      <c r="U623" s="230"/>
      <c r="V623" s="230"/>
      <c r="W623" s="230"/>
      <c r="X623" s="230"/>
      <c r="Y623" s="230"/>
      <c r="Z623" s="230"/>
    </row>
    <row r="624" spans="1:26" ht="15.75" customHeight="1">
      <c r="A624" s="230"/>
      <c r="B624" s="230"/>
      <c r="C624" s="230"/>
      <c r="D624" s="230"/>
      <c r="E624" s="230"/>
      <c r="F624" s="230"/>
      <c r="G624" s="230"/>
      <c r="H624" s="230"/>
      <c r="I624" s="230"/>
      <c r="J624" s="230"/>
      <c r="K624" s="230"/>
      <c r="L624" s="230"/>
      <c r="M624" s="230"/>
      <c r="N624" s="230"/>
      <c r="O624" s="230"/>
      <c r="P624" s="230"/>
      <c r="Q624" s="230"/>
      <c r="R624" s="230"/>
      <c r="S624" s="230"/>
      <c r="T624" s="230"/>
      <c r="U624" s="230"/>
      <c r="V624" s="230"/>
      <c r="W624" s="230"/>
      <c r="X624" s="230"/>
      <c r="Y624" s="230"/>
      <c r="Z624" s="230"/>
    </row>
    <row r="625" spans="1:26" ht="15.75" customHeight="1">
      <c r="A625" s="230"/>
      <c r="B625" s="230"/>
      <c r="C625" s="230"/>
      <c r="D625" s="230"/>
      <c r="E625" s="230"/>
      <c r="F625" s="230"/>
      <c r="G625" s="230"/>
      <c r="H625" s="230"/>
      <c r="I625" s="230"/>
      <c r="J625" s="230"/>
      <c r="K625" s="230"/>
      <c r="L625" s="230"/>
      <c r="M625" s="230"/>
      <c r="N625" s="230"/>
      <c r="O625" s="230"/>
      <c r="P625" s="230"/>
      <c r="Q625" s="230"/>
      <c r="R625" s="230"/>
      <c r="S625" s="230"/>
      <c r="T625" s="230"/>
      <c r="U625" s="230"/>
      <c r="V625" s="230"/>
      <c r="W625" s="230"/>
      <c r="X625" s="230"/>
      <c r="Y625" s="230"/>
      <c r="Z625" s="230"/>
    </row>
    <row r="626" spans="1:26" ht="15.75" customHeight="1">
      <c r="A626" s="230"/>
      <c r="B626" s="230"/>
      <c r="C626" s="230"/>
      <c r="D626" s="230"/>
      <c r="E626" s="230"/>
      <c r="F626" s="230"/>
      <c r="G626" s="230"/>
      <c r="H626" s="230"/>
      <c r="I626" s="230"/>
      <c r="J626" s="230"/>
      <c r="K626" s="230"/>
      <c r="L626" s="230"/>
      <c r="M626" s="230"/>
      <c r="N626" s="230"/>
      <c r="O626" s="230"/>
      <c r="P626" s="230"/>
      <c r="Q626" s="230"/>
      <c r="R626" s="230"/>
      <c r="S626" s="230"/>
      <c r="T626" s="230"/>
      <c r="U626" s="230"/>
      <c r="V626" s="230"/>
      <c r="W626" s="230"/>
      <c r="X626" s="230"/>
      <c r="Y626" s="230"/>
      <c r="Z626" s="230"/>
    </row>
    <row r="627" spans="1:26" ht="15.75" customHeight="1">
      <c r="A627" s="230"/>
      <c r="B627" s="230"/>
      <c r="C627" s="230"/>
      <c r="D627" s="230"/>
      <c r="E627" s="230"/>
      <c r="F627" s="230"/>
      <c r="G627" s="230"/>
      <c r="H627" s="230"/>
      <c r="I627" s="230"/>
      <c r="J627" s="230"/>
      <c r="K627" s="230"/>
      <c r="L627" s="230"/>
      <c r="M627" s="230"/>
      <c r="N627" s="230"/>
      <c r="O627" s="230"/>
      <c r="P627" s="230"/>
      <c r="Q627" s="230"/>
      <c r="R627" s="230"/>
      <c r="S627" s="230"/>
      <c r="T627" s="230"/>
      <c r="U627" s="230"/>
      <c r="V627" s="230"/>
      <c r="W627" s="230"/>
      <c r="X627" s="230"/>
      <c r="Y627" s="230"/>
      <c r="Z627" s="230"/>
    </row>
    <row r="628" spans="1:26" ht="15.75" customHeight="1">
      <c r="A628" s="230"/>
      <c r="B628" s="230"/>
      <c r="C628" s="230"/>
      <c r="D628" s="230"/>
      <c r="E628" s="230"/>
      <c r="F628" s="230"/>
      <c r="G628" s="230"/>
      <c r="H628" s="230"/>
      <c r="I628" s="230"/>
      <c r="J628" s="230"/>
      <c r="K628" s="230"/>
      <c r="L628" s="230"/>
      <c r="M628" s="230"/>
      <c r="N628" s="230"/>
      <c r="O628" s="230"/>
      <c r="P628" s="230"/>
      <c r="Q628" s="230"/>
      <c r="R628" s="230"/>
      <c r="S628" s="230"/>
      <c r="T628" s="230"/>
      <c r="U628" s="230"/>
      <c r="V628" s="230"/>
      <c r="W628" s="230"/>
      <c r="X628" s="230"/>
      <c r="Y628" s="230"/>
      <c r="Z628" s="230"/>
    </row>
    <row r="629" spans="1:26" ht="15.75" customHeight="1">
      <c r="A629" s="230"/>
      <c r="B629" s="230"/>
      <c r="C629" s="230"/>
      <c r="D629" s="230"/>
      <c r="E629" s="230"/>
      <c r="F629" s="230"/>
      <c r="G629" s="230"/>
      <c r="H629" s="230"/>
      <c r="I629" s="230"/>
      <c r="J629" s="230"/>
      <c r="K629" s="230"/>
      <c r="L629" s="230"/>
      <c r="M629" s="230"/>
      <c r="N629" s="230"/>
      <c r="O629" s="230"/>
      <c r="P629" s="230"/>
      <c r="Q629" s="230"/>
      <c r="R629" s="230"/>
      <c r="S629" s="230"/>
      <c r="T629" s="230"/>
      <c r="U629" s="230"/>
      <c r="V629" s="230"/>
      <c r="W629" s="230"/>
      <c r="X629" s="230"/>
      <c r="Y629" s="230"/>
      <c r="Z629" s="230"/>
    </row>
    <row r="630" spans="1:26" ht="15.75" customHeight="1">
      <c r="A630" s="230"/>
      <c r="B630" s="230"/>
      <c r="C630" s="230"/>
      <c r="D630" s="230"/>
      <c r="E630" s="230"/>
      <c r="F630" s="230"/>
      <c r="G630" s="230"/>
      <c r="H630" s="230"/>
      <c r="I630" s="230"/>
      <c r="J630" s="230"/>
      <c r="K630" s="230"/>
      <c r="L630" s="230"/>
      <c r="M630" s="230"/>
      <c r="N630" s="230"/>
      <c r="O630" s="230"/>
      <c r="P630" s="230"/>
      <c r="Q630" s="230"/>
      <c r="R630" s="230"/>
      <c r="S630" s="230"/>
      <c r="T630" s="230"/>
      <c r="U630" s="230"/>
      <c r="V630" s="230"/>
      <c r="W630" s="230"/>
      <c r="X630" s="230"/>
      <c r="Y630" s="230"/>
      <c r="Z630" s="230"/>
    </row>
    <row r="631" spans="1:26" ht="15.75" customHeight="1">
      <c r="A631" s="230"/>
      <c r="B631" s="230"/>
      <c r="C631" s="230"/>
      <c r="D631" s="230"/>
      <c r="E631" s="230"/>
      <c r="F631" s="230"/>
      <c r="G631" s="230"/>
      <c r="H631" s="230"/>
      <c r="I631" s="230"/>
      <c r="J631" s="230"/>
      <c r="K631" s="230"/>
      <c r="L631" s="230"/>
      <c r="M631" s="230"/>
      <c r="N631" s="230"/>
      <c r="O631" s="230"/>
      <c r="P631" s="230"/>
      <c r="Q631" s="230"/>
      <c r="R631" s="230"/>
      <c r="S631" s="230"/>
      <c r="T631" s="230"/>
      <c r="U631" s="230"/>
      <c r="V631" s="230"/>
      <c r="W631" s="230"/>
      <c r="X631" s="230"/>
      <c r="Y631" s="230"/>
      <c r="Z631" s="230"/>
    </row>
    <row r="632" spans="1:26" ht="15.75" customHeight="1">
      <c r="A632" s="230"/>
      <c r="B632" s="230"/>
      <c r="C632" s="230"/>
      <c r="D632" s="230"/>
      <c r="E632" s="230"/>
      <c r="F632" s="230"/>
      <c r="G632" s="230"/>
      <c r="H632" s="230"/>
      <c r="I632" s="230"/>
      <c r="J632" s="230"/>
      <c r="K632" s="230"/>
      <c r="L632" s="230"/>
      <c r="M632" s="230"/>
      <c r="N632" s="230"/>
      <c r="O632" s="230"/>
      <c r="P632" s="230"/>
      <c r="Q632" s="230"/>
      <c r="R632" s="230"/>
      <c r="S632" s="230"/>
      <c r="T632" s="230"/>
      <c r="U632" s="230"/>
      <c r="V632" s="230"/>
      <c r="W632" s="230"/>
      <c r="X632" s="230"/>
      <c r="Y632" s="230"/>
      <c r="Z632" s="230"/>
    </row>
    <row r="633" spans="1:26" ht="15.75" customHeight="1">
      <c r="A633" s="230"/>
      <c r="B633" s="230"/>
      <c r="C633" s="230"/>
      <c r="D633" s="230"/>
      <c r="E633" s="230"/>
      <c r="F633" s="230"/>
      <c r="G633" s="230"/>
      <c r="H633" s="230"/>
      <c r="I633" s="230"/>
      <c r="J633" s="230"/>
      <c r="K633" s="230"/>
      <c r="L633" s="230"/>
      <c r="M633" s="230"/>
      <c r="N633" s="230"/>
      <c r="O633" s="230"/>
      <c r="P633" s="230"/>
      <c r="Q633" s="230"/>
      <c r="R633" s="230"/>
      <c r="S633" s="230"/>
      <c r="T633" s="230"/>
      <c r="U633" s="230"/>
      <c r="V633" s="230"/>
      <c r="W633" s="230"/>
      <c r="X633" s="230"/>
      <c r="Y633" s="230"/>
      <c r="Z633" s="230"/>
    </row>
    <row r="634" spans="1:26" ht="15.75" customHeight="1">
      <c r="A634" s="230"/>
      <c r="B634" s="230"/>
      <c r="C634" s="230"/>
      <c r="D634" s="230"/>
      <c r="E634" s="230"/>
      <c r="F634" s="230"/>
      <c r="G634" s="230"/>
      <c r="H634" s="230"/>
      <c r="I634" s="230"/>
      <c r="J634" s="230"/>
      <c r="K634" s="230"/>
      <c r="L634" s="230"/>
      <c r="M634" s="230"/>
      <c r="N634" s="230"/>
      <c r="O634" s="230"/>
      <c r="P634" s="230"/>
      <c r="Q634" s="230"/>
      <c r="R634" s="230"/>
      <c r="S634" s="230"/>
      <c r="T634" s="230"/>
      <c r="U634" s="230"/>
      <c r="V634" s="230"/>
      <c r="W634" s="230"/>
      <c r="X634" s="230"/>
      <c r="Y634" s="230"/>
      <c r="Z634" s="230"/>
    </row>
    <row r="635" spans="1:26" ht="15.75" customHeight="1">
      <c r="A635" s="230"/>
      <c r="B635" s="230"/>
      <c r="C635" s="230"/>
      <c r="D635" s="230"/>
      <c r="E635" s="230"/>
      <c r="F635" s="230"/>
      <c r="G635" s="230"/>
      <c r="H635" s="230"/>
      <c r="I635" s="230"/>
      <c r="J635" s="230"/>
      <c r="K635" s="230"/>
      <c r="L635" s="230"/>
      <c r="M635" s="230"/>
      <c r="N635" s="230"/>
      <c r="O635" s="230"/>
      <c r="P635" s="230"/>
      <c r="Q635" s="230"/>
      <c r="R635" s="230"/>
      <c r="S635" s="230"/>
      <c r="T635" s="230"/>
      <c r="U635" s="230"/>
      <c r="V635" s="230"/>
      <c r="W635" s="230"/>
      <c r="X635" s="230"/>
      <c r="Y635" s="230"/>
      <c r="Z635" s="230"/>
    </row>
    <row r="636" spans="1:26" ht="15.75" customHeight="1">
      <c r="A636" s="230"/>
      <c r="B636" s="230"/>
      <c r="C636" s="230"/>
      <c r="D636" s="230"/>
      <c r="E636" s="230"/>
      <c r="F636" s="230"/>
      <c r="G636" s="230"/>
      <c r="H636" s="230"/>
      <c r="I636" s="230"/>
      <c r="J636" s="230"/>
      <c r="K636" s="230"/>
      <c r="L636" s="230"/>
      <c r="M636" s="230"/>
      <c r="N636" s="230"/>
      <c r="O636" s="230"/>
      <c r="P636" s="230"/>
      <c r="Q636" s="230"/>
      <c r="R636" s="230"/>
      <c r="S636" s="230"/>
      <c r="T636" s="230"/>
      <c r="U636" s="230"/>
      <c r="V636" s="230"/>
      <c r="W636" s="230"/>
      <c r="X636" s="230"/>
      <c r="Y636" s="230"/>
      <c r="Z636" s="230"/>
    </row>
    <row r="637" spans="1:26" ht="15.75" customHeight="1">
      <c r="A637" s="230"/>
      <c r="B637" s="230"/>
      <c r="C637" s="230"/>
      <c r="D637" s="230"/>
      <c r="E637" s="230"/>
      <c r="F637" s="230"/>
      <c r="G637" s="230"/>
      <c r="H637" s="230"/>
      <c r="I637" s="230"/>
      <c r="J637" s="230"/>
      <c r="K637" s="230"/>
      <c r="L637" s="230"/>
      <c r="M637" s="230"/>
      <c r="N637" s="230"/>
      <c r="O637" s="230"/>
      <c r="P637" s="230"/>
      <c r="Q637" s="230"/>
      <c r="R637" s="230"/>
      <c r="S637" s="230"/>
      <c r="T637" s="230"/>
      <c r="U637" s="230"/>
      <c r="V637" s="230"/>
      <c r="W637" s="230"/>
      <c r="X637" s="230"/>
      <c r="Y637" s="230"/>
      <c r="Z637" s="230"/>
    </row>
    <row r="638" spans="1:26" ht="15.75" customHeight="1">
      <c r="A638" s="230"/>
      <c r="B638" s="230"/>
      <c r="C638" s="230"/>
      <c r="D638" s="230"/>
      <c r="E638" s="230"/>
      <c r="F638" s="230"/>
      <c r="G638" s="230"/>
      <c r="H638" s="230"/>
      <c r="I638" s="230"/>
      <c r="J638" s="230"/>
      <c r="K638" s="230"/>
      <c r="L638" s="230"/>
      <c r="M638" s="230"/>
      <c r="N638" s="230"/>
      <c r="O638" s="230"/>
      <c r="P638" s="230"/>
      <c r="Q638" s="230"/>
      <c r="R638" s="230"/>
      <c r="S638" s="230"/>
      <c r="T638" s="230"/>
      <c r="U638" s="230"/>
      <c r="V638" s="230"/>
      <c r="W638" s="230"/>
      <c r="X638" s="230"/>
      <c r="Y638" s="230"/>
      <c r="Z638" s="230"/>
    </row>
    <row r="639" spans="1:26" ht="15.75" customHeight="1">
      <c r="A639" s="230"/>
      <c r="B639" s="230"/>
      <c r="C639" s="230"/>
      <c r="D639" s="230"/>
      <c r="E639" s="230"/>
      <c r="F639" s="230"/>
      <c r="G639" s="230"/>
      <c r="H639" s="230"/>
      <c r="I639" s="230"/>
      <c r="J639" s="230"/>
      <c r="K639" s="230"/>
      <c r="L639" s="230"/>
      <c r="M639" s="230"/>
      <c r="N639" s="230"/>
      <c r="O639" s="230"/>
      <c r="P639" s="230"/>
      <c r="Q639" s="230"/>
      <c r="R639" s="230"/>
      <c r="S639" s="230"/>
      <c r="T639" s="230"/>
      <c r="U639" s="230"/>
      <c r="V639" s="230"/>
      <c r="W639" s="230"/>
      <c r="X639" s="230"/>
      <c r="Y639" s="230"/>
      <c r="Z639" s="230"/>
    </row>
    <row r="640" spans="1:26" ht="15.75" customHeight="1">
      <c r="A640" s="230"/>
      <c r="B640" s="230"/>
      <c r="C640" s="230"/>
      <c r="D640" s="230"/>
      <c r="E640" s="230"/>
      <c r="F640" s="230"/>
      <c r="G640" s="230"/>
      <c r="H640" s="230"/>
      <c r="I640" s="230"/>
      <c r="J640" s="230"/>
      <c r="K640" s="230"/>
      <c r="L640" s="230"/>
      <c r="M640" s="230"/>
      <c r="N640" s="230"/>
      <c r="O640" s="230"/>
      <c r="P640" s="230"/>
      <c r="Q640" s="230"/>
      <c r="R640" s="230"/>
      <c r="S640" s="230"/>
      <c r="T640" s="230"/>
      <c r="U640" s="230"/>
      <c r="V640" s="230"/>
      <c r="W640" s="230"/>
      <c r="X640" s="230"/>
      <c r="Y640" s="230"/>
      <c r="Z640" s="230"/>
    </row>
    <row r="641" spans="1:26" ht="15.75" customHeight="1">
      <c r="A641" s="230"/>
      <c r="B641" s="230"/>
      <c r="C641" s="230"/>
      <c r="D641" s="230"/>
      <c r="E641" s="230"/>
      <c r="F641" s="230"/>
      <c r="G641" s="230"/>
      <c r="H641" s="230"/>
      <c r="I641" s="230"/>
      <c r="J641" s="230"/>
      <c r="K641" s="230"/>
      <c r="L641" s="230"/>
      <c r="M641" s="230"/>
      <c r="N641" s="230"/>
      <c r="O641" s="230"/>
      <c r="P641" s="230"/>
      <c r="Q641" s="230"/>
      <c r="R641" s="230"/>
      <c r="S641" s="230"/>
      <c r="T641" s="230"/>
      <c r="U641" s="230"/>
      <c r="V641" s="230"/>
      <c r="W641" s="230"/>
      <c r="X641" s="230"/>
      <c r="Y641" s="230"/>
      <c r="Z641" s="230"/>
    </row>
    <row r="642" spans="1:26" ht="15.75" customHeight="1">
      <c r="A642" s="230"/>
      <c r="B642" s="230"/>
      <c r="C642" s="230"/>
      <c r="D642" s="230"/>
      <c r="E642" s="230"/>
      <c r="F642" s="230"/>
      <c r="G642" s="230"/>
      <c r="H642" s="230"/>
      <c r="I642" s="230"/>
      <c r="J642" s="230"/>
      <c r="K642" s="230"/>
      <c r="L642" s="230"/>
      <c r="M642" s="230"/>
      <c r="N642" s="230"/>
      <c r="O642" s="230"/>
      <c r="P642" s="230"/>
      <c r="Q642" s="230"/>
      <c r="R642" s="230"/>
      <c r="S642" s="230"/>
      <c r="T642" s="230"/>
      <c r="U642" s="230"/>
      <c r="V642" s="230"/>
      <c r="W642" s="230"/>
      <c r="X642" s="230"/>
      <c r="Y642" s="230"/>
      <c r="Z642" s="230"/>
    </row>
    <row r="643" spans="1:26" ht="15.75" customHeight="1">
      <c r="A643" s="230"/>
      <c r="B643" s="230"/>
      <c r="C643" s="230"/>
      <c r="D643" s="230"/>
      <c r="E643" s="230"/>
      <c r="F643" s="230"/>
      <c r="G643" s="230"/>
      <c r="H643" s="230"/>
      <c r="I643" s="230"/>
      <c r="J643" s="230"/>
      <c r="K643" s="230"/>
      <c r="L643" s="230"/>
      <c r="M643" s="230"/>
      <c r="N643" s="230"/>
      <c r="O643" s="230"/>
      <c r="P643" s="230"/>
      <c r="Q643" s="230"/>
      <c r="R643" s="230"/>
      <c r="S643" s="230"/>
      <c r="T643" s="230"/>
      <c r="U643" s="230"/>
      <c r="V643" s="230"/>
      <c r="W643" s="230"/>
      <c r="X643" s="230"/>
      <c r="Y643" s="230"/>
      <c r="Z643" s="230"/>
    </row>
    <row r="644" spans="1:26" ht="15.75" customHeight="1">
      <c r="A644" s="230"/>
      <c r="B644" s="230"/>
      <c r="C644" s="230"/>
      <c r="D644" s="230"/>
      <c r="E644" s="230"/>
      <c r="F644" s="230"/>
      <c r="G644" s="230"/>
      <c r="H644" s="230"/>
      <c r="I644" s="230"/>
      <c r="J644" s="230"/>
      <c r="K644" s="230"/>
      <c r="L644" s="230"/>
      <c r="M644" s="230"/>
      <c r="N644" s="230"/>
      <c r="O644" s="230"/>
      <c r="P644" s="230"/>
      <c r="Q644" s="230"/>
      <c r="R644" s="230"/>
      <c r="S644" s="230"/>
      <c r="T644" s="230"/>
      <c r="U644" s="230"/>
      <c r="V644" s="230"/>
      <c r="W644" s="230"/>
      <c r="X644" s="230"/>
      <c r="Y644" s="230"/>
      <c r="Z644" s="230"/>
    </row>
    <row r="645" spans="1:26" ht="15.75" customHeight="1">
      <c r="A645" s="230"/>
      <c r="B645" s="230"/>
      <c r="C645" s="230"/>
      <c r="D645" s="230"/>
      <c r="E645" s="230"/>
      <c r="F645" s="230"/>
      <c r="G645" s="230"/>
      <c r="H645" s="230"/>
      <c r="I645" s="230"/>
      <c r="J645" s="230"/>
      <c r="K645" s="230"/>
      <c r="L645" s="230"/>
      <c r="M645" s="230"/>
      <c r="N645" s="230"/>
      <c r="O645" s="230"/>
      <c r="P645" s="230"/>
      <c r="Q645" s="230"/>
      <c r="R645" s="230"/>
      <c r="S645" s="230"/>
      <c r="T645" s="230"/>
      <c r="U645" s="230"/>
      <c r="V645" s="230"/>
      <c r="W645" s="230"/>
      <c r="X645" s="230"/>
      <c r="Y645" s="230"/>
      <c r="Z645" s="230"/>
    </row>
    <row r="646" spans="1:26" ht="15.75" customHeight="1">
      <c r="A646" s="230"/>
      <c r="B646" s="230"/>
      <c r="C646" s="230"/>
      <c r="D646" s="230"/>
      <c r="E646" s="230"/>
      <c r="F646" s="230"/>
      <c r="G646" s="230"/>
      <c r="H646" s="230"/>
      <c r="I646" s="230"/>
      <c r="J646" s="230"/>
      <c r="K646" s="230"/>
      <c r="L646" s="230"/>
      <c r="M646" s="230"/>
      <c r="N646" s="230"/>
      <c r="O646" s="230"/>
      <c r="P646" s="230"/>
      <c r="Q646" s="230"/>
      <c r="R646" s="230"/>
      <c r="S646" s="230"/>
      <c r="T646" s="230"/>
      <c r="U646" s="230"/>
      <c r="V646" s="230"/>
      <c r="W646" s="230"/>
      <c r="X646" s="230"/>
      <c r="Y646" s="230"/>
      <c r="Z646" s="230"/>
    </row>
    <row r="647" spans="1:26" ht="15.75" customHeight="1">
      <c r="A647" s="230"/>
      <c r="B647" s="230"/>
      <c r="C647" s="230"/>
      <c r="D647" s="230"/>
      <c r="E647" s="230"/>
      <c r="F647" s="230"/>
      <c r="G647" s="230"/>
      <c r="H647" s="230"/>
      <c r="I647" s="230"/>
      <c r="J647" s="230"/>
      <c r="K647" s="230"/>
      <c r="L647" s="230"/>
      <c r="M647" s="230"/>
      <c r="N647" s="230"/>
      <c r="O647" s="230"/>
      <c r="P647" s="230"/>
      <c r="Q647" s="230"/>
      <c r="R647" s="230"/>
      <c r="S647" s="230"/>
      <c r="T647" s="230"/>
      <c r="U647" s="230"/>
      <c r="V647" s="230"/>
      <c r="W647" s="230"/>
      <c r="X647" s="230"/>
      <c r="Y647" s="230"/>
      <c r="Z647" s="230"/>
    </row>
    <row r="648" spans="1:26" ht="15.75" customHeight="1">
      <c r="A648" s="230"/>
      <c r="B648" s="230"/>
      <c r="C648" s="230"/>
      <c r="D648" s="230"/>
      <c r="E648" s="230"/>
      <c r="F648" s="230"/>
      <c r="G648" s="230"/>
      <c r="H648" s="230"/>
      <c r="I648" s="230"/>
      <c r="J648" s="230"/>
      <c r="K648" s="230"/>
      <c r="L648" s="230"/>
      <c r="M648" s="230"/>
      <c r="N648" s="230"/>
      <c r="O648" s="230"/>
      <c r="P648" s="230"/>
      <c r="Q648" s="230"/>
      <c r="R648" s="230"/>
      <c r="S648" s="230"/>
      <c r="T648" s="230"/>
      <c r="U648" s="230"/>
      <c r="V648" s="230"/>
      <c r="W648" s="230"/>
      <c r="X648" s="230"/>
      <c r="Y648" s="230"/>
      <c r="Z648" s="230"/>
    </row>
    <row r="649" spans="1:26" ht="15.75" customHeight="1">
      <c r="A649" s="230"/>
      <c r="B649" s="230"/>
      <c r="C649" s="230"/>
      <c r="D649" s="230"/>
      <c r="E649" s="230"/>
      <c r="F649" s="230"/>
      <c r="G649" s="230"/>
      <c r="H649" s="230"/>
      <c r="I649" s="230"/>
      <c r="J649" s="230"/>
      <c r="K649" s="230"/>
      <c r="L649" s="230"/>
      <c r="M649" s="230"/>
      <c r="N649" s="230"/>
      <c r="O649" s="230"/>
      <c r="P649" s="230"/>
      <c r="Q649" s="230"/>
      <c r="R649" s="230"/>
      <c r="S649" s="230"/>
      <c r="T649" s="230"/>
      <c r="U649" s="230"/>
      <c r="V649" s="230"/>
      <c r="W649" s="230"/>
      <c r="X649" s="230"/>
      <c r="Y649" s="230"/>
      <c r="Z649" s="230"/>
    </row>
    <row r="650" spans="1:26" ht="15.75" customHeight="1">
      <c r="A650" s="230"/>
      <c r="B650" s="230"/>
      <c r="C650" s="230"/>
      <c r="D650" s="230"/>
      <c r="E650" s="230"/>
      <c r="F650" s="230"/>
      <c r="G650" s="230"/>
      <c r="H650" s="230"/>
      <c r="I650" s="230"/>
      <c r="J650" s="230"/>
      <c r="K650" s="230"/>
      <c r="L650" s="230"/>
      <c r="M650" s="230"/>
      <c r="N650" s="230"/>
      <c r="O650" s="230"/>
      <c r="P650" s="230"/>
      <c r="Q650" s="230"/>
      <c r="R650" s="230"/>
      <c r="S650" s="230"/>
      <c r="T650" s="230"/>
      <c r="U650" s="230"/>
      <c r="V650" s="230"/>
      <c r="W650" s="230"/>
      <c r="X650" s="230"/>
      <c r="Y650" s="230"/>
      <c r="Z650" s="230"/>
    </row>
    <row r="651" spans="1:26" ht="15.75" customHeight="1">
      <c r="A651" s="230"/>
      <c r="B651" s="230"/>
      <c r="C651" s="230"/>
      <c r="D651" s="230"/>
      <c r="E651" s="230"/>
      <c r="F651" s="230"/>
      <c r="G651" s="230"/>
      <c r="H651" s="230"/>
      <c r="I651" s="230"/>
      <c r="J651" s="230"/>
      <c r="K651" s="230"/>
      <c r="L651" s="230"/>
      <c r="M651" s="230"/>
      <c r="N651" s="230"/>
      <c r="O651" s="230"/>
      <c r="P651" s="230"/>
      <c r="Q651" s="230"/>
      <c r="R651" s="230"/>
      <c r="S651" s="230"/>
      <c r="T651" s="230"/>
      <c r="U651" s="230"/>
      <c r="V651" s="230"/>
      <c r="W651" s="230"/>
      <c r="X651" s="230"/>
      <c r="Y651" s="230"/>
      <c r="Z651" s="230"/>
    </row>
    <row r="652" spans="1:26" ht="15.75" customHeight="1">
      <c r="A652" s="230"/>
      <c r="B652" s="230"/>
      <c r="C652" s="230"/>
      <c r="D652" s="230"/>
      <c r="E652" s="230"/>
      <c r="F652" s="230"/>
      <c r="G652" s="230"/>
      <c r="H652" s="230"/>
      <c r="I652" s="230"/>
      <c r="J652" s="230"/>
      <c r="K652" s="230"/>
      <c r="L652" s="230"/>
      <c r="M652" s="230"/>
      <c r="N652" s="230"/>
      <c r="O652" s="230"/>
      <c r="P652" s="230"/>
      <c r="Q652" s="230"/>
      <c r="R652" s="230"/>
      <c r="S652" s="230"/>
      <c r="T652" s="230"/>
      <c r="U652" s="230"/>
      <c r="V652" s="230"/>
      <c r="W652" s="230"/>
      <c r="X652" s="230"/>
      <c r="Y652" s="230"/>
      <c r="Z652" s="230"/>
    </row>
    <row r="653" spans="1:26" ht="15.75" customHeight="1">
      <c r="A653" s="230"/>
      <c r="B653" s="230"/>
      <c r="C653" s="230"/>
      <c r="D653" s="230"/>
      <c r="E653" s="230"/>
      <c r="F653" s="230"/>
      <c r="G653" s="230"/>
      <c r="H653" s="230"/>
      <c r="I653" s="230"/>
      <c r="J653" s="230"/>
      <c r="K653" s="230"/>
      <c r="L653" s="230"/>
      <c r="M653" s="230"/>
      <c r="N653" s="230"/>
      <c r="O653" s="230"/>
      <c r="P653" s="230"/>
      <c r="Q653" s="230"/>
      <c r="R653" s="230"/>
      <c r="S653" s="230"/>
      <c r="T653" s="230"/>
      <c r="U653" s="230"/>
      <c r="V653" s="230"/>
      <c r="W653" s="230"/>
      <c r="X653" s="230"/>
      <c r="Y653" s="230"/>
      <c r="Z653" s="230"/>
    </row>
    <row r="654" spans="1:26" ht="15.75" customHeight="1">
      <c r="A654" s="230"/>
      <c r="B654" s="230"/>
      <c r="C654" s="230"/>
      <c r="D654" s="230"/>
      <c r="E654" s="230"/>
      <c r="F654" s="230"/>
      <c r="G654" s="230"/>
      <c r="H654" s="230"/>
      <c r="I654" s="230"/>
      <c r="J654" s="230"/>
      <c r="K654" s="230"/>
      <c r="L654" s="230"/>
      <c r="M654" s="230"/>
      <c r="N654" s="230"/>
      <c r="O654" s="230"/>
      <c r="P654" s="230"/>
      <c r="Q654" s="230"/>
      <c r="R654" s="230"/>
      <c r="S654" s="230"/>
      <c r="T654" s="230"/>
      <c r="U654" s="230"/>
      <c r="V654" s="230"/>
      <c r="W654" s="230"/>
      <c r="X654" s="230"/>
      <c r="Y654" s="230"/>
      <c r="Z654" s="230"/>
    </row>
    <row r="655" spans="1:26" ht="15.75" customHeight="1">
      <c r="A655" s="230"/>
      <c r="B655" s="230"/>
      <c r="C655" s="230"/>
      <c r="D655" s="230"/>
      <c r="E655" s="230"/>
      <c r="F655" s="230"/>
      <c r="G655" s="230"/>
      <c r="H655" s="230"/>
      <c r="I655" s="230"/>
      <c r="J655" s="230"/>
      <c r="K655" s="230"/>
      <c r="L655" s="230"/>
      <c r="M655" s="230"/>
      <c r="N655" s="230"/>
      <c r="O655" s="230"/>
      <c r="P655" s="230"/>
      <c r="Q655" s="230"/>
      <c r="R655" s="230"/>
      <c r="S655" s="230"/>
      <c r="T655" s="230"/>
      <c r="U655" s="230"/>
      <c r="V655" s="230"/>
      <c r="W655" s="230"/>
      <c r="X655" s="230"/>
      <c r="Y655" s="230"/>
      <c r="Z655" s="230"/>
    </row>
    <row r="656" spans="1:26" ht="15.75" customHeight="1">
      <c r="A656" s="230"/>
      <c r="B656" s="230"/>
      <c r="C656" s="230"/>
      <c r="D656" s="230"/>
      <c r="E656" s="230"/>
      <c r="F656" s="230"/>
      <c r="G656" s="230"/>
      <c r="H656" s="230"/>
      <c r="I656" s="230"/>
      <c r="J656" s="230"/>
      <c r="K656" s="230"/>
      <c r="L656" s="230"/>
      <c r="M656" s="230"/>
      <c r="N656" s="230"/>
      <c r="O656" s="230"/>
      <c r="P656" s="230"/>
      <c r="Q656" s="230"/>
      <c r="R656" s="230"/>
      <c r="S656" s="230"/>
      <c r="T656" s="230"/>
      <c r="U656" s="230"/>
      <c r="V656" s="230"/>
      <c r="W656" s="230"/>
      <c r="X656" s="230"/>
      <c r="Y656" s="230"/>
      <c r="Z656" s="230"/>
    </row>
    <row r="657" spans="1:26" ht="15.75" customHeight="1">
      <c r="A657" s="230"/>
      <c r="B657" s="230"/>
      <c r="C657" s="230"/>
      <c r="D657" s="230"/>
      <c r="E657" s="230"/>
      <c r="F657" s="230"/>
      <c r="G657" s="230"/>
      <c r="H657" s="230"/>
      <c r="I657" s="230"/>
      <c r="J657" s="230"/>
      <c r="K657" s="230"/>
      <c r="L657" s="230"/>
      <c r="M657" s="230"/>
      <c r="N657" s="230"/>
      <c r="O657" s="230"/>
      <c r="P657" s="230"/>
      <c r="Q657" s="230"/>
      <c r="R657" s="230"/>
      <c r="S657" s="230"/>
      <c r="T657" s="230"/>
      <c r="U657" s="230"/>
      <c r="V657" s="230"/>
      <c r="W657" s="230"/>
      <c r="X657" s="230"/>
      <c r="Y657" s="230"/>
      <c r="Z657" s="230"/>
    </row>
    <row r="658" spans="1:26" ht="15.75" customHeight="1">
      <c r="A658" s="230"/>
      <c r="B658" s="230"/>
      <c r="C658" s="230"/>
      <c r="D658" s="230"/>
      <c r="E658" s="230"/>
      <c r="F658" s="230"/>
      <c r="G658" s="230"/>
      <c r="H658" s="230"/>
      <c r="I658" s="230"/>
      <c r="J658" s="230"/>
      <c r="K658" s="230"/>
      <c r="L658" s="230"/>
      <c r="M658" s="230"/>
      <c r="N658" s="230"/>
      <c r="O658" s="230"/>
      <c r="P658" s="230"/>
      <c r="Q658" s="230"/>
      <c r="R658" s="230"/>
      <c r="S658" s="230"/>
      <c r="T658" s="230"/>
      <c r="U658" s="230"/>
      <c r="V658" s="230"/>
      <c r="W658" s="230"/>
      <c r="X658" s="230"/>
      <c r="Y658" s="230"/>
      <c r="Z658" s="230"/>
    </row>
    <row r="659" spans="1:26" ht="15.75" customHeight="1">
      <c r="A659" s="230"/>
      <c r="B659" s="230"/>
      <c r="C659" s="230"/>
      <c r="D659" s="230"/>
      <c r="E659" s="230"/>
      <c r="F659" s="230"/>
      <c r="G659" s="230"/>
      <c r="H659" s="230"/>
      <c r="I659" s="230"/>
      <c r="J659" s="230"/>
      <c r="K659" s="230"/>
      <c r="L659" s="230"/>
      <c r="M659" s="230"/>
      <c r="N659" s="230"/>
      <c r="O659" s="230"/>
      <c r="P659" s="230"/>
      <c r="Q659" s="230"/>
      <c r="R659" s="230"/>
      <c r="S659" s="230"/>
      <c r="T659" s="230"/>
      <c r="U659" s="230"/>
      <c r="V659" s="230"/>
      <c r="W659" s="230"/>
      <c r="X659" s="230"/>
      <c r="Y659" s="230"/>
      <c r="Z659" s="230"/>
    </row>
    <row r="660" spans="1:26" ht="15.75" customHeight="1">
      <c r="A660" s="230"/>
      <c r="B660" s="230"/>
      <c r="C660" s="230"/>
      <c r="D660" s="230"/>
      <c r="E660" s="230"/>
      <c r="F660" s="230"/>
      <c r="G660" s="230"/>
      <c r="H660" s="230"/>
      <c r="I660" s="230"/>
      <c r="J660" s="230"/>
      <c r="K660" s="230"/>
      <c r="L660" s="230"/>
      <c r="M660" s="230"/>
      <c r="N660" s="230"/>
      <c r="O660" s="230"/>
      <c r="P660" s="230"/>
      <c r="Q660" s="230"/>
      <c r="R660" s="230"/>
      <c r="S660" s="230"/>
      <c r="T660" s="230"/>
      <c r="U660" s="230"/>
      <c r="V660" s="230"/>
      <c r="W660" s="230"/>
      <c r="X660" s="230"/>
      <c r="Y660" s="230"/>
      <c r="Z660" s="230"/>
    </row>
    <row r="661" spans="1:26" ht="15.75" customHeight="1">
      <c r="A661" s="230"/>
      <c r="B661" s="230"/>
      <c r="C661" s="230"/>
      <c r="D661" s="230"/>
      <c r="E661" s="230"/>
      <c r="F661" s="230"/>
      <c r="G661" s="230"/>
      <c r="H661" s="230"/>
      <c r="I661" s="230"/>
      <c r="J661" s="230"/>
      <c r="K661" s="230"/>
      <c r="L661" s="230"/>
      <c r="M661" s="230"/>
      <c r="N661" s="230"/>
      <c r="O661" s="230"/>
      <c r="P661" s="230"/>
      <c r="Q661" s="230"/>
      <c r="R661" s="230"/>
      <c r="S661" s="230"/>
      <c r="T661" s="230"/>
      <c r="U661" s="230"/>
      <c r="V661" s="230"/>
      <c r="W661" s="230"/>
      <c r="X661" s="230"/>
      <c r="Y661" s="230"/>
      <c r="Z661" s="230"/>
    </row>
    <row r="662" spans="1:26" ht="15.75" customHeight="1">
      <c r="A662" s="230"/>
      <c r="B662" s="230"/>
      <c r="C662" s="230"/>
      <c r="D662" s="230"/>
      <c r="E662" s="230"/>
      <c r="F662" s="230"/>
      <c r="G662" s="230"/>
      <c r="H662" s="230"/>
      <c r="I662" s="230"/>
      <c r="J662" s="230"/>
      <c r="K662" s="230"/>
      <c r="L662" s="230"/>
      <c r="M662" s="230"/>
      <c r="N662" s="230"/>
      <c r="O662" s="230"/>
      <c r="P662" s="230"/>
      <c r="Q662" s="230"/>
      <c r="R662" s="230"/>
      <c r="S662" s="230"/>
      <c r="T662" s="230"/>
      <c r="U662" s="230"/>
      <c r="V662" s="230"/>
      <c r="W662" s="230"/>
      <c r="X662" s="230"/>
      <c r="Y662" s="230"/>
      <c r="Z662" s="230"/>
    </row>
    <row r="663" spans="1:26" ht="15.75" customHeight="1">
      <c r="A663" s="230"/>
      <c r="B663" s="230"/>
      <c r="C663" s="230"/>
      <c r="D663" s="230"/>
      <c r="E663" s="230"/>
      <c r="F663" s="230"/>
      <c r="G663" s="230"/>
      <c r="H663" s="230"/>
      <c r="I663" s="230"/>
      <c r="J663" s="230"/>
      <c r="K663" s="230"/>
      <c r="L663" s="230"/>
      <c r="M663" s="230"/>
      <c r="N663" s="230"/>
      <c r="O663" s="230"/>
      <c r="P663" s="230"/>
      <c r="Q663" s="230"/>
      <c r="R663" s="230"/>
      <c r="S663" s="230"/>
      <c r="T663" s="230"/>
      <c r="U663" s="230"/>
      <c r="V663" s="230"/>
      <c r="W663" s="230"/>
      <c r="X663" s="230"/>
      <c r="Y663" s="230"/>
      <c r="Z663" s="230"/>
    </row>
    <row r="664" spans="1:26" ht="15.75" customHeight="1">
      <c r="A664" s="230"/>
      <c r="B664" s="230"/>
      <c r="C664" s="230"/>
      <c r="D664" s="230"/>
      <c r="E664" s="230"/>
      <c r="F664" s="230"/>
      <c r="G664" s="230"/>
      <c r="H664" s="230"/>
      <c r="I664" s="230"/>
      <c r="J664" s="230"/>
      <c r="K664" s="230"/>
      <c r="L664" s="230"/>
      <c r="M664" s="230"/>
      <c r="N664" s="230"/>
      <c r="O664" s="230"/>
      <c r="P664" s="230"/>
      <c r="Q664" s="230"/>
      <c r="R664" s="230"/>
      <c r="S664" s="230"/>
      <c r="T664" s="230"/>
      <c r="U664" s="230"/>
      <c r="V664" s="230"/>
      <c r="W664" s="230"/>
      <c r="X664" s="230"/>
      <c r="Y664" s="230"/>
      <c r="Z664" s="230"/>
    </row>
    <row r="665" spans="1:26" ht="15.75" customHeight="1">
      <c r="A665" s="230"/>
      <c r="B665" s="230"/>
      <c r="C665" s="230"/>
      <c r="D665" s="230"/>
      <c r="E665" s="230"/>
      <c r="F665" s="230"/>
      <c r="G665" s="230"/>
      <c r="H665" s="230"/>
      <c r="I665" s="230"/>
      <c r="J665" s="230"/>
      <c r="K665" s="230"/>
      <c r="L665" s="230"/>
      <c r="M665" s="230"/>
      <c r="N665" s="230"/>
      <c r="O665" s="230"/>
      <c r="P665" s="230"/>
      <c r="Q665" s="230"/>
      <c r="R665" s="230"/>
      <c r="S665" s="230"/>
      <c r="T665" s="230"/>
      <c r="U665" s="230"/>
      <c r="V665" s="230"/>
      <c r="W665" s="230"/>
      <c r="X665" s="230"/>
      <c r="Y665" s="230"/>
      <c r="Z665" s="230"/>
    </row>
    <row r="666" spans="1:26" ht="15.75" customHeight="1">
      <c r="A666" s="230"/>
      <c r="B666" s="230"/>
      <c r="C666" s="230"/>
      <c r="D666" s="230"/>
      <c r="E666" s="230"/>
      <c r="F666" s="230"/>
      <c r="G666" s="230"/>
      <c r="H666" s="230"/>
      <c r="I666" s="230"/>
      <c r="J666" s="230"/>
      <c r="K666" s="230"/>
      <c r="L666" s="230"/>
      <c r="M666" s="230"/>
      <c r="N666" s="230"/>
      <c r="O666" s="230"/>
      <c r="P666" s="230"/>
      <c r="Q666" s="230"/>
      <c r="R666" s="230"/>
      <c r="S666" s="230"/>
      <c r="T666" s="230"/>
      <c r="U666" s="230"/>
      <c r="V666" s="230"/>
      <c r="W666" s="230"/>
      <c r="X666" s="230"/>
      <c r="Y666" s="230"/>
      <c r="Z666" s="230"/>
    </row>
    <row r="667" spans="1:26" ht="15.75" customHeight="1">
      <c r="A667" s="230"/>
      <c r="B667" s="230"/>
      <c r="C667" s="230"/>
      <c r="D667" s="230"/>
      <c r="E667" s="230"/>
      <c r="F667" s="230"/>
      <c r="G667" s="230"/>
      <c r="H667" s="230"/>
      <c r="I667" s="230"/>
      <c r="J667" s="230"/>
      <c r="K667" s="230"/>
      <c r="L667" s="230"/>
      <c r="M667" s="230"/>
      <c r="N667" s="230"/>
      <c r="O667" s="230"/>
      <c r="P667" s="230"/>
      <c r="Q667" s="230"/>
      <c r="R667" s="230"/>
      <c r="S667" s="230"/>
      <c r="T667" s="230"/>
      <c r="U667" s="230"/>
      <c r="V667" s="230"/>
      <c r="W667" s="230"/>
      <c r="X667" s="230"/>
      <c r="Y667" s="230"/>
      <c r="Z667" s="230"/>
    </row>
    <row r="668" spans="1:26" ht="15.75" customHeight="1">
      <c r="A668" s="230"/>
      <c r="B668" s="230"/>
      <c r="C668" s="230"/>
      <c r="D668" s="230"/>
      <c r="E668" s="230"/>
      <c r="F668" s="230"/>
      <c r="G668" s="230"/>
      <c r="H668" s="230"/>
      <c r="I668" s="230"/>
      <c r="J668" s="230"/>
      <c r="K668" s="230"/>
      <c r="L668" s="230"/>
      <c r="M668" s="230"/>
      <c r="N668" s="230"/>
      <c r="O668" s="230"/>
      <c r="P668" s="230"/>
      <c r="Q668" s="230"/>
      <c r="R668" s="230"/>
      <c r="S668" s="230"/>
      <c r="T668" s="230"/>
      <c r="U668" s="230"/>
      <c r="V668" s="230"/>
      <c r="W668" s="230"/>
      <c r="X668" s="230"/>
      <c r="Y668" s="230"/>
      <c r="Z668" s="230"/>
    </row>
    <row r="669" spans="1:26" ht="15.75" customHeight="1">
      <c r="A669" s="230"/>
      <c r="B669" s="230"/>
      <c r="C669" s="230"/>
      <c r="D669" s="230"/>
      <c r="E669" s="230"/>
      <c r="F669" s="230"/>
      <c r="G669" s="230"/>
      <c r="H669" s="230"/>
      <c r="I669" s="230"/>
      <c r="J669" s="230"/>
      <c r="K669" s="230"/>
      <c r="L669" s="230"/>
      <c r="M669" s="230"/>
      <c r="N669" s="230"/>
      <c r="O669" s="230"/>
      <c r="P669" s="230"/>
      <c r="Q669" s="230"/>
      <c r="R669" s="230"/>
      <c r="S669" s="230"/>
      <c r="T669" s="230"/>
      <c r="U669" s="230"/>
      <c r="V669" s="230"/>
      <c r="W669" s="230"/>
      <c r="X669" s="230"/>
      <c r="Y669" s="230"/>
      <c r="Z669" s="230"/>
    </row>
    <row r="670" spans="1:26" ht="15.75" customHeight="1">
      <c r="A670" s="230"/>
      <c r="B670" s="230"/>
      <c r="C670" s="230"/>
      <c r="D670" s="230"/>
      <c r="E670" s="230"/>
      <c r="F670" s="230"/>
      <c r="G670" s="230"/>
      <c r="H670" s="230"/>
      <c r="I670" s="230"/>
      <c r="J670" s="230"/>
      <c r="K670" s="230"/>
      <c r="L670" s="230"/>
      <c r="M670" s="230"/>
      <c r="N670" s="230"/>
      <c r="O670" s="230"/>
      <c r="P670" s="230"/>
      <c r="Q670" s="230"/>
      <c r="R670" s="230"/>
      <c r="S670" s="230"/>
      <c r="T670" s="230"/>
      <c r="U670" s="230"/>
      <c r="V670" s="230"/>
      <c r="W670" s="230"/>
      <c r="X670" s="230"/>
      <c r="Y670" s="230"/>
      <c r="Z670" s="230"/>
    </row>
    <row r="671" spans="1:26" ht="15.75" customHeight="1">
      <c r="A671" s="230"/>
      <c r="B671" s="230"/>
      <c r="C671" s="230"/>
      <c r="D671" s="230"/>
      <c r="E671" s="230"/>
      <c r="F671" s="230"/>
      <c r="G671" s="230"/>
      <c r="H671" s="230"/>
      <c r="I671" s="230"/>
      <c r="J671" s="230"/>
      <c r="K671" s="230"/>
      <c r="L671" s="230"/>
      <c r="M671" s="230"/>
      <c r="N671" s="230"/>
      <c r="O671" s="230"/>
      <c r="P671" s="230"/>
      <c r="Q671" s="230"/>
      <c r="R671" s="230"/>
      <c r="S671" s="230"/>
      <c r="T671" s="230"/>
      <c r="U671" s="230"/>
      <c r="V671" s="230"/>
      <c r="W671" s="230"/>
      <c r="X671" s="230"/>
      <c r="Y671" s="230"/>
      <c r="Z671" s="230"/>
    </row>
    <row r="672" spans="1:26" ht="15.75" customHeight="1">
      <c r="A672" s="230"/>
      <c r="B672" s="230"/>
      <c r="C672" s="230"/>
      <c r="D672" s="230"/>
      <c r="E672" s="230"/>
      <c r="F672" s="230"/>
      <c r="G672" s="230"/>
      <c r="H672" s="230"/>
      <c r="I672" s="230"/>
      <c r="J672" s="230"/>
      <c r="K672" s="230"/>
      <c r="L672" s="230"/>
      <c r="M672" s="230"/>
      <c r="N672" s="230"/>
      <c r="O672" s="230"/>
      <c r="P672" s="230"/>
      <c r="Q672" s="230"/>
      <c r="R672" s="230"/>
      <c r="S672" s="230"/>
      <c r="T672" s="230"/>
      <c r="U672" s="230"/>
      <c r="V672" s="230"/>
      <c r="W672" s="230"/>
      <c r="X672" s="230"/>
      <c r="Y672" s="230"/>
      <c r="Z672" s="230"/>
    </row>
    <row r="673" spans="1:26" ht="15.75" customHeight="1">
      <c r="A673" s="230"/>
      <c r="B673" s="230"/>
      <c r="C673" s="230"/>
      <c r="D673" s="230"/>
      <c r="E673" s="230"/>
      <c r="F673" s="230"/>
      <c r="G673" s="230"/>
      <c r="H673" s="230"/>
      <c r="I673" s="230"/>
      <c r="J673" s="230"/>
      <c r="K673" s="230"/>
      <c r="L673" s="230"/>
      <c r="M673" s="230"/>
      <c r="N673" s="230"/>
      <c r="O673" s="230"/>
      <c r="P673" s="230"/>
      <c r="Q673" s="230"/>
      <c r="R673" s="230"/>
      <c r="S673" s="230"/>
      <c r="T673" s="230"/>
      <c r="U673" s="230"/>
      <c r="V673" s="230"/>
      <c r="W673" s="230"/>
      <c r="X673" s="230"/>
      <c r="Y673" s="230"/>
      <c r="Z673" s="230"/>
    </row>
    <row r="674" spans="1:26" ht="15.75" customHeight="1">
      <c r="A674" s="230"/>
      <c r="B674" s="230"/>
      <c r="C674" s="230"/>
      <c r="D674" s="230"/>
      <c r="E674" s="230"/>
      <c r="F674" s="230"/>
      <c r="G674" s="230"/>
      <c r="H674" s="230"/>
      <c r="I674" s="230"/>
      <c r="J674" s="230"/>
      <c r="K674" s="230"/>
      <c r="L674" s="230"/>
      <c r="M674" s="230"/>
      <c r="N674" s="230"/>
      <c r="O674" s="230"/>
      <c r="P674" s="230"/>
      <c r="Q674" s="230"/>
      <c r="R674" s="230"/>
      <c r="S674" s="230"/>
      <c r="T674" s="230"/>
      <c r="U674" s="230"/>
      <c r="V674" s="230"/>
      <c r="W674" s="230"/>
      <c r="X674" s="230"/>
      <c r="Y674" s="230"/>
      <c r="Z674" s="230"/>
    </row>
    <row r="675" spans="1:26" ht="15.75" customHeight="1">
      <c r="A675" s="230"/>
      <c r="B675" s="230"/>
      <c r="C675" s="230"/>
      <c r="D675" s="230"/>
      <c r="E675" s="230"/>
      <c r="F675" s="230"/>
      <c r="G675" s="230"/>
      <c r="H675" s="230"/>
      <c r="I675" s="230"/>
      <c r="J675" s="230"/>
      <c r="K675" s="230"/>
      <c r="L675" s="230"/>
      <c r="M675" s="230"/>
      <c r="N675" s="230"/>
      <c r="O675" s="230"/>
      <c r="P675" s="230"/>
      <c r="Q675" s="230"/>
      <c r="R675" s="230"/>
      <c r="S675" s="230"/>
      <c r="T675" s="230"/>
      <c r="U675" s="230"/>
      <c r="V675" s="230"/>
      <c r="W675" s="230"/>
      <c r="X675" s="230"/>
      <c r="Y675" s="230"/>
      <c r="Z675" s="230"/>
    </row>
    <row r="676" spans="1:26" ht="15.75" customHeight="1">
      <c r="A676" s="230"/>
      <c r="B676" s="230"/>
      <c r="C676" s="230"/>
      <c r="D676" s="230"/>
      <c r="E676" s="230"/>
      <c r="F676" s="230"/>
      <c r="G676" s="230"/>
      <c r="H676" s="230"/>
      <c r="I676" s="230"/>
      <c r="J676" s="230"/>
      <c r="K676" s="230"/>
      <c r="L676" s="230"/>
      <c r="M676" s="230"/>
      <c r="N676" s="230"/>
      <c r="O676" s="230"/>
      <c r="P676" s="230"/>
      <c r="Q676" s="230"/>
      <c r="R676" s="230"/>
      <c r="S676" s="230"/>
      <c r="T676" s="230"/>
      <c r="U676" s="230"/>
      <c r="V676" s="230"/>
      <c r="W676" s="230"/>
      <c r="X676" s="230"/>
      <c r="Y676" s="230"/>
      <c r="Z676" s="230"/>
    </row>
    <row r="677" spans="1:26" ht="15.75" customHeight="1">
      <c r="A677" s="230"/>
      <c r="B677" s="230"/>
      <c r="C677" s="230"/>
      <c r="D677" s="230"/>
      <c r="E677" s="230"/>
      <c r="F677" s="230"/>
      <c r="G677" s="230"/>
      <c r="H677" s="230"/>
      <c r="I677" s="230"/>
      <c r="J677" s="230"/>
      <c r="K677" s="230"/>
      <c r="L677" s="230"/>
      <c r="M677" s="230"/>
      <c r="N677" s="230"/>
      <c r="O677" s="230"/>
      <c r="P677" s="230"/>
      <c r="Q677" s="230"/>
      <c r="R677" s="230"/>
      <c r="S677" s="230"/>
      <c r="T677" s="230"/>
      <c r="U677" s="230"/>
      <c r="V677" s="230"/>
      <c r="W677" s="230"/>
      <c r="X677" s="230"/>
      <c r="Y677" s="230"/>
      <c r="Z677" s="230"/>
    </row>
    <row r="678" spans="1:26" ht="15.75" customHeight="1">
      <c r="A678" s="230"/>
      <c r="B678" s="230"/>
      <c r="C678" s="230"/>
      <c r="D678" s="230"/>
      <c r="E678" s="230"/>
      <c r="F678" s="230"/>
      <c r="G678" s="230"/>
      <c r="H678" s="230"/>
      <c r="I678" s="230"/>
      <c r="J678" s="230"/>
      <c r="K678" s="230"/>
      <c r="L678" s="230"/>
      <c r="M678" s="230"/>
      <c r="N678" s="230"/>
      <c r="O678" s="230"/>
      <c r="P678" s="230"/>
      <c r="Q678" s="230"/>
      <c r="R678" s="230"/>
      <c r="S678" s="230"/>
      <c r="T678" s="230"/>
      <c r="U678" s="230"/>
      <c r="V678" s="230"/>
      <c r="W678" s="230"/>
      <c r="X678" s="230"/>
      <c r="Y678" s="230"/>
      <c r="Z678" s="230"/>
    </row>
    <row r="679" spans="1:26" ht="15.75" customHeight="1">
      <c r="A679" s="230"/>
      <c r="B679" s="230"/>
      <c r="C679" s="230"/>
      <c r="D679" s="230"/>
      <c r="E679" s="230"/>
      <c r="F679" s="230"/>
      <c r="G679" s="230"/>
      <c r="H679" s="230"/>
      <c r="I679" s="230"/>
      <c r="J679" s="230"/>
      <c r="K679" s="230"/>
      <c r="L679" s="230"/>
      <c r="M679" s="230"/>
      <c r="N679" s="230"/>
      <c r="O679" s="230"/>
      <c r="P679" s="230"/>
      <c r="Q679" s="230"/>
      <c r="R679" s="230"/>
      <c r="S679" s="230"/>
      <c r="T679" s="230"/>
      <c r="U679" s="230"/>
      <c r="V679" s="230"/>
      <c r="W679" s="230"/>
      <c r="X679" s="230"/>
      <c r="Y679" s="230"/>
      <c r="Z679" s="230"/>
    </row>
    <row r="680" spans="1:26" ht="15.75" customHeight="1">
      <c r="A680" s="230"/>
      <c r="B680" s="230"/>
      <c r="C680" s="230"/>
      <c r="D680" s="230"/>
      <c r="E680" s="230"/>
      <c r="F680" s="230"/>
      <c r="G680" s="230"/>
      <c r="H680" s="230"/>
      <c r="I680" s="230"/>
      <c r="J680" s="230"/>
      <c r="K680" s="230"/>
      <c r="L680" s="230"/>
      <c r="M680" s="230"/>
      <c r="N680" s="230"/>
      <c r="O680" s="230"/>
      <c r="P680" s="230"/>
      <c r="Q680" s="230"/>
      <c r="R680" s="230"/>
      <c r="S680" s="230"/>
      <c r="T680" s="230"/>
      <c r="U680" s="230"/>
      <c r="V680" s="230"/>
      <c r="W680" s="230"/>
      <c r="X680" s="230"/>
      <c r="Y680" s="230"/>
      <c r="Z680" s="230"/>
    </row>
    <row r="681" spans="1:26" ht="15.75" customHeight="1">
      <c r="A681" s="230"/>
      <c r="B681" s="230"/>
      <c r="C681" s="230"/>
      <c r="D681" s="230"/>
      <c r="E681" s="230"/>
      <c r="F681" s="230"/>
      <c r="G681" s="230"/>
      <c r="H681" s="230"/>
      <c r="I681" s="230"/>
      <c r="J681" s="230"/>
      <c r="K681" s="230"/>
      <c r="L681" s="230"/>
      <c r="M681" s="230"/>
      <c r="N681" s="230"/>
      <c r="O681" s="230"/>
      <c r="P681" s="230"/>
      <c r="Q681" s="230"/>
      <c r="R681" s="230"/>
      <c r="S681" s="230"/>
      <c r="T681" s="230"/>
      <c r="U681" s="230"/>
      <c r="V681" s="230"/>
      <c r="W681" s="230"/>
      <c r="X681" s="230"/>
      <c r="Y681" s="230"/>
      <c r="Z681" s="230"/>
    </row>
    <row r="682" spans="1:26" ht="15.75" customHeight="1">
      <c r="A682" s="230"/>
      <c r="B682" s="230"/>
      <c r="C682" s="230"/>
      <c r="D682" s="230"/>
      <c r="E682" s="230"/>
      <c r="F682" s="230"/>
      <c r="G682" s="230"/>
      <c r="H682" s="230"/>
      <c r="I682" s="230"/>
      <c r="J682" s="230"/>
      <c r="K682" s="230"/>
      <c r="L682" s="230"/>
      <c r="M682" s="230"/>
      <c r="N682" s="230"/>
      <c r="O682" s="230"/>
      <c r="P682" s="230"/>
      <c r="Q682" s="230"/>
      <c r="R682" s="230"/>
      <c r="S682" s="230"/>
      <c r="T682" s="230"/>
      <c r="U682" s="230"/>
      <c r="V682" s="230"/>
      <c r="W682" s="230"/>
      <c r="X682" s="230"/>
      <c r="Y682" s="230"/>
      <c r="Z682" s="230"/>
    </row>
    <row r="683" spans="1:26" ht="15.75" customHeight="1">
      <c r="A683" s="230"/>
      <c r="B683" s="230"/>
      <c r="C683" s="230"/>
      <c r="D683" s="230"/>
      <c r="E683" s="230"/>
      <c r="F683" s="230"/>
      <c r="G683" s="230"/>
      <c r="H683" s="230"/>
      <c r="I683" s="230"/>
      <c r="J683" s="230"/>
      <c r="K683" s="230"/>
      <c r="L683" s="230"/>
      <c r="M683" s="230"/>
      <c r="N683" s="230"/>
      <c r="O683" s="230"/>
      <c r="P683" s="230"/>
      <c r="Q683" s="230"/>
      <c r="R683" s="230"/>
      <c r="S683" s="230"/>
      <c r="T683" s="230"/>
      <c r="U683" s="230"/>
      <c r="V683" s="230"/>
      <c r="W683" s="230"/>
      <c r="X683" s="230"/>
      <c r="Y683" s="230"/>
      <c r="Z683" s="230"/>
    </row>
    <row r="684" spans="1:26" ht="15.75" customHeight="1">
      <c r="A684" s="230"/>
      <c r="B684" s="230"/>
      <c r="C684" s="230"/>
      <c r="D684" s="230"/>
      <c r="E684" s="230"/>
      <c r="F684" s="230"/>
      <c r="G684" s="230"/>
      <c r="H684" s="230"/>
      <c r="I684" s="230"/>
      <c r="J684" s="230"/>
      <c r="K684" s="230"/>
      <c r="L684" s="230"/>
      <c r="M684" s="230"/>
      <c r="N684" s="230"/>
      <c r="O684" s="230"/>
      <c r="P684" s="230"/>
      <c r="Q684" s="230"/>
      <c r="R684" s="230"/>
      <c r="S684" s="230"/>
      <c r="T684" s="230"/>
      <c r="U684" s="230"/>
      <c r="V684" s="230"/>
      <c r="W684" s="230"/>
      <c r="X684" s="230"/>
      <c r="Y684" s="230"/>
      <c r="Z684" s="230"/>
    </row>
    <row r="685" spans="1:26" ht="15.75" customHeight="1">
      <c r="A685" s="230"/>
      <c r="B685" s="230"/>
      <c r="C685" s="230"/>
      <c r="D685" s="230"/>
      <c r="E685" s="230"/>
      <c r="F685" s="230"/>
      <c r="G685" s="230"/>
      <c r="H685" s="230"/>
      <c r="I685" s="230"/>
      <c r="J685" s="230"/>
      <c r="K685" s="230"/>
      <c r="L685" s="230"/>
      <c r="M685" s="230"/>
      <c r="N685" s="230"/>
      <c r="O685" s="230"/>
      <c r="P685" s="230"/>
      <c r="Q685" s="230"/>
      <c r="R685" s="230"/>
      <c r="S685" s="230"/>
      <c r="T685" s="230"/>
      <c r="U685" s="230"/>
      <c r="V685" s="230"/>
      <c r="W685" s="230"/>
      <c r="X685" s="230"/>
      <c r="Y685" s="230"/>
      <c r="Z685" s="230"/>
    </row>
    <row r="686" spans="1:26" ht="15.75" customHeight="1">
      <c r="A686" s="230"/>
      <c r="B686" s="230"/>
      <c r="C686" s="230"/>
      <c r="D686" s="230"/>
      <c r="E686" s="230"/>
      <c r="F686" s="230"/>
      <c r="G686" s="230"/>
      <c r="H686" s="230"/>
      <c r="I686" s="230"/>
      <c r="J686" s="230"/>
      <c r="K686" s="230"/>
      <c r="L686" s="230"/>
      <c r="M686" s="230"/>
      <c r="N686" s="230"/>
      <c r="O686" s="230"/>
      <c r="P686" s="230"/>
      <c r="Q686" s="230"/>
      <c r="R686" s="230"/>
      <c r="S686" s="230"/>
      <c r="T686" s="230"/>
      <c r="U686" s="230"/>
      <c r="V686" s="230"/>
      <c r="W686" s="230"/>
      <c r="X686" s="230"/>
      <c r="Y686" s="230"/>
      <c r="Z686" s="230"/>
    </row>
    <row r="687" spans="1:26" ht="15.75" customHeight="1">
      <c r="A687" s="230"/>
      <c r="B687" s="230"/>
      <c r="C687" s="230"/>
      <c r="D687" s="230"/>
      <c r="E687" s="230"/>
      <c r="F687" s="230"/>
      <c r="G687" s="230"/>
      <c r="H687" s="230"/>
      <c r="I687" s="230"/>
      <c r="J687" s="230"/>
      <c r="K687" s="230"/>
      <c r="L687" s="230"/>
      <c r="M687" s="230"/>
      <c r="N687" s="230"/>
      <c r="O687" s="230"/>
      <c r="P687" s="230"/>
      <c r="Q687" s="230"/>
      <c r="R687" s="230"/>
      <c r="S687" s="230"/>
      <c r="T687" s="230"/>
      <c r="U687" s="230"/>
      <c r="V687" s="230"/>
      <c r="W687" s="230"/>
      <c r="X687" s="230"/>
      <c r="Y687" s="230"/>
      <c r="Z687" s="230"/>
    </row>
    <row r="688" spans="1:26" ht="15.75" customHeight="1">
      <c r="A688" s="230"/>
      <c r="B688" s="230"/>
      <c r="C688" s="230"/>
      <c r="D688" s="230"/>
      <c r="E688" s="230"/>
      <c r="F688" s="230"/>
      <c r="G688" s="230"/>
      <c r="H688" s="230"/>
      <c r="I688" s="230"/>
      <c r="J688" s="230"/>
      <c r="K688" s="230"/>
      <c r="L688" s="230"/>
      <c r="M688" s="230"/>
      <c r="N688" s="230"/>
      <c r="O688" s="230"/>
      <c r="P688" s="230"/>
      <c r="Q688" s="230"/>
      <c r="R688" s="230"/>
      <c r="S688" s="230"/>
      <c r="T688" s="230"/>
      <c r="U688" s="230"/>
      <c r="V688" s="230"/>
      <c r="W688" s="230"/>
      <c r="X688" s="230"/>
      <c r="Y688" s="230"/>
      <c r="Z688" s="230"/>
    </row>
    <row r="689" spans="1:26" ht="15.75" customHeight="1">
      <c r="A689" s="230"/>
      <c r="B689" s="230"/>
      <c r="C689" s="230"/>
      <c r="D689" s="230"/>
      <c r="E689" s="230"/>
      <c r="F689" s="230"/>
      <c r="G689" s="230"/>
      <c r="H689" s="230"/>
      <c r="I689" s="230"/>
      <c r="J689" s="230"/>
      <c r="K689" s="230"/>
      <c r="L689" s="230"/>
      <c r="M689" s="230"/>
      <c r="N689" s="230"/>
      <c r="O689" s="230"/>
      <c r="P689" s="230"/>
      <c r="Q689" s="230"/>
      <c r="R689" s="230"/>
      <c r="S689" s="230"/>
      <c r="T689" s="230"/>
      <c r="U689" s="230"/>
      <c r="V689" s="230"/>
      <c r="W689" s="230"/>
      <c r="X689" s="230"/>
      <c r="Y689" s="230"/>
      <c r="Z689" s="230"/>
    </row>
    <row r="690" spans="1:26" ht="15.75" customHeight="1">
      <c r="A690" s="230"/>
      <c r="B690" s="230"/>
      <c r="C690" s="230"/>
      <c r="D690" s="230"/>
      <c r="E690" s="230"/>
      <c r="F690" s="230"/>
      <c r="G690" s="230"/>
      <c r="H690" s="230"/>
      <c r="I690" s="230"/>
      <c r="J690" s="230"/>
      <c r="K690" s="230"/>
      <c r="L690" s="230"/>
      <c r="M690" s="230"/>
      <c r="N690" s="230"/>
      <c r="O690" s="230"/>
      <c r="P690" s="230"/>
      <c r="Q690" s="230"/>
      <c r="R690" s="230"/>
      <c r="S690" s="230"/>
      <c r="T690" s="230"/>
      <c r="U690" s="230"/>
      <c r="V690" s="230"/>
      <c r="W690" s="230"/>
      <c r="X690" s="230"/>
      <c r="Y690" s="230"/>
      <c r="Z690" s="230"/>
    </row>
    <row r="691" spans="1:26" ht="15.75" customHeight="1">
      <c r="A691" s="230"/>
      <c r="B691" s="230"/>
      <c r="C691" s="230"/>
      <c r="D691" s="230"/>
      <c r="E691" s="230"/>
      <c r="F691" s="230"/>
      <c r="G691" s="230"/>
      <c r="H691" s="230"/>
      <c r="I691" s="230"/>
      <c r="J691" s="230"/>
      <c r="K691" s="230"/>
      <c r="L691" s="230"/>
      <c r="M691" s="230"/>
      <c r="N691" s="230"/>
      <c r="O691" s="230"/>
      <c r="P691" s="230"/>
      <c r="Q691" s="230"/>
      <c r="R691" s="230"/>
      <c r="S691" s="230"/>
      <c r="T691" s="230"/>
      <c r="U691" s="230"/>
      <c r="V691" s="230"/>
      <c r="W691" s="230"/>
      <c r="X691" s="230"/>
      <c r="Y691" s="230"/>
      <c r="Z691" s="230"/>
    </row>
    <row r="692" spans="1:26" ht="15.75" customHeight="1">
      <c r="A692" s="230"/>
      <c r="B692" s="230"/>
      <c r="C692" s="230"/>
      <c r="D692" s="230"/>
      <c r="E692" s="230"/>
      <c r="F692" s="230"/>
      <c r="G692" s="230"/>
      <c r="H692" s="230"/>
      <c r="I692" s="230"/>
      <c r="J692" s="230"/>
      <c r="K692" s="230"/>
      <c r="L692" s="230"/>
      <c r="M692" s="230"/>
      <c r="N692" s="230"/>
      <c r="O692" s="230"/>
      <c r="P692" s="230"/>
      <c r="Q692" s="230"/>
      <c r="R692" s="230"/>
      <c r="S692" s="230"/>
      <c r="T692" s="230"/>
      <c r="U692" s="230"/>
      <c r="V692" s="230"/>
      <c r="W692" s="230"/>
      <c r="X692" s="230"/>
      <c r="Y692" s="230"/>
      <c r="Z692" s="230"/>
    </row>
    <row r="693" spans="1:26" ht="15.75" customHeight="1">
      <c r="A693" s="230"/>
      <c r="B693" s="230"/>
      <c r="C693" s="230"/>
      <c r="D693" s="230"/>
      <c r="E693" s="230"/>
      <c r="F693" s="230"/>
      <c r="G693" s="230"/>
      <c r="H693" s="230"/>
      <c r="I693" s="230"/>
      <c r="J693" s="230"/>
      <c r="K693" s="230"/>
      <c r="L693" s="230"/>
      <c r="M693" s="230"/>
      <c r="N693" s="230"/>
      <c r="O693" s="230"/>
      <c r="P693" s="230"/>
      <c r="Q693" s="230"/>
      <c r="R693" s="230"/>
      <c r="S693" s="230"/>
      <c r="T693" s="230"/>
      <c r="U693" s="230"/>
      <c r="V693" s="230"/>
      <c r="W693" s="230"/>
      <c r="X693" s="230"/>
      <c r="Y693" s="230"/>
      <c r="Z693" s="230"/>
    </row>
    <row r="694" spans="1:26" ht="15.75" customHeight="1">
      <c r="A694" s="230"/>
      <c r="B694" s="230"/>
      <c r="C694" s="230"/>
      <c r="D694" s="230"/>
      <c r="E694" s="230"/>
      <c r="F694" s="230"/>
      <c r="G694" s="230"/>
      <c r="H694" s="230"/>
      <c r="I694" s="230"/>
      <c r="J694" s="230"/>
      <c r="K694" s="230"/>
      <c r="L694" s="230"/>
      <c r="M694" s="230"/>
      <c r="N694" s="230"/>
      <c r="O694" s="230"/>
      <c r="P694" s="230"/>
      <c r="Q694" s="230"/>
      <c r="R694" s="230"/>
      <c r="S694" s="230"/>
      <c r="T694" s="230"/>
      <c r="U694" s="230"/>
      <c r="V694" s="230"/>
      <c r="W694" s="230"/>
      <c r="X694" s="230"/>
      <c r="Y694" s="230"/>
      <c r="Z694" s="230"/>
    </row>
    <row r="695" spans="1:26" ht="15.75" customHeight="1">
      <c r="A695" s="230"/>
      <c r="B695" s="230"/>
      <c r="C695" s="230"/>
      <c r="D695" s="230"/>
      <c r="E695" s="230"/>
      <c r="F695" s="230"/>
      <c r="G695" s="230"/>
      <c r="H695" s="230"/>
      <c r="I695" s="230"/>
      <c r="J695" s="230"/>
      <c r="K695" s="230"/>
      <c r="L695" s="230"/>
      <c r="M695" s="230"/>
      <c r="N695" s="230"/>
      <c r="O695" s="230"/>
      <c r="P695" s="230"/>
      <c r="Q695" s="230"/>
      <c r="R695" s="230"/>
      <c r="S695" s="230"/>
      <c r="T695" s="230"/>
      <c r="U695" s="230"/>
      <c r="V695" s="230"/>
      <c r="W695" s="230"/>
      <c r="X695" s="230"/>
      <c r="Y695" s="230"/>
      <c r="Z695" s="230"/>
    </row>
    <row r="696" spans="1:26" ht="15.75" customHeight="1">
      <c r="A696" s="230"/>
      <c r="B696" s="230"/>
      <c r="C696" s="230"/>
      <c r="D696" s="230"/>
      <c r="E696" s="230"/>
      <c r="F696" s="230"/>
      <c r="G696" s="230"/>
      <c r="H696" s="230"/>
      <c r="I696" s="230"/>
      <c r="J696" s="230"/>
      <c r="K696" s="230"/>
      <c r="L696" s="230"/>
      <c r="M696" s="230"/>
      <c r="N696" s="230"/>
      <c r="O696" s="230"/>
      <c r="P696" s="230"/>
      <c r="Q696" s="230"/>
      <c r="R696" s="230"/>
      <c r="S696" s="230"/>
      <c r="T696" s="230"/>
      <c r="U696" s="230"/>
      <c r="V696" s="230"/>
      <c r="W696" s="230"/>
      <c r="X696" s="230"/>
      <c r="Y696" s="230"/>
      <c r="Z696" s="230"/>
    </row>
    <row r="697" spans="1:26" ht="15.75" customHeight="1">
      <c r="A697" s="230"/>
      <c r="B697" s="230"/>
      <c r="C697" s="230"/>
      <c r="D697" s="230"/>
      <c r="E697" s="230"/>
      <c r="F697" s="230"/>
      <c r="G697" s="230"/>
      <c r="H697" s="230"/>
      <c r="I697" s="230"/>
      <c r="J697" s="230"/>
      <c r="K697" s="230"/>
      <c r="L697" s="230"/>
      <c r="M697" s="230"/>
      <c r="N697" s="230"/>
      <c r="O697" s="230"/>
      <c r="P697" s="230"/>
      <c r="Q697" s="230"/>
      <c r="R697" s="230"/>
      <c r="S697" s="230"/>
      <c r="T697" s="230"/>
      <c r="U697" s="230"/>
      <c r="V697" s="230"/>
      <c r="W697" s="230"/>
      <c r="X697" s="230"/>
      <c r="Y697" s="230"/>
      <c r="Z697" s="230"/>
    </row>
    <row r="698" spans="1:26" ht="15.75" customHeight="1">
      <c r="A698" s="230"/>
      <c r="B698" s="230"/>
      <c r="C698" s="230"/>
      <c r="D698" s="230"/>
      <c r="E698" s="230"/>
      <c r="F698" s="230"/>
      <c r="G698" s="230"/>
      <c r="H698" s="230"/>
      <c r="I698" s="230"/>
      <c r="J698" s="230"/>
      <c r="K698" s="230"/>
      <c r="L698" s="230"/>
      <c r="M698" s="230"/>
      <c r="N698" s="230"/>
      <c r="O698" s="230"/>
      <c r="P698" s="230"/>
      <c r="Q698" s="230"/>
      <c r="R698" s="230"/>
      <c r="S698" s="230"/>
      <c r="T698" s="230"/>
      <c r="U698" s="230"/>
      <c r="V698" s="230"/>
      <c r="W698" s="230"/>
      <c r="X698" s="230"/>
      <c r="Y698" s="230"/>
      <c r="Z698" s="230"/>
    </row>
    <row r="699" spans="1:26" ht="15.75" customHeight="1">
      <c r="A699" s="230"/>
      <c r="B699" s="230"/>
      <c r="C699" s="230"/>
      <c r="D699" s="230"/>
      <c r="E699" s="230"/>
      <c r="F699" s="230"/>
      <c r="G699" s="230"/>
      <c r="H699" s="230"/>
      <c r="I699" s="230"/>
      <c r="J699" s="230"/>
      <c r="K699" s="230"/>
      <c r="L699" s="230"/>
      <c r="M699" s="230"/>
      <c r="N699" s="230"/>
      <c r="O699" s="230"/>
      <c r="P699" s="230"/>
      <c r="Q699" s="230"/>
      <c r="R699" s="230"/>
      <c r="S699" s="230"/>
      <c r="T699" s="230"/>
      <c r="U699" s="230"/>
      <c r="V699" s="230"/>
      <c r="W699" s="230"/>
      <c r="X699" s="230"/>
      <c r="Y699" s="230"/>
      <c r="Z699" s="230"/>
    </row>
    <row r="700" spans="1:26" ht="15.75" customHeight="1">
      <c r="A700" s="230"/>
      <c r="B700" s="230"/>
      <c r="C700" s="230"/>
      <c r="D700" s="230"/>
      <c r="E700" s="230"/>
      <c r="F700" s="230"/>
      <c r="G700" s="230"/>
      <c r="H700" s="230"/>
      <c r="I700" s="230"/>
      <c r="J700" s="230"/>
      <c r="K700" s="230"/>
      <c r="L700" s="230"/>
      <c r="M700" s="230"/>
      <c r="N700" s="230"/>
      <c r="O700" s="230"/>
      <c r="P700" s="230"/>
      <c r="Q700" s="230"/>
      <c r="R700" s="230"/>
      <c r="S700" s="230"/>
      <c r="T700" s="230"/>
      <c r="U700" s="230"/>
      <c r="V700" s="230"/>
      <c r="W700" s="230"/>
      <c r="X700" s="230"/>
      <c r="Y700" s="230"/>
      <c r="Z700" s="230"/>
    </row>
    <row r="701" spans="1:26" ht="15.75" customHeight="1">
      <c r="A701" s="230"/>
      <c r="B701" s="230"/>
      <c r="C701" s="230"/>
      <c r="D701" s="230"/>
      <c r="E701" s="230"/>
      <c r="F701" s="230"/>
      <c r="G701" s="230"/>
      <c r="H701" s="230"/>
      <c r="I701" s="230"/>
      <c r="J701" s="230"/>
      <c r="K701" s="230"/>
      <c r="L701" s="230"/>
      <c r="M701" s="230"/>
      <c r="N701" s="230"/>
      <c r="O701" s="230"/>
      <c r="P701" s="230"/>
      <c r="Q701" s="230"/>
      <c r="R701" s="230"/>
      <c r="S701" s="230"/>
      <c r="T701" s="230"/>
      <c r="U701" s="230"/>
      <c r="V701" s="230"/>
      <c r="W701" s="230"/>
      <c r="X701" s="230"/>
      <c r="Y701" s="230"/>
      <c r="Z701" s="230"/>
    </row>
    <row r="702" spans="1:26" ht="15.75" customHeight="1">
      <c r="A702" s="230"/>
      <c r="B702" s="230"/>
      <c r="C702" s="230"/>
      <c r="D702" s="230"/>
      <c r="E702" s="230"/>
      <c r="F702" s="230"/>
      <c r="G702" s="230"/>
      <c r="H702" s="230"/>
      <c r="I702" s="230"/>
      <c r="J702" s="230"/>
      <c r="K702" s="230"/>
      <c r="L702" s="230"/>
      <c r="M702" s="230"/>
      <c r="N702" s="230"/>
      <c r="O702" s="230"/>
      <c r="P702" s="230"/>
      <c r="Q702" s="230"/>
      <c r="R702" s="230"/>
      <c r="S702" s="230"/>
      <c r="T702" s="230"/>
      <c r="U702" s="230"/>
      <c r="V702" s="230"/>
      <c r="W702" s="230"/>
      <c r="X702" s="230"/>
      <c r="Y702" s="230"/>
      <c r="Z702" s="230"/>
    </row>
    <row r="703" spans="1:26" ht="15.75" customHeight="1">
      <c r="A703" s="230"/>
      <c r="B703" s="230"/>
      <c r="C703" s="230"/>
      <c r="D703" s="230"/>
      <c r="E703" s="230"/>
      <c r="F703" s="230"/>
      <c r="G703" s="230"/>
      <c r="H703" s="230"/>
      <c r="I703" s="230"/>
      <c r="J703" s="230"/>
      <c r="K703" s="230"/>
      <c r="L703" s="230"/>
      <c r="M703" s="230"/>
      <c r="N703" s="230"/>
      <c r="O703" s="230"/>
      <c r="P703" s="230"/>
      <c r="Q703" s="230"/>
      <c r="R703" s="230"/>
      <c r="S703" s="230"/>
      <c r="T703" s="230"/>
      <c r="U703" s="230"/>
      <c r="V703" s="230"/>
      <c r="W703" s="230"/>
      <c r="X703" s="230"/>
      <c r="Y703" s="230"/>
      <c r="Z703" s="230"/>
    </row>
    <row r="704" spans="1:26" ht="15.75" customHeight="1">
      <c r="A704" s="230"/>
      <c r="B704" s="230"/>
      <c r="C704" s="230"/>
      <c r="D704" s="230"/>
      <c r="E704" s="230"/>
      <c r="F704" s="230"/>
      <c r="G704" s="230"/>
      <c r="H704" s="230"/>
      <c r="I704" s="230"/>
      <c r="J704" s="230"/>
      <c r="K704" s="230"/>
      <c r="L704" s="230"/>
      <c r="M704" s="230"/>
      <c r="N704" s="230"/>
      <c r="O704" s="230"/>
      <c r="P704" s="230"/>
      <c r="Q704" s="230"/>
      <c r="R704" s="230"/>
      <c r="S704" s="230"/>
      <c r="T704" s="230"/>
      <c r="U704" s="230"/>
      <c r="V704" s="230"/>
      <c r="W704" s="230"/>
      <c r="X704" s="230"/>
      <c r="Y704" s="230"/>
      <c r="Z704" s="230"/>
    </row>
    <row r="705" spans="1:26" ht="15.75" customHeight="1">
      <c r="A705" s="230"/>
      <c r="B705" s="230"/>
      <c r="C705" s="230"/>
      <c r="D705" s="230"/>
      <c r="E705" s="230"/>
      <c r="F705" s="230"/>
      <c r="G705" s="230"/>
      <c r="H705" s="230"/>
      <c r="I705" s="230"/>
      <c r="J705" s="230"/>
      <c r="K705" s="230"/>
      <c r="L705" s="230"/>
      <c r="M705" s="230"/>
      <c r="N705" s="230"/>
      <c r="O705" s="230"/>
      <c r="P705" s="230"/>
      <c r="Q705" s="230"/>
      <c r="R705" s="230"/>
      <c r="S705" s="230"/>
      <c r="T705" s="230"/>
      <c r="U705" s="230"/>
      <c r="V705" s="230"/>
      <c r="W705" s="230"/>
      <c r="X705" s="230"/>
      <c r="Y705" s="230"/>
      <c r="Z705" s="230"/>
    </row>
    <row r="706" spans="1:26" ht="15.75" customHeight="1">
      <c r="A706" s="230"/>
      <c r="B706" s="230"/>
      <c r="C706" s="230"/>
      <c r="D706" s="230"/>
      <c r="E706" s="230"/>
      <c r="F706" s="230"/>
      <c r="G706" s="230"/>
      <c r="H706" s="230"/>
      <c r="I706" s="230"/>
      <c r="J706" s="230"/>
      <c r="K706" s="230"/>
      <c r="L706" s="230"/>
      <c r="M706" s="230"/>
      <c r="N706" s="230"/>
      <c r="O706" s="230"/>
      <c r="P706" s="230"/>
      <c r="Q706" s="230"/>
      <c r="R706" s="230"/>
      <c r="S706" s="230"/>
      <c r="T706" s="230"/>
      <c r="U706" s="230"/>
      <c r="V706" s="230"/>
      <c r="W706" s="230"/>
      <c r="X706" s="230"/>
      <c r="Y706" s="230"/>
      <c r="Z706" s="230"/>
    </row>
    <row r="707" spans="1:26" ht="15.75" customHeight="1">
      <c r="A707" s="230"/>
      <c r="B707" s="230"/>
      <c r="C707" s="230"/>
      <c r="D707" s="230"/>
      <c r="E707" s="230"/>
      <c r="F707" s="230"/>
      <c r="G707" s="230"/>
      <c r="H707" s="230"/>
      <c r="I707" s="230"/>
      <c r="J707" s="230"/>
      <c r="K707" s="230"/>
      <c r="L707" s="230"/>
      <c r="M707" s="230"/>
      <c r="N707" s="230"/>
      <c r="O707" s="230"/>
      <c r="P707" s="230"/>
      <c r="Q707" s="230"/>
      <c r="R707" s="230"/>
      <c r="S707" s="230"/>
      <c r="T707" s="230"/>
      <c r="U707" s="230"/>
      <c r="V707" s="230"/>
      <c r="W707" s="230"/>
      <c r="X707" s="230"/>
      <c r="Y707" s="230"/>
      <c r="Z707" s="230"/>
    </row>
    <row r="708" spans="1:26" ht="15.75" customHeight="1">
      <c r="A708" s="230"/>
      <c r="B708" s="230"/>
      <c r="C708" s="230"/>
      <c r="D708" s="230"/>
      <c r="E708" s="230"/>
      <c r="F708" s="230"/>
      <c r="G708" s="230"/>
      <c r="H708" s="230"/>
      <c r="I708" s="230"/>
      <c r="J708" s="230"/>
      <c r="K708" s="230"/>
      <c r="L708" s="230"/>
      <c r="M708" s="230"/>
      <c r="N708" s="230"/>
      <c r="O708" s="230"/>
      <c r="P708" s="230"/>
      <c r="Q708" s="230"/>
      <c r="R708" s="230"/>
      <c r="S708" s="230"/>
      <c r="T708" s="230"/>
      <c r="U708" s="230"/>
      <c r="V708" s="230"/>
      <c r="W708" s="230"/>
      <c r="X708" s="230"/>
      <c r="Y708" s="230"/>
      <c r="Z708" s="230"/>
    </row>
    <row r="709" spans="1:26" ht="15.75" customHeight="1">
      <c r="A709" s="230"/>
      <c r="B709" s="230"/>
      <c r="C709" s="230"/>
      <c r="D709" s="230"/>
      <c r="E709" s="230"/>
      <c r="F709" s="230"/>
      <c r="G709" s="230"/>
      <c r="H709" s="230"/>
      <c r="I709" s="230"/>
      <c r="J709" s="230"/>
      <c r="K709" s="230"/>
      <c r="L709" s="230"/>
      <c r="M709" s="230"/>
      <c r="N709" s="230"/>
      <c r="O709" s="230"/>
      <c r="P709" s="230"/>
      <c r="Q709" s="230"/>
      <c r="R709" s="230"/>
      <c r="S709" s="230"/>
      <c r="T709" s="230"/>
      <c r="U709" s="230"/>
      <c r="V709" s="230"/>
      <c r="W709" s="230"/>
      <c r="X709" s="230"/>
      <c r="Y709" s="230"/>
      <c r="Z709" s="230"/>
    </row>
    <row r="710" spans="1:26" ht="15.75" customHeight="1">
      <c r="A710" s="230"/>
      <c r="B710" s="230"/>
      <c r="C710" s="230"/>
      <c r="D710" s="230"/>
      <c r="E710" s="230"/>
      <c r="F710" s="230"/>
      <c r="G710" s="230"/>
      <c r="H710" s="230"/>
      <c r="I710" s="230"/>
      <c r="J710" s="230"/>
      <c r="K710" s="230"/>
      <c r="L710" s="230"/>
      <c r="M710" s="230"/>
      <c r="N710" s="230"/>
      <c r="O710" s="230"/>
      <c r="P710" s="230"/>
      <c r="Q710" s="230"/>
      <c r="R710" s="230"/>
      <c r="S710" s="230"/>
      <c r="T710" s="230"/>
      <c r="U710" s="230"/>
      <c r="V710" s="230"/>
      <c r="W710" s="230"/>
      <c r="X710" s="230"/>
      <c r="Y710" s="230"/>
      <c r="Z710" s="230"/>
    </row>
    <row r="711" spans="1:26" ht="15.75" customHeight="1">
      <c r="A711" s="230"/>
      <c r="B711" s="230"/>
      <c r="C711" s="230"/>
      <c r="D711" s="230"/>
      <c r="E711" s="230"/>
      <c r="F711" s="230"/>
      <c r="G711" s="230"/>
      <c r="H711" s="230"/>
      <c r="I711" s="230"/>
      <c r="J711" s="230"/>
      <c r="K711" s="230"/>
      <c r="L711" s="230"/>
      <c r="M711" s="230"/>
      <c r="N711" s="230"/>
      <c r="O711" s="230"/>
      <c r="P711" s="230"/>
      <c r="Q711" s="230"/>
      <c r="R711" s="230"/>
      <c r="S711" s="230"/>
      <c r="T711" s="230"/>
      <c r="U711" s="230"/>
      <c r="V711" s="230"/>
      <c r="W711" s="230"/>
      <c r="X711" s="230"/>
      <c r="Y711" s="230"/>
      <c r="Z711" s="230"/>
    </row>
    <row r="712" spans="1:26" ht="15.75" customHeight="1">
      <c r="A712" s="230"/>
      <c r="B712" s="230"/>
      <c r="C712" s="230"/>
      <c r="D712" s="230"/>
      <c r="E712" s="230"/>
      <c r="F712" s="230"/>
      <c r="G712" s="230"/>
      <c r="H712" s="230"/>
      <c r="I712" s="230"/>
      <c r="J712" s="230"/>
      <c r="K712" s="230"/>
      <c r="L712" s="230"/>
      <c r="M712" s="230"/>
      <c r="N712" s="230"/>
      <c r="O712" s="230"/>
      <c r="P712" s="230"/>
      <c r="Q712" s="230"/>
      <c r="R712" s="230"/>
      <c r="S712" s="230"/>
      <c r="T712" s="230"/>
      <c r="U712" s="230"/>
      <c r="V712" s="230"/>
      <c r="W712" s="230"/>
      <c r="X712" s="230"/>
      <c r="Y712" s="230"/>
      <c r="Z712" s="230"/>
    </row>
    <row r="713" spans="1:26" ht="15.75" customHeight="1">
      <c r="A713" s="230"/>
      <c r="B713" s="230"/>
      <c r="C713" s="230"/>
      <c r="D713" s="230"/>
      <c r="E713" s="230"/>
      <c r="F713" s="230"/>
      <c r="G713" s="230"/>
      <c r="H713" s="230"/>
      <c r="I713" s="230"/>
      <c r="J713" s="230"/>
      <c r="K713" s="230"/>
      <c r="L713" s="230"/>
      <c r="M713" s="230"/>
      <c r="N713" s="230"/>
      <c r="O713" s="230"/>
      <c r="P713" s="230"/>
      <c r="Q713" s="230"/>
      <c r="R713" s="230"/>
      <c r="S713" s="230"/>
      <c r="T713" s="230"/>
      <c r="U713" s="230"/>
      <c r="V713" s="230"/>
      <c r="W713" s="230"/>
      <c r="X713" s="230"/>
      <c r="Y713" s="230"/>
      <c r="Z713" s="230"/>
    </row>
    <row r="714" spans="1:26" ht="15.75" customHeight="1">
      <c r="A714" s="230"/>
      <c r="B714" s="230"/>
      <c r="C714" s="230"/>
      <c r="D714" s="230"/>
      <c r="E714" s="230"/>
      <c r="F714" s="230"/>
      <c r="G714" s="230"/>
      <c r="H714" s="230"/>
      <c r="I714" s="230"/>
      <c r="J714" s="230"/>
      <c r="K714" s="230"/>
      <c r="L714" s="230"/>
      <c r="M714" s="230"/>
      <c r="N714" s="230"/>
      <c r="O714" s="230"/>
      <c r="P714" s="230"/>
      <c r="Q714" s="230"/>
      <c r="R714" s="230"/>
      <c r="S714" s="230"/>
      <c r="T714" s="230"/>
      <c r="U714" s="230"/>
      <c r="V714" s="230"/>
      <c r="W714" s="230"/>
      <c r="X714" s="230"/>
      <c r="Y714" s="230"/>
      <c r="Z714" s="230"/>
    </row>
    <row r="715" spans="1:26" ht="15.75" customHeight="1">
      <c r="A715" s="230"/>
      <c r="B715" s="230"/>
      <c r="C715" s="230"/>
      <c r="D715" s="230"/>
      <c r="E715" s="230"/>
      <c r="F715" s="230"/>
      <c r="G715" s="230"/>
      <c r="H715" s="230"/>
      <c r="I715" s="230"/>
      <c r="J715" s="230"/>
      <c r="K715" s="230"/>
      <c r="L715" s="230"/>
      <c r="M715" s="230"/>
      <c r="N715" s="230"/>
      <c r="O715" s="230"/>
      <c r="P715" s="230"/>
      <c r="Q715" s="230"/>
      <c r="R715" s="230"/>
      <c r="S715" s="230"/>
      <c r="T715" s="230"/>
      <c r="U715" s="230"/>
      <c r="V715" s="230"/>
      <c r="W715" s="230"/>
      <c r="X715" s="230"/>
      <c r="Y715" s="230"/>
      <c r="Z715" s="230"/>
    </row>
    <row r="716" spans="1:26" ht="15.75" customHeight="1">
      <c r="A716" s="230"/>
      <c r="B716" s="230"/>
      <c r="C716" s="230"/>
      <c r="D716" s="230"/>
      <c r="E716" s="230"/>
      <c r="F716" s="230"/>
      <c r="G716" s="230"/>
      <c r="H716" s="230"/>
      <c r="I716" s="230"/>
      <c r="J716" s="230"/>
      <c r="K716" s="230"/>
      <c r="L716" s="230"/>
      <c r="M716" s="230"/>
      <c r="N716" s="230"/>
      <c r="O716" s="230"/>
      <c r="P716" s="230"/>
      <c r="Q716" s="230"/>
      <c r="R716" s="230"/>
      <c r="S716" s="230"/>
      <c r="T716" s="230"/>
      <c r="U716" s="230"/>
      <c r="V716" s="230"/>
      <c r="W716" s="230"/>
      <c r="X716" s="230"/>
      <c r="Y716" s="230"/>
      <c r="Z716" s="230"/>
    </row>
    <row r="717" spans="1:26" ht="15.75" customHeight="1">
      <c r="A717" s="230"/>
      <c r="B717" s="230"/>
      <c r="C717" s="230"/>
      <c r="D717" s="230"/>
      <c r="E717" s="230"/>
      <c r="F717" s="230"/>
      <c r="G717" s="230"/>
      <c r="H717" s="230"/>
      <c r="I717" s="230"/>
      <c r="J717" s="230"/>
      <c r="K717" s="230"/>
      <c r="L717" s="230"/>
      <c r="M717" s="230"/>
      <c r="N717" s="230"/>
      <c r="O717" s="230"/>
      <c r="P717" s="230"/>
      <c r="Q717" s="230"/>
      <c r="R717" s="230"/>
      <c r="S717" s="230"/>
      <c r="T717" s="230"/>
      <c r="U717" s="230"/>
      <c r="V717" s="230"/>
      <c r="W717" s="230"/>
      <c r="X717" s="230"/>
      <c r="Y717" s="230"/>
      <c r="Z717" s="230"/>
    </row>
    <row r="718" spans="1:26" ht="15.75" customHeight="1">
      <c r="A718" s="230"/>
      <c r="B718" s="230"/>
      <c r="C718" s="230"/>
      <c r="D718" s="230"/>
      <c r="E718" s="230"/>
      <c r="F718" s="230"/>
      <c r="G718" s="230"/>
      <c r="H718" s="230"/>
      <c r="I718" s="230"/>
      <c r="J718" s="230"/>
      <c r="K718" s="230"/>
      <c r="L718" s="230"/>
      <c r="M718" s="230"/>
      <c r="N718" s="230"/>
      <c r="O718" s="230"/>
      <c r="P718" s="230"/>
      <c r="Q718" s="230"/>
      <c r="R718" s="230"/>
      <c r="S718" s="230"/>
      <c r="T718" s="230"/>
      <c r="U718" s="230"/>
      <c r="V718" s="230"/>
      <c r="W718" s="230"/>
      <c r="X718" s="230"/>
      <c r="Y718" s="230"/>
      <c r="Z718" s="230"/>
    </row>
    <row r="719" spans="1:26" ht="15.75" customHeight="1">
      <c r="A719" s="230"/>
      <c r="B719" s="230"/>
      <c r="C719" s="230"/>
      <c r="D719" s="230"/>
      <c r="E719" s="230"/>
      <c r="F719" s="230"/>
      <c r="G719" s="230"/>
      <c r="H719" s="230"/>
      <c r="I719" s="230"/>
      <c r="J719" s="230"/>
      <c r="K719" s="230"/>
      <c r="L719" s="230"/>
      <c r="M719" s="230"/>
      <c r="N719" s="230"/>
      <c r="O719" s="230"/>
      <c r="P719" s="230"/>
      <c r="Q719" s="230"/>
      <c r="R719" s="230"/>
      <c r="S719" s="230"/>
      <c r="T719" s="230"/>
      <c r="U719" s="230"/>
      <c r="V719" s="230"/>
      <c r="W719" s="230"/>
      <c r="X719" s="230"/>
      <c r="Y719" s="230"/>
      <c r="Z719" s="230"/>
    </row>
    <row r="720" spans="1:26" ht="15.75" customHeight="1">
      <c r="A720" s="230"/>
      <c r="B720" s="230"/>
      <c r="C720" s="230"/>
      <c r="D720" s="230"/>
      <c r="E720" s="230"/>
      <c r="F720" s="230"/>
      <c r="G720" s="230"/>
      <c r="H720" s="230"/>
      <c r="I720" s="230"/>
      <c r="J720" s="230"/>
      <c r="K720" s="230"/>
      <c r="L720" s="230"/>
      <c r="M720" s="230"/>
      <c r="N720" s="230"/>
      <c r="O720" s="230"/>
      <c r="P720" s="230"/>
      <c r="Q720" s="230"/>
      <c r="R720" s="230"/>
      <c r="S720" s="230"/>
      <c r="T720" s="230"/>
      <c r="U720" s="230"/>
      <c r="V720" s="230"/>
      <c r="W720" s="230"/>
      <c r="X720" s="230"/>
      <c r="Y720" s="230"/>
      <c r="Z720" s="230"/>
    </row>
    <row r="721" spans="1:26" ht="15.75" customHeight="1">
      <c r="A721" s="230"/>
      <c r="B721" s="230"/>
      <c r="C721" s="230"/>
      <c r="D721" s="230"/>
      <c r="E721" s="230"/>
      <c r="F721" s="230"/>
      <c r="G721" s="230"/>
      <c r="H721" s="230"/>
      <c r="I721" s="230"/>
      <c r="J721" s="230"/>
      <c r="K721" s="230"/>
      <c r="L721" s="230"/>
      <c r="M721" s="230"/>
      <c r="N721" s="230"/>
      <c r="O721" s="230"/>
      <c r="P721" s="230"/>
      <c r="Q721" s="230"/>
      <c r="R721" s="230"/>
      <c r="S721" s="230"/>
      <c r="T721" s="230"/>
      <c r="U721" s="230"/>
      <c r="V721" s="230"/>
      <c r="W721" s="230"/>
      <c r="X721" s="230"/>
      <c r="Y721" s="230"/>
      <c r="Z721" s="230"/>
    </row>
    <row r="722" spans="1:26" ht="15.75" customHeight="1">
      <c r="A722" s="230"/>
      <c r="B722" s="230"/>
      <c r="C722" s="230"/>
      <c r="D722" s="230"/>
      <c r="E722" s="230"/>
      <c r="F722" s="230"/>
      <c r="G722" s="230"/>
      <c r="H722" s="230"/>
      <c r="I722" s="230"/>
      <c r="J722" s="230"/>
      <c r="K722" s="230"/>
      <c r="L722" s="230"/>
      <c r="M722" s="230"/>
      <c r="N722" s="230"/>
      <c r="O722" s="230"/>
      <c r="P722" s="230"/>
      <c r="Q722" s="230"/>
      <c r="R722" s="230"/>
      <c r="S722" s="230"/>
      <c r="T722" s="230"/>
      <c r="U722" s="230"/>
      <c r="V722" s="230"/>
      <c r="W722" s="230"/>
      <c r="X722" s="230"/>
      <c r="Y722" s="230"/>
      <c r="Z722" s="230"/>
    </row>
    <row r="723" spans="1:26" ht="15.75" customHeight="1">
      <c r="A723" s="230"/>
      <c r="B723" s="230"/>
      <c r="C723" s="230"/>
      <c r="D723" s="230"/>
      <c r="E723" s="230"/>
      <c r="F723" s="230"/>
      <c r="G723" s="230"/>
      <c r="H723" s="230"/>
      <c r="I723" s="230"/>
      <c r="J723" s="230"/>
      <c r="K723" s="230"/>
      <c r="L723" s="230"/>
      <c r="M723" s="230"/>
      <c r="N723" s="230"/>
      <c r="O723" s="230"/>
      <c r="P723" s="230"/>
      <c r="Q723" s="230"/>
      <c r="R723" s="230"/>
      <c r="S723" s="230"/>
      <c r="T723" s="230"/>
      <c r="U723" s="230"/>
      <c r="V723" s="230"/>
      <c r="W723" s="230"/>
      <c r="X723" s="230"/>
      <c r="Y723" s="230"/>
      <c r="Z723" s="230"/>
    </row>
    <row r="724" spans="1:26" ht="15.75" customHeight="1">
      <c r="A724" s="230"/>
      <c r="B724" s="230"/>
      <c r="C724" s="230"/>
      <c r="D724" s="230"/>
      <c r="E724" s="230"/>
      <c r="F724" s="230"/>
      <c r="G724" s="230"/>
      <c r="H724" s="230"/>
      <c r="I724" s="230"/>
      <c r="J724" s="230"/>
      <c r="K724" s="230"/>
      <c r="L724" s="230"/>
      <c r="M724" s="230"/>
      <c r="N724" s="230"/>
      <c r="O724" s="230"/>
      <c r="P724" s="230"/>
      <c r="Q724" s="230"/>
      <c r="R724" s="230"/>
      <c r="S724" s="230"/>
      <c r="T724" s="230"/>
      <c r="U724" s="230"/>
      <c r="V724" s="230"/>
      <c r="W724" s="230"/>
      <c r="X724" s="230"/>
      <c r="Y724" s="230"/>
      <c r="Z724" s="230"/>
    </row>
    <row r="725" spans="1:26" ht="15.75" customHeight="1">
      <c r="A725" s="230"/>
      <c r="B725" s="230"/>
      <c r="C725" s="230"/>
      <c r="D725" s="230"/>
      <c r="E725" s="230"/>
      <c r="F725" s="230"/>
      <c r="G725" s="230"/>
      <c r="H725" s="230"/>
      <c r="I725" s="230"/>
      <c r="J725" s="230"/>
      <c r="K725" s="230"/>
      <c r="L725" s="230"/>
      <c r="M725" s="230"/>
      <c r="N725" s="230"/>
      <c r="O725" s="230"/>
      <c r="P725" s="230"/>
      <c r="Q725" s="230"/>
      <c r="R725" s="230"/>
      <c r="S725" s="230"/>
      <c r="T725" s="230"/>
      <c r="U725" s="230"/>
      <c r="V725" s="230"/>
      <c r="W725" s="230"/>
      <c r="X725" s="230"/>
      <c r="Y725" s="230"/>
      <c r="Z725" s="230"/>
    </row>
    <row r="726" spans="1:26" ht="15.75" customHeight="1">
      <c r="A726" s="230"/>
      <c r="B726" s="230"/>
      <c r="C726" s="230"/>
      <c r="D726" s="230"/>
      <c r="E726" s="230"/>
      <c r="F726" s="230"/>
      <c r="G726" s="230"/>
      <c r="H726" s="230"/>
      <c r="I726" s="230"/>
      <c r="J726" s="230"/>
      <c r="K726" s="230"/>
      <c r="L726" s="230"/>
      <c r="M726" s="230"/>
      <c r="N726" s="230"/>
      <c r="O726" s="230"/>
      <c r="P726" s="230"/>
      <c r="Q726" s="230"/>
      <c r="R726" s="230"/>
      <c r="S726" s="230"/>
      <c r="T726" s="230"/>
      <c r="U726" s="230"/>
      <c r="V726" s="230"/>
      <c r="W726" s="230"/>
      <c r="X726" s="230"/>
      <c r="Y726" s="230"/>
      <c r="Z726" s="230"/>
    </row>
    <row r="727" spans="1:26" ht="15.75" customHeight="1">
      <c r="A727" s="230"/>
      <c r="B727" s="230"/>
      <c r="C727" s="230"/>
      <c r="D727" s="230"/>
      <c r="E727" s="230"/>
      <c r="F727" s="230"/>
      <c r="G727" s="230"/>
      <c r="H727" s="230"/>
      <c r="I727" s="230"/>
      <c r="J727" s="230"/>
      <c r="K727" s="230"/>
      <c r="L727" s="230"/>
      <c r="M727" s="230"/>
      <c r="N727" s="230"/>
      <c r="O727" s="230"/>
      <c r="P727" s="230"/>
      <c r="Q727" s="230"/>
      <c r="R727" s="230"/>
      <c r="S727" s="230"/>
      <c r="T727" s="230"/>
      <c r="U727" s="230"/>
      <c r="V727" s="230"/>
      <c r="W727" s="230"/>
      <c r="X727" s="230"/>
      <c r="Y727" s="230"/>
      <c r="Z727" s="230"/>
    </row>
    <row r="728" spans="1:26" ht="15.75" customHeight="1">
      <c r="A728" s="230"/>
      <c r="B728" s="230"/>
      <c r="C728" s="230"/>
      <c r="D728" s="230"/>
      <c r="E728" s="230"/>
      <c r="F728" s="230"/>
      <c r="G728" s="230"/>
      <c r="H728" s="230"/>
      <c r="I728" s="230"/>
      <c r="J728" s="230"/>
      <c r="K728" s="230"/>
      <c r="L728" s="230"/>
      <c r="M728" s="230"/>
      <c r="N728" s="230"/>
      <c r="O728" s="230"/>
      <c r="P728" s="230"/>
      <c r="Q728" s="230"/>
      <c r="R728" s="230"/>
      <c r="S728" s="230"/>
      <c r="T728" s="230"/>
      <c r="U728" s="230"/>
      <c r="V728" s="230"/>
      <c r="W728" s="230"/>
      <c r="X728" s="230"/>
      <c r="Y728" s="230"/>
      <c r="Z728" s="230"/>
    </row>
    <row r="729" spans="1:26" ht="15.75" customHeight="1">
      <c r="A729" s="230"/>
      <c r="B729" s="230"/>
      <c r="C729" s="230"/>
      <c r="D729" s="230"/>
      <c r="E729" s="230"/>
      <c r="F729" s="230"/>
      <c r="G729" s="230"/>
      <c r="H729" s="230"/>
      <c r="I729" s="230"/>
      <c r="J729" s="230"/>
      <c r="K729" s="230"/>
      <c r="L729" s="230"/>
      <c r="M729" s="230"/>
      <c r="N729" s="230"/>
      <c r="O729" s="230"/>
      <c r="P729" s="230"/>
      <c r="Q729" s="230"/>
      <c r="R729" s="230"/>
      <c r="S729" s="230"/>
      <c r="T729" s="230"/>
      <c r="U729" s="230"/>
      <c r="V729" s="230"/>
      <c r="W729" s="230"/>
      <c r="X729" s="230"/>
      <c r="Y729" s="230"/>
      <c r="Z729" s="230"/>
    </row>
    <row r="730" spans="1:26" ht="15.75" customHeight="1">
      <c r="A730" s="230"/>
      <c r="B730" s="230"/>
      <c r="C730" s="230"/>
      <c r="D730" s="230"/>
      <c r="E730" s="230"/>
      <c r="F730" s="230"/>
      <c r="G730" s="230"/>
      <c r="H730" s="230"/>
      <c r="I730" s="230"/>
      <c r="J730" s="230"/>
      <c r="K730" s="230"/>
      <c r="L730" s="230"/>
      <c r="M730" s="230"/>
      <c r="N730" s="230"/>
      <c r="O730" s="230"/>
      <c r="P730" s="230"/>
      <c r="Q730" s="230"/>
      <c r="R730" s="230"/>
      <c r="S730" s="230"/>
      <c r="T730" s="230"/>
      <c r="U730" s="230"/>
      <c r="V730" s="230"/>
      <c r="W730" s="230"/>
      <c r="X730" s="230"/>
      <c r="Y730" s="230"/>
      <c r="Z730" s="230"/>
    </row>
    <row r="731" spans="1:26" ht="15.75" customHeight="1">
      <c r="A731" s="230"/>
      <c r="B731" s="230"/>
      <c r="C731" s="230"/>
      <c r="D731" s="230"/>
      <c r="E731" s="230"/>
      <c r="F731" s="230"/>
      <c r="G731" s="230"/>
      <c r="H731" s="230"/>
      <c r="I731" s="230"/>
      <c r="J731" s="230"/>
      <c r="K731" s="230"/>
      <c r="L731" s="230"/>
      <c r="M731" s="230"/>
      <c r="N731" s="230"/>
      <c r="O731" s="230"/>
      <c r="P731" s="230"/>
      <c r="Q731" s="230"/>
      <c r="R731" s="230"/>
      <c r="S731" s="230"/>
      <c r="T731" s="230"/>
      <c r="U731" s="230"/>
      <c r="V731" s="230"/>
      <c r="W731" s="230"/>
      <c r="X731" s="230"/>
      <c r="Y731" s="230"/>
      <c r="Z731" s="230"/>
    </row>
    <row r="732" spans="1:26" ht="15.75" customHeight="1">
      <c r="A732" s="230"/>
      <c r="B732" s="230"/>
      <c r="C732" s="230"/>
      <c r="D732" s="230"/>
      <c r="E732" s="230"/>
      <c r="F732" s="230"/>
      <c r="G732" s="230"/>
      <c r="H732" s="230"/>
      <c r="I732" s="230"/>
      <c r="J732" s="230"/>
      <c r="K732" s="230"/>
      <c r="L732" s="230"/>
      <c r="M732" s="230"/>
      <c r="N732" s="230"/>
      <c r="O732" s="230"/>
      <c r="P732" s="230"/>
      <c r="Q732" s="230"/>
      <c r="R732" s="230"/>
      <c r="S732" s="230"/>
      <c r="T732" s="230"/>
      <c r="U732" s="230"/>
      <c r="V732" s="230"/>
      <c r="W732" s="230"/>
      <c r="X732" s="230"/>
      <c r="Y732" s="230"/>
      <c r="Z732" s="230"/>
    </row>
    <row r="733" spans="1:26" ht="15.75" customHeight="1">
      <c r="A733" s="230"/>
      <c r="B733" s="230"/>
      <c r="C733" s="230"/>
      <c r="D733" s="230"/>
      <c r="E733" s="230"/>
      <c r="F733" s="230"/>
      <c r="G733" s="230"/>
      <c r="H733" s="230"/>
      <c r="I733" s="230"/>
      <c r="J733" s="230"/>
      <c r="K733" s="230"/>
      <c r="L733" s="230"/>
      <c r="M733" s="230"/>
      <c r="N733" s="230"/>
      <c r="O733" s="230"/>
      <c r="P733" s="230"/>
      <c r="Q733" s="230"/>
      <c r="R733" s="230"/>
      <c r="S733" s="230"/>
      <c r="T733" s="230"/>
      <c r="U733" s="230"/>
      <c r="V733" s="230"/>
      <c r="W733" s="230"/>
      <c r="X733" s="230"/>
      <c r="Y733" s="230"/>
      <c r="Z733" s="230"/>
    </row>
    <row r="734" spans="1:26" ht="15.75" customHeight="1">
      <c r="A734" s="230"/>
      <c r="B734" s="230"/>
      <c r="C734" s="230"/>
      <c r="D734" s="230"/>
      <c r="E734" s="230"/>
      <c r="F734" s="230"/>
      <c r="G734" s="230"/>
      <c r="H734" s="230"/>
      <c r="I734" s="230"/>
      <c r="J734" s="230"/>
      <c r="K734" s="230"/>
      <c r="L734" s="230"/>
      <c r="M734" s="230"/>
      <c r="N734" s="230"/>
      <c r="O734" s="230"/>
      <c r="P734" s="230"/>
      <c r="Q734" s="230"/>
      <c r="R734" s="230"/>
      <c r="S734" s="230"/>
      <c r="T734" s="230"/>
      <c r="U734" s="230"/>
      <c r="V734" s="230"/>
      <c r="W734" s="230"/>
      <c r="X734" s="230"/>
      <c r="Y734" s="230"/>
      <c r="Z734" s="230"/>
    </row>
    <row r="735" spans="1:26" ht="15.75" customHeight="1">
      <c r="A735" s="230"/>
      <c r="B735" s="230"/>
      <c r="C735" s="230"/>
      <c r="D735" s="230"/>
      <c r="E735" s="230"/>
      <c r="F735" s="230"/>
      <c r="G735" s="230"/>
      <c r="H735" s="230"/>
      <c r="I735" s="230"/>
      <c r="J735" s="230"/>
      <c r="K735" s="230"/>
      <c r="L735" s="230"/>
      <c r="M735" s="230"/>
      <c r="N735" s="230"/>
      <c r="O735" s="230"/>
      <c r="P735" s="230"/>
      <c r="Q735" s="230"/>
      <c r="R735" s="230"/>
      <c r="S735" s="230"/>
      <c r="T735" s="230"/>
      <c r="U735" s="230"/>
      <c r="V735" s="230"/>
      <c r="W735" s="230"/>
      <c r="X735" s="230"/>
      <c r="Y735" s="230"/>
      <c r="Z735" s="230"/>
    </row>
    <row r="736" spans="1:26" ht="15.75" customHeight="1">
      <c r="A736" s="230"/>
      <c r="B736" s="230"/>
      <c r="C736" s="230"/>
      <c r="D736" s="230"/>
      <c r="E736" s="230"/>
      <c r="F736" s="230"/>
      <c r="G736" s="230"/>
      <c r="H736" s="230"/>
      <c r="I736" s="230"/>
      <c r="J736" s="230"/>
      <c r="K736" s="230"/>
      <c r="L736" s="230"/>
      <c r="M736" s="230"/>
      <c r="N736" s="230"/>
      <c r="O736" s="230"/>
      <c r="P736" s="230"/>
      <c r="Q736" s="230"/>
      <c r="R736" s="230"/>
      <c r="S736" s="230"/>
      <c r="T736" s="230"/>
      <c r="U736" s="230"/>
      <c r="V736" s="230"/>
      <c r="W736" s="230"/>
      <c r="X736" s="230"/>
      <c r="Y736" s="230"/>
      <c r="Z736" s="230"/>
    </row>
    <row r="737" spans="1:26" ht="15.75" customHeight="1">
      <c r="A737" s="230"/>
      <c r="B737" s="230"/>
      <c r="C737" s="230"/>
      <c r="D737" s="230"/>
      <c r="E737" s="230"/>
      <c r="F737" s="230"/>
      <c r="G737" s="230"/>
      <c r="H737" s="230"/>
      <c r="I737" s="230"/>
      <c r="J737" s="230"/>
      <c r="K737" s="230"/>
      <c r="L737" s="230"/>
      <c r="M737" s="230"/>
      <c r="N737" s="230"/>
      <c r="O737" s="230"/>
      <c r="P737" s="230"/>
      <c r="Q737" s="230"/>
      <c r="R737" s="230"/>
      <c r="S737" s="230"/>
      <c r="T737" s="230"/>
      <c r="U737" s="230"/>
      <c r="V737" s="230"/>
      <c r="W737" s="230"/>
      <c r="X737" s="230"/>
      <c r="Y737" s="230"/>
      <c r="Z737" s="230"/>
    </row>
    <row r="738" spans="1:26" ht="15.75" customHeight="1">
      <c r="A738" s="230"/>
      <c r="B738" s="230"/>
      <c r="C738" s="230"/>
      <c r="D738" s="230"/>
      <c r="E738" s="230"/>
      <c r="F738" s="230"/>
      <c r="G738" s="230"/>
      <c r="H738" s="230"/>
      <c r="I738" s="230"/>
      <c r="J738" s="230"/>
      <c r="K738" s="230"/>
      <c r="L738" s="230"/>
      <c r="M738" s="230"/>
      <c r="N738" s="230"/>
      <c r="O738" s="230"/>
      <c r="P738" s="230"/>
      <c r="Q738" s="230"/>
      <c r="R738" s="230"/>
      <c r="S738" s="230"/>
      <c r="T738" s="230"/>
      <c r="U738" s="230"/>
      <c r="V738" s="230"/>
      <c r="W738" s="230"/>
      <c r="X738" s="230"/>
      <c r="Y738" s="230"/>
      <c r="Z738" s="230"/>
    </row>
    <row r="739" spans="1:26" ht="15.75" customHeight="1">
      <c r="A739" s="230"/>
      <c r="B739" s="230"/>
      <c r="C739" s="230"/>
      <c r="D739" s="230"/>
      <c r="E739" s="230"/>
      <c r="F739" s="230"/>
      <c r="G739" s="230"/>
      <c r="H739" s="230"/>
      <c r="I739" s="230"/>
      <c r="J739" s="230"/>
      <c r="K739" s="230"/>
      <c r="L739" s="230"/>
      <c r="M739" s="230"/>
      <c r="N739" s="230"/>
      <c r="O739" s="230"/>
      <c r="P739" s="230"/>
      <c r="Q739" s="230"/>
      <c r="R739" s="230"/>
      <c r="S739" s="230"/>
      <c r="T739" s="230"/>
      <c r="U739" s="230"/>
      <c r="V739" s="230"/>
      <c r="W739" s="230"/>
      <c r="X739" s="230"/>
      <c r="Y739" s="230"/>
      <c r="Z739" s="230"/>
    </row>
    <row r="740" spans="1:26" ht="15.75" customHeight="1">
      <c r="A740" s="230"/>
      <c r="B740" s="230"/>
      <c r="C740" s="230"/>
      <c r="D740" s="230"/>
      <c r="E740" s="230"/>
      <c r="F740" s="230"/>
      <c r="G740" s="230"/>
      <c r="H740" s="230"/>
      <c r="I740" s="230"/>
      <c r="J740" s="230"/>
      <c r="K740" s="230"/>
      <c r="L740" s="230"/>
      <c r="M740" s="230"/>
      <c r="N740" s="230"/>
      <c r="O740" s="230"/>
      <c r="P740" s="230"/>
      <c r="Q740" s="230"/>
      <c r="R740" s="230"/>
      <c r="S740" s="230"/>
      <c r="T740" s="230"/>
      <c r="U740" s="230"/>
      <c r="V740" s="230"/>
      <c r="W740" s="230"/>
      <c r="X740" s="230"/>
      <c r="Y740" s="230"/>
      <c r="Z740" s="230"/>
    </row>
    <row r="741" spans="1:26" ht="15.75" customHeight="1">
      <c r="A741" s="230"/>
      <c r="B741" s="230"/>
      <c r="C741" s="230"/>
      <c r="D741" s="230"/>
      <c r="E741" s="230"/>
      <c r="F741" s="230"/>
      <c r="G741" s="230"/>
      <c r="H741" s="230"/>
      <c r="I741" s="230"/>
      <c r="J741" s="230"/>
      <c r="K741" s="230"/>
      <c r="L741" s="230"/>
      <c r="M741" s="230"/>
      <c r="N741" s="230"/>
      <c r="O741" s="230"/>
      <c r="P741" s="230"/>
      <c r="Q741" s="230"/>
      <c r="R741" s="230"/>
      <c r="S741" s="230"/>
      <c r="T741" s="230"/>
      <c r="U741" s="230"/>
      <c r="V741" s="230"/>
      <c r="W741" s="230"/>
      <c r="X741" s="230"/>
      <c r="Y741" s="230"/>
      <c r="Z741" s="230"/>
    </row>
    <row r="742" spans="1:26" ht="15.75" customHeight="1">
      <c r="A742" s="230"/>
      <c r="B742" s="230"/>
      <c r="C742" s="230"/>
      <c r="D742" s="230"/>
      <c r="E742" s="230"/>
      <c r="F742" s="230"/>
      <c r="G742" s="230"/>
      <c r="H742" s="230"/>
      <c r="I742" s="230"/>
      <c r="J742" s="230"/>
      <c r="K742" s="230"/>
      <c r="L742" s="230"/>
      <c r="M742" s="230"/>
      <c r="N742" s="230"/>
      <c r="O742" s="230"/>
      <c r="P742" s="230"/>
      <c r="Q742" s="230"/>
      <c r="R742" s="230"/>
      <c r="S742" s="230"/>
      <c r="T742" s="230"/>
      <c r="U742" s="230"/>
      <c r="V742" s="230"/>
      <c r="W742" s="230"/>
      <c r="X742" s="230"/>
      <c r="Y742" s="230"/>
      <c r="Z742" s="230"/>
    </row>
    <row r="743" spans="1:26" ht="15.75" customHeight="1">
      <c r="A743" s="230"/>
      <c r="B743" s="230"/>
      <c r="C743" s="230"/>
      <c r="D743" s="230"/>
      <c r="E743" s="230"/>
      <c r="F743" s="230"/>
      <c r="G743" s="230"/>
      <c r="H743" s="230"/>
      <c r="I743" s="230"/>
      <c r="J743" s="230"/>
      <c r="K743" s="230"/>
      <c r="L743" s="230"/>
      <c r="M743" s="230"/>
      <c r="N743" s="230"/>
      <c r="O743" s="230"/>
      <c r="P743" s="230"/>
      <c r="Q743" s="230"/>
      <c r="R743" s="230"/>
      <c r="S743" s="230"/>
      <c r="T743" s="230"/>
      <c r="U743" s="230"/>
      <c r="V743" s="230"/>
      <c r="W743" s="230"/>
      <c r="X743" s="230"/>
      <c r="Y743" s="230"/>
      <c r="Z743" s="230"/>
    </row>
    <row r="744" spans="1:26" ht="15.75" customHeight="1">
      <c r="A744" s="230"/>
      <c r="B744" s="230"/>
      <c r="C744" s="230"/>
      <c r="D744" s="230"/>
      <c r="E744" s="230"/>
      <c r="F744" s="230"/>
      <c r="G744" s="230"/>
      <c r="H744" s="230"/>
      <c r="I744" s="230"/>
      <c r="J744" s="230"/>
      <c r="K744" s="230"/>
      <c r="L744" s="230"/>
      <c r="M744" s="230"/>
      <c r="N744" s="230"/>
      <c r="O744" s="230"/>
      <c r="P744" s="230"/>
      <c r="Q744" s="230"/>
      <c r="R744" s="230"/>
      <c r="S744" s="230"/>
      <c r="T744" s="230"/>
      <c r="U744" s="230"/>
      <c r="V744" s="230"/>
      <c r="W744" s="230"/>
      <c r="X744" s="230"/>
      <c r="Y744" s="230"/>
      <c r="Z744" s="230"/>
    </row>
    <row r="745" spans="1:26" ht="15.75" customHeight="1">
      <c r="A745" s="230"/>
      <c r="B745" s="230"/>
      <c r="C745" s="230"/>
      <c r="D745" s="230"/>
      <c r="E745" s="230"/>
      <c r="F745" s="230"/>
      <c r="G745" s="230"/>
      <c r="H745" s="230"/>
      <c r="I745" s="230"/>
      <c r="J745" s="230"/>
      <c r="K745" s="230"/>
      <c r="L745" s="230"/>
      <c r="M745" s="230"/>
      <c r="N745" s="230"/>
      <c r="O745" s="230"/>
      <c r="P745" s="230"/>
      <c r="Q745" s="230"/>
      <c r="R745" s="230"/>
      <c r="S745" s="230"/>
      <c r="T745" s="230"/>
      <c r="U745" s="230"/>
      <c r="V745" s="230"/>
      <c r="W745" s="230"/>
      <c r="X745" s="230"/>
      <c r="Y745" s="230"/>
      <c r="Z745" s="230"/>
    </row>
    <row r="746" spans="1:26" ht="15.75" customHeight="1">
      <c r="A746" s="230"/>
      <c r="B746" s="230"/>
      <c r="C746" s="230"/>
      <c r="D746" s="230"/>
      <c r="E746" s="230"/>
      <c r="F746" s="230"/>
      <c r="G746" s="230"/>
      <c r="H746" s="230"/>
      <c r="I746" s="230"/>
      <c r="J746" s="230"/>
      <c r="K746" s="230"/>
      <c r="L746" s="230"/>
      <c r="M746" s="230"/>
      <c r="N746" s="230"/>
      <c r="O746" s="230"/>
      <c r="P746" s="230"/>
      <c r="Q746" s="230"/>
      <c r="R746" s="230"/>
      <c r="S746" s="230"/>
      <c r="T746" s="230"/>
      <c r="U746" s="230"/>
      <c r="V746" s="230"/>
      <c r="W746" s="230"/>
      <c r="X746" s="230"/>
      <c r="Y746" s="230"/>
      <c r="Z746" s="230"/>
    </row>
    <row r="747" spans="1:26" ht="15.75" customHeight="1">
      <c r="A747" s="230"/>
      <c r="B747" s="230"/>
      <c r="C747" s="230"/>
      <c r="D747" s="230"/>
      <c r="E747" s="230"/>
      <c r="F747" s="230"/>
      <c r="G747" s="230"/>
      <c r="H747" s="230"/>
      <c r="I747" s="230"/>
      <c r="J747" s="230"/>
      <c r="K747" s="230"/>
      <c r="L747" s="230"/>
      <c r="M747" s="230"/>
      <c r="N747" s="230"/>
      <c r="O747" s="230"/>
      <c r="P747" s="230"/>
      <c r="Q747" s="230"/>
      <c r="R747" s="230"/>
      <c r="S747" s="230"/>
      <c r="T747" s="230"/>
      <c r="U747" s="230"/>
      <c r="V747" s="230"/>
      <c r="W747" s="230"/>
      <c r="X747" s="230"/>
      <c r="Y747" s="230"/>
      <c r="Z747" s="230"/>
    </row>
    <row r="748" spans="1:26" ht="15.75" customHeight="1">
      <c r="A748" s="230"/>
      <c r="B748" s="230"/>
      <c r="C748" s="230"/>
      <c r="D748" s="230"/>
      <c r="E748" s="230"/>
      <c r="F748" s="230"/>
      <c r="G748" s="230"/>
      <c r="H748" s="230"/>
      <c r="I748" s="230"/>
      <c r="J748" s="230"/>
      <c r="K748" s="230"/>
      <c r="L748" s="230"/>
      <c r="M748" s="230"/>
      <c r="N748" s="230"/>
      <c r="O748" s="230"/>
      <c r="P748" s="230"/>
      <c r="Q748" s="230"/>
      <c r="R748" s="230"/>
      <c r="S748" s="230"/>
      <c r="T748" s="230"/>
      <c r="U748" s="230"/>
      <c r="V748" s="230"/>
      <c r="W748" s="230"/>
      <c r="X748" s="230"/>
      <c r="Y748" s="230"/>
      <c r="Z748" s="230"/>
    </row>
    <row r="749" spans="1:26" ht="15.75" customHeight="1">
      <c r="A749" s="230"/>
      <c r="B749" s="230"/>
      <c r="C749" s="230"/>
      <c r="D749" s="230"/>
      <c r="E749" s="230"/>
      <c r="F749" s="230"/>
      <c r="G749" s="230"/>
      <c r="H749" s="230"/>
      <c r="I749" s="230"/>
      <c r="J749" s="230"/>
      <c r="K749" s="230"/>
      <c r="L749" s="230"/>
      <c r="M749" s="230"/>
      <c r="N749" s="230"/>
      <c r="O749" s="230"/>
      <c r="P749" s="230"/>
      <c r="Q749" s="230"/>
      <c r="R749" s="230"/>
      <c r="S749" s="230"/>
      <c r="T749" s="230"/>
      <c r="U749" s="230"/>
      <c r="V749" s="230"/>
      <c r="W749" s="230"/>
      <c r="X749" s="230"/>
      <c r="Y749" s="230"/>
      <c r="Z749" s="230"/>
    </row>
    <row r="750" spans="1:26" ht="15.75" customHeight="1">
      <c r="A750" s="230"/>
      <c r="B750" s="230"/>
      <c r="C750" s="230"/>
      <c r="D750" s="230"/>
      <c r="E750" s="230"/>
      <c r="F750" s="230"/>
      <c r="G750" s="230"/>
      <c r="H750" s="230"/>
      <c r="I750" s="230"/>
      <c r="J750" s="230"/>
      <c r="K750" s="230"/>
      <c r="L750" s="230"/>
      <c r="M750" s="230"/>
      <c r="N750" s="230"/>
      <c r="O750" s="230"/>
      <c r="P750" s="230"/>
      <c r="Q750" s="230"/>
      <c r="R750" s="230"/>
      <c r="S750" s="230"/>
      <c r="T750" s="230"/>
      <c r="U750" s="230"/>
      <c r="V750" s="230"/>
      <c r="W750" s="230"/>
      <c r="X750" s="230"/>
      <c r="Y750" s="230"/>
      <c r="Z750" s="230"/>
    </row>
    <row r="751" spans="1:26" ht="15.75" customHeight="1">
      <c r="A751" s="230"/>
      <c r="B751" s="230"/>
      <c r="C751" s="230"/>
      <c r="D751" s="230"/>
      <c r="E751" s="230"/>
      <c r="F751" s="230"/>
      <c r="G751" s="230"/>
      <c r="H751" s="230"/>
      <c r="I751" s="230"/>
      <c r="J751" s="230"/>
      <c r="K751" s="230"/>
      <c r="L751" s="230"/>
      <c r="M751" s="230"/>
      <c r="N751" s="230"/>
      <c r="O751" s="230"/>
      <c r="P751" s="230"/>
      <c r="Q751" s="230"/>
      <c r="R751" s="230"/>
      <c r="S751" s="230"/>
      <c r="T751" s="230"/>
      <c r="U751" s="230"/>
      <c r="V751" s="230"/>
      <c r="W751" s="230"/>
      <c r="X751" s="230"/>
      <c r="Y751" s="230"/>
      <c r="Z751" s="230"/>
    </row>
    <row r="752" spans="1:26" ht="15.75" customHeight="1">
      <c r="A752" s="230"/>
      <c r="B752" s="230"/>
      <c r="C752" s="230"/>
      <c r="D752" s="230"/>
      <c r="E752" s="230"/>
      <c r="F752" s="230"/>
      <c r="G752" s="230"/>
      <c r="H752" s="230"/>
      <c r="I752" s="230"/>
      <c r="J752" s="230"/>
      <c r="K752" s="230"/>
      <c r="L752" s="230"/>
      <c r="M752" s="230"/>
      <c r="N752" s="230"/>
      <c r="O752" s="230"/>
      <c r="P752" s="230"/>
      <c r="Q752" s="230"/>
      <c r="R752" s="230"/>
      <c r="S752" s="230"/>
      <c r="T752" s="230"/>
      <c r="U752" s="230"/>
      <c r="V752" s="230"/>
      <c r="W752" s="230"/>
      <c r="X752" s="230"/>
      <c r="Y752" s="230"/>
      <c r="Z752" s="230"/>
    </row>
    <row r="753" spans="1:26" ht="15.75" customHeight="1">
      <c r="A753" s="230"/>
      <c r="B753" s="230"/>
      <c r="C753" s="230"/>
      <c r="D753" s="230"/>
      <c r="E753" s="230"/>
      <c r="F753" s="230"/>
      <c r="G753" s="230"/>
      <c r="H753" s="230"/>
      <c r="I753" s="230"/>
      <c r="J753" s="230"/>
      <c r="K753" s="230"/>
      <c r="L753" s="230"/>
      <c r="M753" s="230"/>
      <c r="N753" s="230"/>
      <c r="O753" s="230"/>
      <c r="P753" s="230"/>
      <c r="Q753" s="230"/>
      <c r="R753" s="230"/>
      <c r="S753" s="230"/>
      <c r="T753" s="230"/>
      <c r="U753" s="230"/>
      <c r="V753" s="230"/>
      <c r="W753" s="230"/>
      <c r="X753" s="230"/>
      <c r="Y753" s="230"/>
      <c r="Z753" s="230"/>
    </row>
    <row r="754" spans="1:26" ht="15.75" customHeight="1">
      <c r="A754" s="230"/>
      <c r="B754" s="230"/>
      <c r="C754" s="230"/>
      <c r="D754" s="230"/>
      <c r="E754" s="230"/>
      <c r="F754" s="230"/>
      <c r="G754" s="230"/>
      <c r="H754" s="230"/>
      <c r="I754" s="230"/>
      <c r="J754" s="230"/>
      <c r="K754" s="230"/>
      <c r="L754" s="230"/>
      <c r="M754" s="230"/>
      <c r="N754" s="230"/>
      <c r="O754" s="230"/>
      <c r="P754" s="230"/>
      <c r="Q754" s="230"/>
      <c r="R754" s="230"/>
      <c r="S754" s="230"/>
      <c r="T754" s="230"/>
      <c r="U754" s="230"/>
      <c r="V754" s="230"/>
      <c r="W754" s="230"/>
      <c r="X754" s="230"/>
      <c r="Y754" s="230"/>
      <c r="Z754" s="230"/>
    </row>
    <row r="755" spans="1:26" ht="15.75" customHeight="1">
      <c r="A755" s="230"/>
      <c r="B755" s="230"/>
      <c r="C755" s="230"/>
      <c r="D755" s="230"/>
      <c r="E755" s="230"/>
      <c r="F755" s="230"/>
      <c r="G755" s="230"/>
      <c r="H755" s="230"/>
      <c r="I755" s="230"/>
      <c r="J755" s="230"/>
      <c r="K755" s="230"/>
      <c r="L755" s="230"/>
      <c r="M755" s="230"/>
      <c r="N755" s="230"/>
      <c r="O755" s="230"/>
      <c r="P755" s="230"/>
      <c r="Q755" s="230"/>
      <c r="R755" s="230"/>
      <c r="S755" s="230"/>
      <c r="T755" s="230"/>
      <c r="U755" s="230"/>
      <c r="V755" s="230"/>
      <c r="W755" s="230"/>
      <c r="X755" s="230"/>
      <c r="Y755" s="230"/>
      <c r="Z755" s="230"/>
    </row>
    <row r="756" spans="1:26" ht="15.75" customHeight="1">
      <c r="A756" s="230"/>
      <c r="B756" s="230"/>
      <c r="C756" s="230"/>
      <c r="D756" s="230"/>
      <c r="E756" s="230"/>
      <c r="F756" s="230"/>
      <c r="G756" s="230"/>
      <c r="H756" s="230"/>
      <c r="I756" s="230"/>
      <c r="J756" s="230"/>
      <c r="K756" s="230"/>
      <c r="L756" s="230"/>
      <c r="M756" s="230"/>
      <c r="N756" s="230"/>
      <c r="O756" s="230"/>
      <c r="P756" s="230"/>
      <c r="Q756" s="230"/>
      <c r="R756" s="230"/>
      <c r="S756" s="230"/>
      <c r="T756" s="230"/>
      <c r="U756" s="230"/>
      <c r="V756" s="230"/>
      <c r="W756" s="230"/>
      <c r="X756" s="230"/>
      <c r="Y756" s="230"/>
      <c r="Z756" s="230"/>
    </row>
    <row r="757" spans="1:26" ht="15.75" customHeight="1">
      <c r="A757" s="230"/>
      <c r="B757" s="230"/>
      <c r="C757" s="230"/>
      <c r="D757" s="230"/>
      <c r="E757" s="230"/>
      <c r="F757" s="230"/>
      <c r="G757" s="230"/>
      <c r="H757" s="230"/>
      <c r="I757" s="230"/>
      <c r="J757" s="230"/>
      <c r="K757" s="230"/>
      <c r="L757" s="230"/>
      <c r="M757" s="230"/>
      <c r="N757" s="230"/>
      <c r="O757" s="230"/>
      <c r="P757" s="230"/>
      <c r="Q757" s="230"/>
      <c r="R757" s="230"/>
      <c r="S757" s="230"/>
      <c r="T757" s="230"/>
      <c r="U757" s="230"/>
      <c r="V757" s="230"/>
      <c r="W757" s="230"/>
      <c r="X757" s="230"/>
      <c r="Y757" s="230"/>
      <c r="Z757" s="230"/>
    </row>
    <row r="758" spans="1:26" ht="15.75" customHeight="1">
      <c r="A758" s="230"/>
      <c r="B758" s="230"/>
      <c r="C758" s="230"/>
      <c r="D758" s="230"/>
      <c r="E758" s="230"/>
      <c r="F758" s="230"/>
      <c r="G758" s="230"/>
      <c r="H758" s="230"/>
      <c r="I758" s="230"/>
      <c r="J758" s="230"/>
      <c r="K758" s="230"/>
      <c r="L758" s="230"/>
      <c r="M758" s="230"/>
      <c r="N758" s="230"/>
      <c r="O758" s="230"/>
      <c r="P758" s="230"/>
      <c r="Q758" s="230"/>
      <c r="R758" s="230"/>
      <c r="S758" s="230"/>
      <c r="T758" s="230"/>
      <c r="U758" s="230"/>
      <c r="V758" s="230"/>
      <c r="W758" s="230"/>
      <c r="X758" s="230"/>
      <c r="Y758" s="230"/>
      <c r="Z758" s="230"/>
    </row>
    <row r="759" spans="1:26" ht="15.75" customHeight="1">
      <c r="A759" s="230"/>
      <c r="B759" s="230"/>
      <c r="C759" s="230"/>
      <c r="D759" s="230"/>
      <c r="E759" s="230"/>
      <c r="F759" s="230"/>
      <c r="G759" s="230"/>
      <c r="H759" s="230"/>
      <c r="I759" s="230"/>
      <c r="J759" s="230"/>
      <c r="K759" s="230"/>
      <c r="L759" s="230"/>
      <c r="M759" s="230"/>
      <c r="N759" s="230"/>
      <c r="O759" s="230"/>
      <c r="P759" s="230"/>
      <c r="Q759" s="230"/>
      <c r="R759" s="230"/>
      <c r="S759" s="230"/>
      <c r="T759" s="230"/>
      <c r="U759" s="230"/>
      <c r="V759" s="230"/>
      <c r="W759" s="230"/>
      <c r="X759" s="230"/>
      <c r="Y759" s="230"/>
      <c r="Z759" s="230"/>
    </row>
    <row r="760" spans="1:26" ht="15.75" customHeight="1">
      <c r="A760" s="230"/>
      <c r="B760" s="230"/>
      <c r="C760" s="230"/>
      <c r="D760" s="230"/>
      <c r="E760" s="230"/>
      <c r="F760" s="230"/>
      <c r="G760" s="230"/>
      <c r="H760" s="230"/>
      <c r="I760" s="230"/>
      <c r="J760" s="230"/>
      <c r="K760" s="230"/>
      <c r="L760" s="230"/>
      <c r="M760" s="230"/>
      <c r="N760" s="230"/>
      <c r="O760" s="230"/>
      <c r="P760" s="230"/>
      <c r="Q760" s="230"/>
      <c r="R760" s="230"/>
      <c r="S760" s="230"/>
      <c r="T760" s="230"/>
      <c r="U760" s="230"/>
      <c r="V760" s="230"/>
      <c r="W760" s="230"/>
      <c r="X760" s="230"/>
      <c r="Y760" s="230"/>
      <c r="Z760" s="230"/>
    </row>
    <row r="761" spans="1:26" ht="15.75" customHeight="1">
      <c r="A761" s="230"/>
      <c r="B761" s="230"/>
      <c r="C761" s="230"/>
      <c r="D761" s="230"/>
      <c r="E761" s="230"/>
      <c r="F761" s="230"/>
      <c r="G761" s="230"/>
      <c r="H761" s="230"/>
      <c r="I761" s="230"/>
      <c r="J761" s="230"/>
      <c r="K761" s="230"/>
      <c r="L761" s="230"/>
      <c r="M761" s="230"/>
      <c r="N761" s="230"/>
      <c r="O761" s="230"/>
      <c r="P761" s="230"/>
      <c r="Q761" s="230"/>
      <c r="R761" s="230"/>
      <c r="S761" s="230"/>
      <c r="T761" s="230"/>
      <c r="U761" s="230"/>
      <c r="V761" s="230"/>
      <c r="W761" s="230"/>
      <c r="X761" s="230"/>
      <c r="Y761" s="230"/>
      <c r="Z761" s="230"/>
    </row>
    <row r="762" spans="1:26" ht="15.75" customHeight="1">
      <c r="A762" s="230"/>
      <c r="B762" s="230"/>
      <c r="C762" s="230"/>
      <c r="D762" s="230"/>
      <c r="E762" s="230"/>
      <c r="F762" s="230"/>
      <c r="G762" s="230"/>
      <c r="H762" s="230"/>
      <c r="I762" s="230"/>
      <c r="J762" s="230"/>
      <c r="K762" s="230"/>
      <c r="L762" s="230"/>
      <c r="M762" s="230"/>
      <c r="N762" s="230"/>
      <c r="O762" s="230"/>
      <c r="P762" s="230"/>
      <c r="Q762" s="230"/>
      <c r="R762" s="230"/>
      <c r="S762" s="230"/>
      <c r="T762" s="230"/>
      <c r="U762" s="230"/>
      <c r="V762" s="230"/>
      <c r="W762" s="230"/>
      <c r="X762" s="230"/>
      <c r="Y762" s="230"/>
      <c r="Z762" s="230"/>
    </row>
    <row r="763" spans="1:26" ht="15.75" customHeight="1">
      <c r="A763" s="230"/>
      <c r="B763" s="230"/>
      <c r="C763" s="230"/>
      <c r="D763" s="230"/>
      <c r="E763" s="230"/>
      <c r="F763" s="230"/>
      <c r="G763" s="230"/>
      <c r="H763" s="230"/>
      <c r="I763" s="230"/>
      <c r="J763" s="230"/>
      <c r="K763" s="230"/>
      <c r="L763" s="230"/>
      <c r="M763" s="230"/>
      <c r="N763" s="230"/>
      <c r="O763" s="230"/>
      <c r="P763" s="230"/>
      <c r="Q763" s="230"/>
      <c r="R763" s="230"/>
      <c r="S763" s="230"/>
      <c r="T763" s="230"/>
      <c r="U763" s="230"/>
      <c r="V763" s="230"/>
      <c r="W763" s="230"/>
      <c r="X763" s="230"/>
      <c r="Y763" s="230"/>
      <c r="Z763" s="230"/>
    </row>
    <row r="764" spans="1:26" ht="15.75" customHeight="1">
      <c r="A764" s="230"/>
      <c r="B764" s="230"/>
      <c r="C764" s="230"/>
      <c r="D764" s="230"/>
      <c r="E764" s="230"/>
      <c r="F764" s="230"/>
      <c r="G764" s="230"/>
      <c r="H764" s="230"/>
      <c r="I764" s="230"/>
      <c r="J764" s="230"/>
      <c r="K764" s="230"/>
      <c r="L764" s="230"/>
      <c r="M764" s="230"/>
      <c r="N764" s="230"/>
      <c r="O764" s="230"/>
      <c r="P764" s="230"/>
      <c r="Q764" s="230"/>
      <c r="R764" s="230"/>
      <c r="S764" s="230"/>
      <c r="T764" s="230"/>
      <c r="U764" s="230"/>
      <c r="V764" s="230"/>
      <c r="W764" s="230"/>
      <c r="X764" s="230"/>
      <c r="Y764" s="230"/>
      <c r="Z764" s="230"/>
    </row>
    <row r="765" spans="1:26" ht="15.75" customHeight="1">
      <c r="A765" s="230"/>
      <c r="B765" s="230"/>
      <c r="C765" s="230"/>
      <c r="D765" s="230"/>
      <c r="E765" s="230"/>
      <c r="F765" s="230"/>
      <c r="G765" s="230"/>
      <c r="H765" s="230"/>
      <c r="I765" s="230"/>
      <c r="J765" s="230"/>
      <c r="K765" s="230"/>
      <c r="L765" s="230"/>
      <c r="M765" s="230"/>
      <c r="N765" s="230"/>
      <c r="O765" s="230"/>
      <c r="P765" s="230"/>
      <c r="Q765" s="230"/>
      <c r="R765" s="230"/>
      <c r="S765" s="230"/>
      <c r="T765" s="230"/>
      <c r="U765" s="230"/>
      <c r="V765" s="230"/>
      <c r="W765" s="230"/>
      <c r="X765" s="230"/>
      <c r="Y765" s="230"/>
      <c r="Z765" s="230"/>
    </row>
    <row r="766" spans="1:26" ht="15.75" customHeight="1">
      <c r="A766" s="230"/>
      <c r="B766" s="230"/>
      <c r="C766" s="230"/>
      <c r="D766" s="230"/>
      <c r="E766" s="230"/>
      <c r="F766" s="230"/>
      <c r="G766" s="230"/>
      <c r="H766" s="230"/>
      <c r="I766" s="230"/>
      <c r="J766" s="230"/>
      <c r="K766" s="230"/>
      <c r="L766" s="230"/>
      <c r="M766" s="230"/>
      <c r="N766" s="230"/>
      <c r="O766" s="230"/>
      <c r="P766" s="230"/>
      <c r="Q766" s="230"/>
      <c r="R766" s="230"/>
      <c r="S766" s="230"/>
      <c r="T766" s="230"/>
      <c r="U766" s="230"/>
      <c r="V766" s="230"/>
      <c r="W766" s="230"/>
      <c r="X766" s="230"/>
      <c r="Y766" s="230"/>
      <c r="Z766" s="230"/>
    </row>
    <row r="767" spans="1:26" ht="15.75" customHeight="1">
      <c r="A767" s="230"/>
      <c r="B767" s="230"/>
      <c r="C767" s="230"/>
      <c r="D767" s="230"/>
      <c r="E767" s="230"/>
      <c r="F767" s="230"/>
      <c r="G767" s="230"/>
      <c r="H767" s="230"/>
      <c r="I767" s="230"/>
      <c r="J767" s="230"/>
      <c r="K767" s="230"/>
      <c r="L767" s="230"/>
      <c r="M767" s="230"/>
      <c r="N767" s="230"/>
      <c r="O767" s="230"/>
      <c r="P767" s="230"/>
      <c r="Q767" s="230"/>
      <c r="R767" s="230"/>
      <c r="S767" s="230"/>
      <c r="T767" s="230"/>
      <c r="U767" s="230"/>
      <c r="V767" s="230"/>
      <c r="W767" s="230"/>
      <c r="X767" s="230"/>
      <c r="Y767" s="230"/>
      <c r="Z767" s="230"/>
    </row>
    <row r="768" spans="1:26" ht="15.75" customHeight="1">
      <c r="A768" s="230"/>
      <c r="B768" s="230"/>
      <c r="C768" s="230"/>
      <c r="D768" s="230"/>
      <c r="E768" s="230"/>
      <c r="F768" s="230"/>
      <c r="G768" s="230"/>
      <c r="H768" s="230"/>
      <c r="I768" s="230"/>
      <c r="J768" s="230"/>
      <c r="K768" s="230"/>
      <c r="L768" s="230"/>
      <c r="M768" s="230"/>
      <c r="N768" s="230"/>
      <c r="O768" s="230"/>
      <c r="P768" s="230"/>
      <c r="Q768" s="230"/>
      <c r="R768" s="230"/>
      <c r="S768" s="230"/>
      <c r="T768" s="230"/>
      <c r="U768" s="230"/>
      <c r="V768" s="230"/>
      <c r="W768" s="230"/>
      <c r="X768" s="230"/>
      <c r="Y768" s="230"/>
      <c r="Z768" s="230"/>
    </row>
    <row r="769" spans="1:26" ht="15.75" customHeight="1">
      <c r="A769" s="230"/>
      <c r="B769" s="230"/>
      <c r="C769" s="230"/>
      <c r="D769" s="230"/>
      <c r="E769" s="230"/>
      <c r="F769" s="230"/>
      <c r="G769" s="230"/>
      <c r="H769" s="230"/>
      <c r="I769" s="230"/>
      <c r="J769" s="230"/>
      <c r="K769" s="230"/>
      <c r="L769" s="230"/>
      <c r="M769" s="230"/>
      <c r="N769" s="230"/>
      <c r="O769" s="230"/>
      <c r="P769" s="230"/>
      <c r="Q769" s="230"/>
      <c r="R769" s="230"/>
      <c r="S769" s="230"/>
      <c r="T769" s="230"/>
      <c r="U769" s="230"/>
      <c r="V769" s="230"/>
      <c r="W769" s="230"/>
      <c r="X769" s="230"/>
      <c r="Y769" s="230"/>
      <c r="Z769" s="230"/>
    </row>
    <row r="770" spans="1:26" ht="15.75" customHeight="1">
      <c r="A770" s="230"/>
      <c r="B770" s="230"/>
      <c r="C770" s="230"/>
      <c r="D770" s="230"/>
      <c r="E770" s="230"/>
      <c r="F770" s="230"/>
      <c r="G770" s="230"/>
      <c r="H770" s="230"/>
      <c r="I770" s="230"/>
      <c r="J770" s="230"/>
      <c r="K770" s="230"/>
      <c r="L770" s="230"/>
      <c r="M770" s="230"/>
      <c r="N770" s="230"/>
      <c r="O770" s="230"/>
      <c r="P770" s="230"/>
      <c r="Q770" s="230"/>
      <c r="R770" s="230"/>
      <c r="S770" s="230"/>
      <c r="T770" s="230"/>
      <c r="U770" s="230"/>
      <c r="V770" s="230"/>
      <c r="W770" s="230"/>
      <c r="X770" s="230"/>
      <c r="Y770" s="230"/>
      <c r="Z770" s="230"/>
    </row>
    <row r="771" spans="1:26" ht="15.75" customHeight="1">
      <c r="A771" s="230"/>
      <c r="B771" s="230"/>
      <c r="C771" s="230"/>
      <c r="D771" s="230"/>
      <c r="E771" s="230"/>
      <c r="F771" s="230"/>
      <c r="G771" s="230"/>
      <c r="H771" s="230"/>
      <c r="I771" s="230"/>
      <c r="J771" s="230"/>
      <c r="K771" s="230"/>
      <c r="L771" s="230"/>
      <c r="M771" s="230"/>
      <c r="N771" s="230"/>
      <c r="O771" s="230"/>
      <c r="P771" s="230"/>
      <c r="Q771" s="230"/>
      <c r="R771" s="230"/>
      <c r="S771" s="230"/>
      <c r="T771" s="230"/>
      <c r="U771" s="230"/>
      <c r="V771" s="230"/>
      <c r="W771" s="230"/>
      <c r="X771" s="230"/>
      <c r="Y771" s="230"/>
      <c r="Z771" s="230"/>
    </row>
    <row r="772" spans="1:26" ht="15.75" customHeight="1">
      <c r="A772" s="230"/>
      <c r="B772" s="230"/>
      <c r="C772" s="230"/>
      <c r="D772" s="230"/>
      <c r="E772" s="230"/>
      <c r="F772" s="230"/>
      <c r="G772" s="230"/>
      <c r="H772" s="230"/>
      <c r="I772" s="230"/>
      <c r="J772" s="230"/>
      <c r="K772" s="230"/>
      <c r="L772" s="230"/>
      <c r="M772" s="230"/>
      <c r="N772" s="230"/>
      <c r="O772" s="230"/>
      <c r="P772" s="230"/>
      <c r="Q772" s="230"/>
      <c r="R772" s="230"/>
      <c r="S772" s="230"/>
      <c r="T772" s="230"/>
      <c r="U772" s="230"/>
      <c r="V772" s="230"/>
      <c r="W772" s="230"/>
      <c r="X772" s="230"/>
      <c r="Y772" s="230"/>
      <c r="Z772" s="230"/>
    </row>
    <row r="773" spans="1:26" ht="15.75" customHeight="1">
      <c r="A773" s="230"/>
      <c r="B773" s="230"/>
      <c r="C773" s="230"/>
      <c r="D773" s="230"/>
      <c r="E773" s="230"/>
      <c r="F773" s="230"/>
      <c r="G773" s="230"/>
      <c r="H773" s="230"/>
      <c r="I773" s="230"/>
      <c r="J773" s="230"/>
      <c r="K773" s="230"/>
      <c r="L773" s="230"/>
      <c r="M773" s="230"/>
      <c r="N773" s="230"/>
      <c r="O773" s="230"/>
      <c r="P773" s="230"/>
      <c r="Q773" s="230"/>
      <c r="R773" s="230"/>
      <c r="S773" s="230"/>
      <c r="T773" s="230"/>
      <c r="U773" s="230"/>
      <c r="V773" s="230"/>
      <c r="W773" s="230"/>
      <c r="X773" s="230"/>
      <c r="Y773" s="230"/>
      <c r="Z773" s="230"/>
    </row>
    <row r="774" spans="1:26" ht="15.75" customHeight="1">
      <c r="A774" s="230"/>
      <c r="B774" s="230"/>
      <c r="C774" s="230"/>
      <c r="D774" s="230"/>
      <c r="E774" s="230"/>
      <c r="F774" s="230"/>
      <c r="G774" s="230"/>
      <c r="H774" s="230"/>
      <c r="I774" s="230"/>
      <c r="J774" s="230"/>
      <c r="K774" s="230"/>
      <c r="L774" s="230"/>
      <c r="M774" s="230"/>
      <c r="N774" s="230"/>
      <c r="O774" s="230"/>
      <c r="P774" s="230"/>
      <c r="Q774" s="230"/>
      <c r="R774" s="230"/>
      <c r="S774" s="230"/>
      <c r="T774" s="230"/>
      <c r="U774" s="230"/>
      <c r="V774" s="230"/>
      <c r="W774" s="230"/>
      <c r="X774" s="230"/>
      <c r="Y774" s="230"/>
      <c r="Z774" s="230"/>
    </row>
    <row r="775" spans="1:26" ht="15.75" customHeight="1">
      <c r="A775" s="230"/>
      <c r="B775" s="230"/>
      <c r="C775" s="230"/>
      <c r="D775" s="230"/>
      <c r="E775" s="230"/>
      <c r="F775" s="230"/>
      <c r="G775" s="230"/>
      <c r="H775" s="230"/>
      <c r="I775" s="230"/>
      <c r="J775" s="230"/>
      <c r="K775" s="230"/>
      <c r="L775" s="230"/>
      <c r="M775" s="230"/>
      <c r="N775" s="230"/>
      <c r="O775" s="230"/>
      <c r="P775" s="230"/>
      <c r="Q775" s="230"/>
      <c r="R775" s="230"/>
      <c r="S775" s="230"/>
      <c r="T775" s="230"/>
      <c r="U775" s="230"/>
      <c r="V775" s="230"/>
      <c r="W775" s="230"/>
      <c r="X775" s="230"/>
      <c r="Y775" s="230"/>
      <c r="Z775" s="230"/>
    </row>
    <row r="776" spans="1:26" ht="15.75" customHeight="1">
      <c r="A776" s="230"/>
      <c r="B776" s="230"/>
      <c r="C776" s="230"/>
      <c r="D776" s="230"/>
      <c r="E776" s="230"/>
      <c r="F776" s="230"/>
      <c r="G776" s="230"/>
      <c r="H776" s="230"/>
      <c r="I776" s="230"/>
      <c r="J776" s="230"/>
      <c r="K776" s="230"/>
      <c r="L776" s="230"/>
      <c r="M776" s="230"/>
      <c r="N776" s="230"/>
      <c r="O776" s="230"/>
      <c r="P776" s="230"/>
      <c r="Q776" s="230"/>
      <c r="R776" s="230"/>
      <c r="S776" s="230"/>
      <c r="T776" s="230"/>
      <c r="U776" s="230"/>
      <c r="V776" s="230"/>
      <c r="W776" s="230"/>
      <c r="X776" s="230"/>
      <c r="Y776" s="230"/>
      <c r="Z776" s="230"/>
    </row>
    <row r="777" spans="1:26" ht="15.75" customHeight="1">
      <c r="A777" s="230"/>
      <c r="B777" s="230"/>
      <c r="C777" s="230"/>
      <c r="D777" s="230"/>
      <c r="E777" s="230"/>
      <c r="F777" s="230"/>
      <c r="G777" s="230"/>
      <c r="H777" s="230"/>
      <c r="I777" s="230"/>
      <c r="J777" s="230"/>
      <c r="K777" s="230"/>
      <c r="L777" s="230"/>
      <c r="M777" s="230"/>
      <c r="N777" s="230"/>
      <c r="O777" s="230"/>
      <c r="P777" s="230"/>
      <c r="Q777" s="230"/>
      <c r="R777" s="230"/>
      <c r="S777" s="230"/>
      <c r="T777" s="230"/>
      <c r="U777" s="230"/>
      <c r="V777" s="230"/>
      <c r="W777" s="230"/>
      <c r="X777" s="230"/>
      <c r="Y777" s="230"/>
      <c r="Z777" s="230"/>
    </row>
    <row r="778" spans="1:26" ht="15.75" customHeight="1">
      <c r="A778" s="230"/>
      <c r="B778" s="230"/>
      <c r="C778" s="230"/>
      <c r="D778" s="230"/>
      <c r="E778" s="230"/>
      <c r="F778" s="230"/>
      <c r="G778" s="230"/>
      <c r="H778" s="230"/>
      <c r="I778" s="230"/>
      <c r="J778" s="230"/>
      <c r="K778" s="230"/>
      <c r="L778" s="230"/>
      <c r="M778" s="230"/>
      <c r="N778" s="230"/>
      <c r="O778" s="230"/>
      <c r="P778" s="230"/>
      <c r="Q778" s="230"/>
      <c r="R778" s="230"/>
      <c r="S778" s="230"/>
      <c r="T778" s="230"/>
      <c r="U778" s="230"/>
      <c r="V778" s="230"/>
      <c r="W778" s="230"/>
      <c r="X778" s="230"/>
      <c r="Y778" s="230"/>
      <c r="Z778" s="230"/>
    </row>
    <row r="779" spans="1:26" ht="15.75" customHeight="1">
      <c r="A779" s="230"/>
      <c r="B779" s="230"/>
      <c r="C779" s="230"/>
      <c r="D779" s="230"/>
      <c r="E779" s="230"/>
      <c r="F779" s="230"/>
      <c r="G779" s="230"/>
      <c r="H779" s="230"/>
      <c r="I779" s="230"/>
      <c r="J779" s="230"/>
      <c r="K779" s="230"/>
      <c r="L779" s="230"/>
      <c r="M779" s="230"/>
      <c r="N779" s="230"/>
      <c r="O779" s="230"/>
      <c r="P779" s="230"/>
      <c r="Q779" s="230"/>
      <c r="R779" s="230"/>
      <c r="S779" s="230"/>
      <c r="T779" s="230"/>
      <c r="U779" s="230"/>
      <c r="V779" s="230"/>
      <c r="W779" s="230"/>
      <c r="X779" s="230"/>
      <c r="Y779" s="230"/>
      <c r="Z779" s="230"/>
    </row>
    <row r="780" spans="1:26" ht="15.75" customHeight="1">
      <c r="A780" s="230"/>
      <c r="B780" s="230"/>
      <c r="C780" s="230"/>
      <c r="D780" s="230"/>
      <c r="E780" s="230"/>
      <c r="F780" s="230"/>
      <c r="G780" s="230"/>
      <c r="H780" s="230"/>
      <c r="I780" s="230"/>
      <c r="J780" s="230"/>
      <c r="K780" s="230"/>
      <c r="L780" s="230"/>
      <c r="M780" s="230"/>
      <c r="N780" s="230"/>
      <c r="O780" s="230"/>
      <c r="P780" s="230"/>
      <c r="Q780" s="230"/>
      <c r="R780" s="230"/>
      <c r="S780" s="230"/>
      <c r="T780" s="230"/>
      <c r="U780" s="230"/>
      <c r="V780" s="230"/>
      <c r="W780" s="230"/>
      <c r="X780" s="230"/>
      <c r="Y780" s="230"/>
      <c r="Z780" s="230"/>
    </row>
    <row r="781" spans="1:26" ht="15.75" customHeight="1">
      <c r="A781" s="230"/>
      <c r="B781" s="230"/>
      <c r="C781" s="230"/>
      <c r="D781" s="230"/>
      <c r="E781" s="230"/>
      <c r="F781" s="230"/>
      <c r="G781" s="230"/>
      <c r="H781" s="230"/>
      <c r="I781" s="230"/>
      <c r="J781" s="230"/>
      <c r="K781" s="230"/>
      <c r="L781" s="230"/>
      <c r="M781" s="230"/>
      <c r="N781" s="230"/>
      <c r="O781" s="230"/>
      <c r="P781" s="230"/>
      <c r="Q781" s="230"/>
      <c r="R781" s="230"/>
      <c r="S781" s="230"/>
      <c r="T781" s="230"/>
      <c r="U781" s="230"/>
      <c r="V781" s="230"/>
      <c r="W781" s="230"/>
      <c r="X781" s="230"/>
      <c r="Y781" s="230"/>
      <c r="Z781" s="230"/>
    </row>
    <row r="782" spans="1:26" ht="15.75" customHeight="1">
      <c r="A782" s="230"/>
      <c r="B782" s="230"/>
      <c r="C782" s="230"/>
      <c r="D782" s="230"/>
      <c r="E782" s="230"/>
      <c r="F782" s="230"/>
      <c r="G782" s="230"/>
      <c r="H782" s="230"/>
      <c r="I782" s="230"/>
      <c r="J782" s="230"/>
      <c r="K782" s="230"/>
      <c r="L782" s="230"/>
      <c r="M782" s="230"/>
      <c r="N782" s="230"/>
      <c r="O782" s="230"/>
      <c r="P782" s="230"/>
      <c r="Q782" s="230"/>
      <c r="R782" s="230"/>
      <c r="S782" s="230"/>
      <c r="T782" s="230"/>
      <c r="U782" s="230"/>
      <c r="V782" s="230"/>
      <c r="W782" s="230"/>
      <c r="X782" s="230"/>
      <c r="Y782" s="230"/>
      <c r="Z782" s="230"/>
    </row>
    <row r="783" spans="1:26" ht="15.75" customHeight="1">
      <c r="A783" s="230"/>
      <c r="B783" s="230"/>
      <c r="C783" s="230"/>
      <c r="D783" s="230"/>
      <c r="E783" s="230"/>
      <c r="F783" s="230"/>
      <c r="G783" s="230"/>
      <c r="H783" s="230"/>
      <c r="I783" s="230"/>
      <c r="J783" s="230"/>
      <c r="K783" s="230"/>
      <c r="L783" s="230"/>
      <c r="M783" s="230"/>
      <c r="N783" s="230"/>
      <c r="O783" s="230"/>
      <c r="P783" s="230"/>
      <c r="Q783" s="230"/>
      <c r="R783" s="230"/>
      <c r="S783" s="230"/>
      <c r="T783" s="230"/>
      <c r="U783" s="230"/>
      <c r="V783" s="230"/>
      <c r="W783" s="230"/>
      <c r="X783" s="230"/>
      <c r="Y783" s="230"/>
      <c r="Z783" s="230"/>
    </row>
    <row r="784" spans="1:26" ht="15.75" customHeight="1">
      <c r="A784" s="230"/>
      <c r="B784" s="230"/>
      <c r="C784" s="230"/>
      <c r="D784" s="230"/>
      <c r="E784" s="230"/>
      <c r="F784" s="230"/>
      <c r="G784" s="230"/>
      <c r="H784" s="230"/>
      <c r="I784" s="230"/>
      <c r="J784" s="230"/>
      <c r="K784" s="230"/>
      <c r="L784" s="230"/>
      <c r="M784" s="230"/>
      <c r="N784" s="230"/>
      <c r="O784" s="230"/>
      <c r="P784" s="230"/>
      <c r="Q784" s="230"/>
      <c r="R784" s="230"/>
      <c r="S784" s="230"/>
      <c r="T784" s="230"/>
      <c r="U784" s="230"/>
      <c r="V784" s="230"/>
      <c r="W784" s="230"/>
      <c r="X784" s="230"/>
      <c r="Y784" s="230"/>
      <c r="Z784" s="230"/>
    </row>
    <row r="785" spans="1:26" ht="15.75" customHeight="1">
      <c r="A785" s="230"/>
      <c r="B785" s="230"/>
      <c r="C785" s="230"/>
      <c r="D785" s="230"/>
      <c r="E785" s="230"/>
      <c r="F785" s="230"/>
      <c r="G785" s="230"/>
      <c r="H785" s="230"/>
      <c r="I785" s="230"/>
      <c r="J785" s="230"/>
      <c r="K785" s="230"/>
      <c r="L785" s="230"/>
      <c r="M785" s="230"/>
      <c r="N785" s="230"/>
      <c r="O785" s="230"/>
      <c r="P785" s="230"/>
      <c r="Q785" s="230"/>
      <c r="R785" s="230"/>
      <c r="S785" s="230"/>
      <c r="T785" s="230"/>
      <c r="U785" s="230"/>
      <c r="V785" s="230"/>
      <c r="W785" s="230"/>
      <c r="X785" s="230"/>
      <c r="Y785" s="230"/>
      <c r="Z785" s="230"/>
    </row>
    <row r="786" spans="1:26" ht="15.75" customHeight="1">
      <c r="A786" s="230"/>
      <c r="B786" s="230"/>
      <c r="C786" s="230"/>
      <c r="D786" s="230"/>
      <c r="E786" s="230"/>
      <c r="F786" s="230"/>
      <c r="G786" s="230"/>
      <c r="H786" s="230"/>
      <c r="I786" s="230"/>
      <c r="J786" s="230"/>
      <c r="K786" s="230"/>
      <c r="L786" s="230"/>
      <c r="M786" s="230"/>
      <c r="N786" s="230"/>
      <c r="O786" s="230"/>
      <c r="P786" s="230"/>
      <c r="Q786" s="230"/>
      <c r="R786" s="230"/>
      <c r="S786" s="230"/>
      <c r="T786" s="230"/>
      <c r="U786" s="230"/>
      <c r="V786" s="230"/>
      <c r="W786" s="230"/>
      <c r="X786" s="230"/>
      <c r="Y786" s="230"/>
      <c r="Z786" s="230"/>
    </row>
    <row r="787" spans="1:26" ht="15.75" customHeight="1">
      <c r="A787" s="230"/>
      <c r="B787" s="230"/>
      <c r="C787" s="230"/>
      <c r="D787" s="230"/>
      <c r="E787" s="230"/>
      <c r="F787" s="230"/>
      <c r="G787" s="230"/>
      <c r="H787" s="230"/>
      <c r="I787" s="230"/>
      <c r="J787" s="230"/>
      <c r="K787" s="230"/>
      <c r="L787" s="230"/>
      <c r="M787" s="230"/>
      <c r="N787" s="230"/>
      <c r="O787" s="230"/>
      <c r="P787" s="230"/>
      <c r="Q787" s="230"/>
      <c r="R787" s="230"/>
      <c r="S787" s="230"/>
      <c r="T787" s="230"/>
      <c r="U787" s="230"/>
      <c r="V787" s="230"/>
      <c r="W787" s="230"/>
      <c r="X787" s="230"/>
      <c r="Y787" s="230"/>
      <c r="Z787" s="230"/>
    </row>
    <row r="788" spans="1:26" ht="15.75" customHeight="1">
      <c r="A788" s="230"/>
      <c r="B788" s="230"/>
      <c r="C788" s="230"/>
      <c r="D788" s="230"/>
      <c r="E788" s="230"/>
      <c r="F788" s="230"/>
      <c r="G788" s="230"/>
      <c r="H788" s="230"/>
      <c r="I788" s="230"/>
      <c r="J788" s="230"/>
      <c r="K788" s="230"/>
      <c r="L788" s="230"/>
      <c r="M788" s="230"/>
      <c r="N788" s="230"/>
      <c r="O788" s="230"/>
      <c r="P788" s="230"/>
      <c r="Q788" s="230"/>
      <c r="R788" s="230"/>
      <c r="S788" s="230"/>
      <c r="T788" s="230"/>
      <c r="U788" s="230"/>
      <c r="V788" s="230"/>
      <c r="W788" s="230"/>
      <c r="X788" s="230"/>
      <c r="Y788" s="230"/>
      <c r="Z788" s="230"/>
    </row>
    <row r="789" spans="1:26" ht="15.75" customHeight="1">
      <c r="A789" s="230"/>
      <c r="B789" s="230"/>
      <c r="C789" s="230"/>
      <c r="D789" s="230"/>
      <c r="E789" s="230"/>
      <c r="F789" s="230"/>
      <c r="G789" s="230"/>
      <c r="H789" s="230"/>
      <c r="I789" s="230"/>
      <c r="J789" s="230"/>
      <c r="K789" s="230"/>
      <c r="L789" s="230"/>
      <c r="M789" s="230"/>
      <c r="N789" s="230"/>
      <c r="O789" s="230"/>
      <c r="P789" s="230"/>
      <c r="Q789" s="230"/>
      <c r="R789" s="230"/>
      <c r="S789" s="230"/>
      <c r="T789" s="230"/>
      <c r="U789" s="230"/>
      <c r="V789" s="230"/>
      <c r="W789" s="230"/>
      <c r="X789" s="230"/>
      <c r="Y789" s="230"/>
      <c r="Z789" s="230"/>
    </row>
    <row r="790" spans="1:26" ht="15.75" customHeight="1">
      <c r="A790" s="230"/>
      <c r="B790" s="230"/>
      <c r="C790" s="230"/>
      <c r="D790" s="230"/>
      <c r="E790" s="230"/>
      <c r="F790" s="230"/>
      <c r="G790" s="230"/>
      <c r="H790" s="230"/>
      <c r="I790" s="230"/>
      <c r="J790" s="230"/>
      <c r="K790" s="230"/>
      <c r="L790" s="230"/>
      <c r="M790" s="230"/>
      <c r="N790" s="230"/>
      <c r="O790" s="230"/>
      <c r="P790" s="230"/>
      <c r="Q790" s="230"/>
      <c r="R790" s="230"/>
      <c r="S790" s="230"/>
      <c r="T790" s="230"/>
      <c r="U790" s="230"/>
      <c r="V790" s="230"/>
      <c r="W790" s="230"/>
      <c r="X790" s="230"/>
      <c r="Y790" s="230"/>
      <c r="Z790" s="230"/>
    </row>
    <row r="791" spans="1:26" ht="15.75" customHeight="1">
      <c r="A791" s="230"/>
      <c r="B791" s="230"/>
      <c r="C791" s="230"/>
      <c r="D791" s="230"/>
      <c r="E791" s="230"/>
      <c r="F791" s="230"/>
      <c r="G791" s="230"/>
      <c r="H791" s="230"/>
      <c r="I791" s="230"/>
      <c r="J791" s="230"/>
      <c r="K791" s="230"/>
      <c r="L791" s="230"/>
      <c r="M791" s="230"/>
      <c r="N791" s="230"/>
      <c r="O791" s="230"/>
      <c r="P791" s="230"/>
      <c r="Q791" s="230"/>
      <c r="R791" s="230"/>
      <c r="S791" s="230"/>
      <c r="T791" s="230"/>
      <c r="U791" s="230"/>
      <c r="V791" s="230"/>
      <c r="W791" s="230"/>
      <c r="X791" s="230"/>
      <c r="Y791" s="230"/>
      <c r="Z791" s="230"/>
    </row>
    <row r="792" spans="1:26" ht="15.75" customHeight="1">
      <c r="A792" s="230"/>
      <c r="B792" s="230"/>
      <c r="C792" s="230"/>
      <c r="D792" s="230"/>
      <c r="E792" s="230"/>
      <c r="F792" s="230"/>
      <c r="G792" s="230"/>
      <c r="H792" s="230"/>
      <c r="I792" s="230"/>
      <c r="J792" s="230"/>
      <c r="K792" s="230"/>
      <c r="L792" s="230"/>
      <c r="M792" s="230"/>
      <c r="N792" s="230"/>
      <c r="O792" s="230"/>
      <c r="P792" s="230"/>
      <c r="Q792" s="230"/>
      <c r="R792" s="230"/>
      <c r="S792" s="230"/>
      <c r="T792" s="230"/>
      <c r="U792" s="230"/>
      <c r="V792" s="230"/>
      <c r="W792" s="230"/>
      <c r="X792" s="230"/>
      <c r="Y792" s="230"/>
      <c r="Z792" s="230"/>
    </row>
    <row r="793" spans="1:26" ht="15.75" customHeight="1">
      <c r="A793" s="230"/>
      <c r="B793" s="230"/>
      <c r="C793" s="230"/>
      <c r="D793" s="230"/>
      <c r="E793" s="230"/>
      <c r="F793" s="230"/>
      <c r="G793" s="230"/>
      <c r="H793" s="230"/>
      <c r="I793" s="230"/>
      <c r="J793" s="230"/>
      <c r="K793" s="230"/>
      <c r="L793" s="230"/>
      <c r="M793" s="230"/>
      <c r="N793" s="230"/>
      <c r="O793" s="230"/>
      <c r="P793" s="230"/>
      <c r="Q793" s="230"/>
      <c r="R793" s="230"/>
      <c r="S793" s="230"/>
      <c r="T793" s="230"/>
      <c r="U793" s="230"/>
      <c r="V793" s="230"/>
      <c r="W793" s="230"/>
      <c r="X793" s="230"/>
      <c r="Y793" s="230"/>
      <c r="Z793" s="230"/>
    </row>
    <row r="794" spans="1:26" ht="15.75" customHeight="1">
      <c r="A794" s="230"/>
      <c r="B794" s="230"/>
      <c r="C794" s="230"/>
      <c r="D794" s="230"/>
      <c r="E794" s="230"/>
      <c r="F794" s="230"/>
      <c r="G794" s="230"/>
      <c r="H794" s="230"/>
      <c r="I794" s="230"/>
      <c r="J794" s="230"/>
      <c r="K794" s="230"/>
      <c r="L794" s="230"/>
      <c r="M794" s="230"/>
      <c r="N794" s="230"/>
      <c r="O794" s="230"/>
      <c r="P794" s="230"/>
      <c r="Q794" s="230"/>
      <c r="R794" s="230"/>
      <c r="S794" s="230"/>
      <c r="T794" s="230"/>
      <c r="U794" s="230"/>
      <c r="V794" s="230"/>
      <c r="W794" s="230"/>
      <c r="X794" s="230"/>
      <c r="Y794" s="230"/>
      <c r="Z794" s="230"/>
    </row>
    <row r="795" spans="1:26" ht="15.75" customHeight="1">
      <c r="A795" s="230"/>
      <c r="B795" s="230"/>
      <c r="C795" s="230"/>
      <c r="D795" s="230"/>
      <c r="E795" s="230"/>
      <c r="F795" s="230"/>
      <c r="G795" s="230"/>
      <c r="H795" s="230"/>
      <c r="I795" s="230"/>
      <c r="J795" s="230"/>
      <c r="K795" s="230"/>
      <c r="L795" s="230"/>
      <c r="M795" s="230"/>
      <c r="N795" s="230"/>
      <c r="O795" s="230"/>
      <c r="P795" s="230"/>
      <c r="Q795" s="230"/>
      <c r="R795" s="230"/>
      <c r="S795" s="230"/>
      <c r="T795" s="230"/>
      <c r="U795" s="230"/>
      <c r="V795" s="230"/>
      <c r="W795" s="230"/>
      <c r="X795" s="230"/>
      <c r="Y795" s="230"/>
      <c r="Z795" s="230"/>
    </row>
    <row r="796" spans="1:26" ht="15.75" customHeight="1">
      <c r="A796" s="230"/>
      <c r="B796" s="230"/>
      <c r="C796" s="230"/>
      <c r="D796" s="230"/>
      <c r="E796" s="230"/>
      <c r="F796" s="230"/>
      <c r="G796" s="230"/>
      <c r="H796" s="230"/>
      <c r="I796" s="230"/>
      <c r="J796" s="230"/>
      <c r="K796" s="230"/>
      <c r="L796" s="230"/>
      <c r="M796" s="230"/>
      <c r="N796" s="230"/>
      <c r="O796" s="230"/>
      <c r="P796" s="230"/>
      <c r="Q796" s="230"/>
      <c r="R796" s="230"/>
      <c r="S796" s="230"/>
      <c r="T796" s="230"/>
      <c r="U796" s="230"/>
      <c r="V796" s="230"/>
      <c r="W796" s="230"/>
      <c r="X796" s="230"/>
      <c r="Y796" s="230"/>
      <c r="Z796" s="230"/>
    </row>
    <row r="797" spans="1:26" ht="15.75" customHeight="1">
      <c r="A797" s="230"/>
      <c r="B797" s="230"/>
      <c r="C797" s="230"/>
      <c r="D797" s="230"/>
      <c r="E797" s="230"/>
      <c r="F797" s="230"/>
      <c r="G797" s="230"/>
      <c r="H797" s="230"/>
      <c r="I797" s="230"/>
      <c r="J797" s="230"/>
      <c r="K797" s="230"/>
      <c r="L797" s="230"/>
      <c r="M797" s="230"/>
      <c r="N797" s="230"/>
      <c r="O797" s="230"/>
      <c r="P797" s="230"/>
      <c r="Q797" s="230"/>
      <c r="R797" s="230"/>
      <c r="S797" s="230"/>
      <c r="T797" s="230"/>
      <c r="U797" s="230"/>
      <c r="V797" s="230"/>
      <c r="W797" s="230"/>
      <c r="X797" s="230"/>
      <c r="Y797" s="230"/>
      <c r="Z797" s="230"/>
    </row>
    <row r="798" spans="1:26" ht="15.75" customHeight="1">
      <c r="A798" s="230"/>
      <c r="B798" s="230"/>
      <c r="C798" s="230"/>
      <c r="D798" s="230"/>
      <c r="E798" s="230"/>
      <c r="F798" s="230"/>
      <c r="G798" s="230"/>
      <c r="H798" s="230"/>
      <c r="I798" s="230"/>
      <c r="J798" s="230"/>
      <c r="K798" s="230"/>
      <c r="L798" s="230"/>
      <c r="M798" s="230"/>
      <c r="N798" s="230"/>
      <c r="O798" s="230"/>
      <c r="P798" s="230"/>
      <c r="Q798" s="230"/>
      <c r="R798" s="230"/>
      <c r="S798" s="230"/>
      <c r="T798" s="230"/>
      <c r="U798" s="230"/>
      <c r="V798" s="230"/>
      <c r="W798" s="230"/>
      <c r="X798" s="230"/>
      <c r="Y798" s="230"/>
      <c r="Z798" s="230"/>
    </row>
    <row r="799" spans="1:26" ht="15.75" customHeight="1">
      <c r="A799" s="230"/>
      <c r="B799" s="230"/>
      <c r="C799" s="230"/>
      <c r="D799" s="230"/>
      <c r="E799" s="230"/>
      <c r="F799" s="230"/>
      <c r="G799" s="230"/>
      <c r="H799" s="230"/>
      <c r="I799" s="230"/>
      <c r="J799" s="230"/>
      <c r="K799" s="230"/>
      <c r="L799" s="230"/>
      <c r="M799" s="230"/>
      <c r="N799" s="230"/>
      <c r="O799" s="230"/>
      <c r="P799" s="230"/>
      <c r="Q799" s="230"/>
      <c r="R799" s="230"/>
      <c r="S799" s="230"/>
      <c r="T799" s="230"/>
      <c r="U799" s="230"/>
      <c r="V799" s="230"/>
      <c r="W799" s="230"/>
      <c r="X799" s="230"/>
      <c r="Y799" s="230"/>
      <c r="Z799" s="230"/>
    </row>
    <row r="800" spans="1:26" ht="15.75" customHeight="1">
      <c r="A800" s="230"/>
      <c r="B800" s="230"/>
      <c r="C800" s="230"/>
      <c r="D800" s="230"/>
      <c r="E800" s="230"/>
      <c r="F800" s="230"/>
      <c r="G800" s="230"/>
      <c r="H800" s="230"/>
      <c r="I800" s="230"/>
      <c r="J800" s="230"/>
      <c r="K800" s="230"/>
      <c r="L800" s="230"/>
      <c r="M800" s="230"/>
      <c r="N800" s="230"/>
      <c r="O800" s="230"/>
      <c r="P800" s="230"/>
      <c r="Q800" s="230"/>
      <c r="R800" s="230"/>
      <c r="S800" s="230"/>
      <c r="T800" s="230"/>
      <c r="U800" s="230"/>
      <c r="V800" s="230"/>
      <c r="W800" s="230"/>
      <c r="X800" s="230"/>
      <c r="Y800" s="230"/>
      <c r="Z800" s="230"/>
    </row>
    <row r="801" spans="1:26" ht="15.75" customHeight="1">
      <c r="A801" s="230"/>
      <c r="B801" s="230"/>
      <c r="C801" s="230"/>
      <c r="D801" s="230"/>
      <c r="E801" s="230"/>
      <c r="F801" s="230"/>
      <c r="G801" s="230"/>
      <c r="H801" s="230"/>
      <c r="I801" s="230"/>
      <c r="J801" s="230"/>
      <c r="K801" s="230"/>
      <c r="L801" s="230"/>
      <c r="M801" s="230"/>
      <c r="N801" s="230"/>
      <c r="O801" s="230"/>
      <c r="P801" s="230"/>
      <c r="Q801" s="230"/>
      <c r="R801" s="230"/>
      <c r="S801" s="230"/>
      <c r="T801" s="230"/>
      <c r="U801" s="230"/>
      <c r="V801" s="230"/>
      <c r="W801" s="230"/>
      <c r="X801" s="230"/>
      <c r="Y801" s="230"/>
      <c r="Z801" s="230"/>
    </row>
    <row r="802" spans="1:26" ht="15.75" customHeight="1">
      <c r="A802" s="230"/>
      <c r="B802" s="230"/>
      <c r="C802" s="230"/>
      <c r="D802" s="230"/>
      <c r="E802" s="230"/>
      <c r="F802" s="230"/>
      <c r="G802" s="230"/>
      <c r="H802" s="230"/>
      <c r="I802" s="230"/>
      <c r="J802" s="230"/>
      <c r="K802" s="230"/>
      <c r="L802" s="230"/>
      <c r="M802" s="230"/>
      <c r="N802" s="230"/>
      <c r="O802" s="230"/>
      <c r="P802" s="230"/>
      <c r="Q802" s="230"/>
      <c r="R802" s="230"/>
      <c r="S802" s="230"/>
      <c r="T802" s="230"/>
      <c r="U802" s="230"/>
      <c r="V802" s="230"/>
      <c r="W802" s="230"/>
      <c r="X802" s="230"/>
      <c r="Y802" s="230"/>
      <c r="Z802" s="230"/>
    </row>
    <row r="803" spans="1:26" ht="15.75" customHeight="1">
      <c r="A803" s="230"/>
      <c r="B803" s="230"/>
      <c r="C803" s="230"/>
      <c r="D803" s="230"/>
      <c r="E803" s="230"/>
      <c r="F803" s="230"/>
      <c r="G803" s="230"/>
      <c r="H803" s="230"/>
      <c r="I803" s="230"/>
      <c r="J803" s="230"/>
      <c r="K803" s="230"/>
      <c r="L803" s="230"/>
      <c r="M803" s="230"/>
      <c r="N803" s="230"/>
      <c r="O803" s="230"/>
      <c r="P803" s="230"/>
      <c r="Q803" s="230"/>
      <c r="R803" s="230"/>
      <c r="S803" s="230"/>
      <c r="T803" s="230"/>
      <c r="U803" s="230"/>
      <c r="V803" s="230"/>
      <c r="W803" s="230"/>
      <c r="X803" s="230"/>
      <c r="Y803" s="230"/>
      <c r="Z803" s="230"/>
    </row>
    <row r="804" spans="1:26" ht="15.75" customHeight="1">
      <c r="A804" s="230"/>
      <c r="B804" s="230"/>
      <c r="C804" s="230"/>
      <c r="D804" s="230"/>
      <c r="E804" s="230"/>
      <c r="F804" s="230"/>
      <c r="G804" s="230"/>
      <c r="H804" s="230"/>
      <c r="I804" s="230"/>
      <c r="J804" s="230"/>
      <c r="K804" s="230"/>
      <c r="L804" s="230"/>
      <c r="M804" s="230"/>
      <c r="N804" s="230"/>
      <c r="O804" s="230"/>
      <c r="P804" s="230"/>
      <c r="Q804" s="230"/>
      <c r="R804" s="230"/>
      <c r="S804" s="230"/>
      <c r="T804" s="230"/>
      <c r="U804" s="230"/>
      <c r="V804" s="230"/>
      <c r="W804" s="230"/>
      <c r="X804" s="230"/>
      <c r="Y804" s="230"/>
      <c r="Z804" s="230"/>
    </row>
    <row r="805" spans="1:26" ht="15.75" customHeight="1">
      <c r="A805" s="230"/>
      <c r="B805" s="230"/>
      <c r="C805" s="230"/>
      <c r="D805" s="230"/>
      <c r="E805" s="230"/>
      <c r="F805" s="230"/>
      <c r="G805" s="230"/>
      <c r="H805" s="230"/>
      <c r="I805" s="230"/>
      <c r="J805" s="230"/>
      <c r="K805" s="230"/>
      <c r="L805" s="230"/>
      <c r="M805" s="230"/>
      <c r="N805" s="230"/>
      <c r="O805" s="230"/>
      <c r="P805" s="230"/>
      <c r="Q805" s="230"/>
      <c r="R805" s="230"/>
      <c r="S805" s="230"/>
      <c r="T805" s="230"/>
      <c r="U805" s="230"/>
      <c r="V805" s="230"/>
      <c r="W805" s="230"/>
      <c r="X805" s="230"/>
      <c r="Y805" s="230"/>
      <c r="Z805" s="230"/>
    </row>
    <row r="806" spans="1:26" ht="15.75" customHeight="1">
      <c r="A806" s="230"/>
      <c r="B806" s="230"/>
      <c r="C806" s="230"/>
      <c r="D806" s="230"/>
      <c r="E806" s="230"/>
      <c r="F806" s="230"/>
      <c r="G806" s="230"/>
      <c r="H806" s="230"/>
      <c r="I806" s="230"/>
      <c r="J806" s="230"/>
      <c r="K806" s="230"/>
      <c r="L806" s="230"/>
      <c r="M806" s="230"/>
      <c r="N806" s="230"/>
      <c r="O806" s="230"/>
      <c r="P806" s="230"/>
      <c r="Q806" s="230"/>
      <c r="R806" s="230"/>
      <c r="S806" s="230"/>
      <c r="T806" s="230"/>
      <c r="U806" s="230"/>
      <c r="V806" s="230"/>
      <c r="W806" s="230"/>
      <c r="X806" s="230"/>
      <c r="Y806" s="230"/>
      <c r="Z806" s="230"/>
    </row>
    <row r="807" spans="1:26" ht="15.75" customHeight="1">
      <c r="A807" s="230"/>
      <c r="B807" s="230"/>
      <c r="C807" s="230"/>
      <c r="D807" s="230"/>
      <c r="E807" s="230"/>
      <c r="F807" s="230"/>
      <c r="G807" s="230"/>
      <c r="H807" s="230"/>
      <c r="I807" s="230"/>
      <c r="J807" s="230"/>
      <c r="K807" s="230"/>
      <c r="L807" s="230"/>
      <c r="M807" s="230"/>
      <c r="N807" s="230"/>
      <c r="O807" s="230"/>
      <c r="P807" s="230"/>
      <c r="Q807" s="230"/>
      <c r="R807" s="230"/>
      <c r="S807" s="230"/>
      <c r="T807" s="230"/>
      <c r="U807" s="230"/>
      <c r="V807" s="230"/>
      <c r="W807" s="230"/>
      <c r="X807" s="230"/>
      <c r="Y807" s="230"/>
      <c r="Z807" s="230"/>
    </row>
    <row r="808" spans="1:26" ht="15.75" customHeight="1">
      <c r="A808" s="230"/>
      <c r="B808" s="230"/>
      <c r="C808" s="230"/>
      <c r="D808" s="230"/>
      <c r="E808" s="230"/>
      <c r="F808" s="230"/>
      <c r="G808" s="230"/>
      <c r="H808" s="230"/>
      <c r="I808" s="230"/>
      <c r="J808" s="230"/>
      <c r="K808" s="230"/>
      <c r="L808" s="230"/>
      <c r="M808" s="230"/>
      <c r="N808" s="230"/>
      <c r="O808" s="230"/>
      <c r="P808" s="230"/>
      <c r="Q808" s="230"/>
      <c r="R808" s="230"/>
      <c r="S808" s="230"/>
      <c r="T808" s="230"/>
      <c r="U808" s="230"/>
      <c r="V808" s="230"/>
      <c r="W808" s="230"/>
      <c r="X808" s="230"/>
      <c r="Y808" s="230"/>
      <c r="Z808" s="230"/>
    </row>
    <row r="809" spans="1:26" ht="15.75" customHeight="1">
      <c r="A809" s="230"/>
      <c r="B809" s="230"/>
      <c r="C809" s="230"/>
      <c r="D809" s="230"/>
      <c r="E809" s="230"/>
      <c r="F809" s="230"/>
      <c r="G809" s="230"/>
      <c r="H809" s="230"/>
      <c r="I809" s="230"/>
      <c r="J809" s="230"/>
      <c r="K809" s="230"/>
      <c r="L809" s="230"/>
      <c r="M809" s="230"/>
      <c r="N809" s="230"/>
      <c r="O809" s="230"/>
      <c r="P809" s="230"/>
      <c r="Q809" s="230"/>
      <c r="R809" s="230"/>
      <c r="S809" s="230"/>
      <c r="T809" s="230"/>
      <c r="U809" s="230"/>
      <c r="V809" s="230"/>
      <c r="W809" s="230"/>
      <c r="X809" s="230"/>
      <c r="Y809" s="230"/>
      <c r="Z809" s="230"/>
    </row>
    <row r="810" spans="1:26" ht="15.75" customHeight="1">
      <c r="A810" s="230"/>
      <c r="B810" s="230"/>
      <c r="C810" s="230"/>
      <c r="D810" s="230"/>
      <c r="E810" s="230"/>
      <c r="F810" s="230"/>
      <c r="G810" s="230"/>
      <c r="H810" s="230"/>
      <c r="I810" s="230"/>
      <c r="J810" s="230"/>
      <c r="K810" s="230"/>
      <c r="L810" s="230"/>
      <c r="M810" s="230"/>
      <c r="N810" s="230"/>
      <c r="O810" s="230"/>
      <c r="P810" s="230"/>
      <c r="Q810" s="230"/>
      <c r="R810" s="230"/>
      <c r="S810" s="230"/>
      <c r="T810" s="230"/>
      <c r="U810" s="230"/>
      <c r="V810" s="230"/>
      <c r="W810" s="230"/>
      <c r="X810" s="230"/>
      <c r="Y810" s="230"/>
      <c r="Z810" s="230"/>
    </row>
    <row r="811" spans="1:26" ht="15.75" customHeight="1">
      <c r="A811" s="230"/>
      <c r="B811" s="230"/>
      <c r="C811" s="230"/>
      <c r="D811" s="230"/>
      <c r="E811" s="230"/>
      <c r="F811" s="230"/>
      <c r="G811" s="230"/>
      <c r="H811" s="230"/>
      <c r="I811" s="230"/>
      <c r="J811" s="230"/>
      <c r="K811" s="230"/>
      <c r="L811" s="230"/>
      <c r="M811" s="230"/>
      <c r="N811" s="230"/>
      <c r="O811" s="230"/>
      <c r="P811" s="230"/>
      <c r="Q811" s="230"/>
      <c r="R811" s="230"/>
      <c r="S811" s="230"/>
      <c r="T811" s="230"/>
      <c r="U811" s="230"/>
      <c r="V811" s="230"/>
      <c r="W811" s="230"/>
      <c r="X811" s="230"/>
      <c r="Y811" s="230"/>
      <c r="Z811" s="230"/>
    </row>
    <row r="812" spans="1:26" ht="15.75" customHeight="1">
      <c r="A812" s="230"/>
      <c r="B812" s="230"/>
      <c r="C812" s="230"/>
      <c r="D812" s="230"/>
      <c r="E812" s="230"/>
      <c r="F812" s="230"/>
      <c r="G812" s="230"/>
      <c r="H812" s="230"/>
      <c r="I812" s="230"/>
      <c r="J812" s="230"/>
      <c r="K812" s="230"/>
      <c r="L812" s="230"/>
      <c r="M812" s="230"/>
      <c r="N812" s="230"/>
      <c r="O812" s="230"/>
      <c r="P812" s="230"/>
      <c r="Q812" s="230"/>
      <c r="R812" s="230"/>
      <c r="S812" s="230"/>
      <c r="T812" s="230"/>
      <c r="U812" s="230"/>
      <c r="V812" s="230"/>
      <c r="W812" s="230"/>
      <c r="X812" s="230"/>
      <c r="Y812" s="230"/>
      <c r="Z812" s="230"/>
    </row>
    <row r="813" spans="1:26" ht="15.75" customHeight="1">
      <c r="A813" s="230"/>
      <c r="B813" s="230"/>
      <c r="C813" s="230"/>
      <c r="D813" s="230"/>
      <c r="E813" s="230"/>
      <c r="F813" s="230"/>
      <c r="G813" s="230"/>
      <c r="H813" s="230"/>
      <c r="I813" s="230"/>
      <c r="J813" s="230"/>
      <c r="K813" s="230"/>
      <c r="L813" s="230"/>
      <c r="M813" s="230"/>
      <c r="N813" s="230"/>
      <c r="O813" s="230"/>
      <c r="P813" s="230"/>
      <c r="Q813" s="230"/>
      <c r="R813" s="230"/>
      <c r="S813" s="230"/>
      <c r="T813" s="230"/>
      <c r="U813" s="230"/>
      <c r="V813" s="230"/>
      <c r="W813" s="230"/>
      <c r="X813" s="230"/>
      <c r="Y813" s="230"/>
      <c r="Z813" s="230"/>
    </row>
    <row r="814" spans="1:26" ht="15.75" customHeight="1">
      <c r="A814" s="230"/>
      <c r="B814" s="230"/>
      <c r="C814" s="230"/>
      <c r="D814" s="230"/>
      <c r="E814" s="230"/>
      <c r="F814" s="230"/>
      <c r="G814" s="230"/>
      <c r="H814" s="230"/>
      <c r="I814" s="230"/>
      <c r="J814" s="230"/>
      <c r="K814" s="230"/>
      <c r="L814" s="230"/>
      <c r="M814" s="230"/>
      <c r="N814" s="230"/>
      <c r="O814" s="230"/>
      <c r="P814" s="230"/>
      <c r="Q814" s="230"/>
      <c r="R814" s="230"/>
      <c r="S814" s="230"/>
      <c r="T814" s="230"/>
      <c r="U814" s="230"/>
      <c r="V814" s="230"/>
      <c r="W814" s="230"/>
      <c r="X814" s="230"/>
      <c r="Y814" s="230"/>
      <c r="Z814" s="230"/>
    </row>
    <row r="815" spans="1:26" ht="15.75" customHeight="1">
      <c r="A815" s="230"/>
      <c r="B815" s="230"/>
      <c r="C815" s="230"/>
      <c r="D815" s="230"/>
      <c r="E815" s="230"/>
      <c r="F815" s="230"/>
      <c r="G815" s="230"/>
      <c r="H815" s="230"/>
      <c r="I815" s="230"/>
      <c r="J815" s="230"/>
      <c r="K815" s="230"/>
      <c r="L815" s="230"/>
      <c r="M815" s="230"/>
      <c r="N815" s="230"/>
      <c r="O815" s="230"/>
      <c r="P815" s="230"/>
      <c r="Q815" s="230"/>
      <c r="R815" s="230"/>
      <c r="S815" s="230"/>
      <c r="T815" s="230"/>
      <c r="U815" s="230"/>
      <c r="V815" s="230"/>
      <c r="W815" s="230"/>
      <c r="X815" s="230"/>
      <c r="Y815" s="230"/>
      <c r="Z815" s="230"/>
    </row>
    <row r="816" spans="1:26" ht="15.75" customHeight="1">
      <c r="A816" s="230"/>
      <c r="B816" s="230"/>
      <c r="C816" s="230"/>
      <c r="D816" s="230"/>
      <c r="E816" s="230"/>
      <c r="F816" s="230"/>
      <c r="G816" s="230"/>
      <c r="H816" s="230"/>
      <c r="I816" s="230"/>
      <c r="J816" s="230"/>
      <c r="K816" s="230"/>
      <c r="L816" s="230"/>
      <c r="M816" s="230"/>
      <c r="N816" s="230"/>
      <c r="O816" s="230"/>
      <c r="P816" s="230"/>
      <c r="Q816" s="230"/>
      <c r="R816" s="230"/>
      <c r="S816" s="230"/>
      <c r="T816" s="230"/>
      <c r="U816" s="230"/>
      <c r="V816" s="230"/>
      <c r="W816" s="230"/>
      <c r="X816" s="230"/>
      <c r="Y816" s="230"/>
      <c r="Z816" s="230"/>
    </row>
    <row r="817" spans="1:26" ht="15.75" customHeight="1">
      <c r="A817" s="230"/>
      <c r="B817" s="230"/>
      <c r="C817" s="230"/>
      <c r="D817" s="230"/>
      <c r="E817" s="230"/>
      <c r="F817" s="230"/>
      <c r="G817" s="230"/>
      <c r="H817" s="230"/>
      <c r="I817" s="230"/>
      <c r="J817" s="230"/>
      <c r="K817" s="230"/>
      <c r="L817" s="230"/>
      <c r="M817" s="230"/>
      <c r="N817" s="230"/>
      <c r="O817" s="230"/>
      <c r="P817" s="230"/>
      <c r="Q817" s="230"/>
      <c r="R817" s="230"/>
      <c r="S817" s="230"/>
      <c r="T817" s="230"/>
      <c r="U817" s="230"/>
      <c r="V817" s="230"/>
      <c r="W817" s="230"/>
      <c r="X817" s="230"/>
      <c r="Y817" s="230"/>
      <c r="Z817" s="230"/>
    </row>
    <row r="818" spans="1:26" ht="15.75" customHeight="1">
      <c r="A818" s="230"/>
      <c r="B818" s="230"/>
      <c r="C818" s="230"/>
      <c r="D818" s="230"/>
      <c r="E818" s="230"/>
      <c r="F818" s="230"/>
      <c r="G818" s="230"/>
      <c r="H818" s="230"/>
      <c r="I818" s="230"/>
      <c r="J818" s="230"/>
      <c r="K818" s="230"/>
      <c r="L818" s="230"/>
      <c r="M818" s="230"/>
      <c r="N818" s="230"/>
      <c r="O818" s="230"/>
      <c r="P818" s="230"/>
      <c r="Q818" s="230"/>
      <c r="R818" s="230"/>
      <c r="S818" s="230"/>
      <c r="T818" s="230"/>
      <c r="U818" s="230"/>
      <c r="V818" s="230"/>
      <c r="W818" s="230"/>
      <c r="X818" s="230"/>
      <c r="Y818" s="230"/>
      <c r="Z818" s="230"/>
    </row>
    <row r="819" spans="1:26" ht="15.75" customHeight="1">
      <c r="A819" s="230"/>
      <c r="B819" s="230"/>
      <c r="C819" s="230"/>
      <c r="D819" s="230"/>
      <c r="E819" s="230"/>
      <c r="F819" s="230"/>
      <c r="G819" s="230"/>
      <c r="H819" s="230"/>
      <c r="I819" s="230"/>
      <c r="J819" s="230"/>
      <c r="K819" s="230"/>
      <c r="L819" s="230"/>
      <c r="M819" s="230"/>
      <c r="N819" s="230"/>
      <c r="O819" s="230"/>
      <c r="P819" s="230"/>
      <c r="Q819" s="230"/>
      <c r="R819" s="230"/>
      <c r="S819" s="230"/>
      <c r="T819" s="230"/>
      <c r="U819" s="230"/>
      <c r="V819" s="230"/>
      <c r="W819" s="230"/>
      <c r="X819" s="230"/>
      <c r="Y819" s="230"/>
      <c r="Z819" s="230"/>
    </row>
    <row r="820" spans="1:26" ht="15.75" customHeight="1">
      <c r="A820" s="230"/>
      <c r="B820" s="230"/>
      <c r="C820" s="230"/>
      <c r="D820" s="230"/>
      <c r="E820" s="230"/>
      <c r="F820" s="230"/>
      <c r="G820" s="230"/>
      <c r="H820" s="230"/>
      <c r="I820" s="230"/>
      <c r="J820" s="230"/>
      <c r="K820" s="230"/>
      <c r="L820" s="230"/>
      <c r="M820" s="230"/>
      <c r="N820" s="230"/>
      <c r="O820" s="230"/>
      <c r="P820" s="230"/>
      <c r="Q820" s="230"/>
      <c r="R820" s="230"/>
      <c r="S820" s="230"/>
      <c r="T820" s="230"/>
      <c r="U820" s="230"/>
      <c r="V820" s="230"/>
      <c r="W820" s="230"/>
      <c r="X820" s="230"/>
      <c r="Y820" s="230"/>
      <c r="Z820" s="230"/>
    </row>
    <row r="821" spans="1:26" ht="15.75" customHeight="1">
      <c r="A821" s="230"/>
      <c r="B821" s="230"/>
      <c r="C821" s="230"/>
      <c r="D821" s="230"/>
      <c r="E821" s="230"/>
      <c r="F821" s="230"/>
      <c r="G821" s="230"/>
      <c r="H821" s="230"/>
      <c r="I821" s="230"/>
      <c r="J821" s="230"/>
      <c r="K821" s="230"/>
      <c r="L821" s="230"/>
      <c r="M821" s="230"/>
      <c r="N821" s="230"/>
      <c r="O821" s="230"/>
      <c r="P821" s="230"/>
      <c r="Q821" s="230"/>
      <c r="R821" s="230"/>
      <c r="S821" s="230"/>
      <c r="T821" s="230"/>
      <c r="U821" s="230"/>
      <c r="V821" s="230"/>
      <c r="W821" s="230"/>
      <c r="X821" s="230"/>
      <c r="Y821" s="230"/>
      <c r="Z821" s="230"/>
    </row>
    <row r="822" spans="1:26" ht="15.75" customHeight="1">
      <c r="A822" s="230"/>
      <c r="B822" s="230"/>
      <c r="C822" s="230"/>
      <c r="D822" s="230"/>
      <c r="E822" s="230"/>
      <c r="F822" s="230"/>
      <c r="G822" s="230"/>
      <c r="H822" s="230"/>
      <c r="I822" s="230"/>
      <c r="J822" s="230"/>
      <c r="K822" s="230"/>
      <c r="L822" s="230"/>
      <c r="M822" s="230"/>
      <c r="N822" s="230"/>
      <c r="O822" s="230"/>
      <c r="P822" s="230"/>
      <c r="Q822" s="230"/>
      <c r="R822" s="230"/>
      <c r="S822" s="230"/>
      <c r="T822" s="230"/>
      <c r="U822" s="230"/>
      <c r="V822" s="230"/>
      <c r="W822" s="230"/>
      <c r="X822" s="230"/>
      <c r="Y822" s="230"/>
      <c r="Z822" s="230"/>
    </row>
    <row r="823" spans="1:26" ht="15.75" customHeight="1">
      <c r="A823" s="230"/>
      <c r="B823" s="230"/>
      <c r="C823" s="230"/>
      <c r="D823" s="230"/>
      <c r="E823" s="230"/>
      <c r="F823" s="230"/>
      <c r="G823" s="230"/>
      <c r="H823" s="230"/>
      <c r="I823" s="230"/>
      <c r="J823" s="230"/>
      <c r="K823" s="230"/>
      <c r="L823" s="230"/>
      <c r="M823" s="230"/>
      <c r="N823" s="230"/>
      <c r="O823" s="230"/>
      <c r="P823" s="230"/>
      <c r="Q823" s="230"/>
      <c r="R823" s="230"/>
      <c r="S823" s="230"/>
      <c r="T823" s="230"/>
      <c r="U823" s="230"/>
      <c r="V823" s="230"/>
      <c r="W823" s="230"/>
      <c r="X823" s="230"/>
      <c r="Y823" s="230"/>
      <c r="Z823" s="230"/>
    </row>
    <row r="824" spans="1:26" ht="15.75" customHeight="1">
      <c r="A824" s="230"/>
      <c r="B824" s="230"/>
      <c r="C824" s="230"/>
      <c r="D824" s="230"/>
      <c r="E824" s="230"/>
      <c r="F824" s="230"/>
      <c r="G824" s="230"/>
      <c r="H824" s="230"/>
      <c r="I824" s="230"/>
      <c r="J824" s="230"/>
      <c r="K824" s="230"/>
      <c r="L824" s="230"/>
      <c r="M824" s="230"/>
      <c r="N824" s="230"/>
      <c r="O824" s="230"/>
      <c r="P824" s="230"/>
      <c r="Q824" s="230"/>
      <c r="R824" s="230"/>
      <c r="S824" s="230"/>
      <c r="T824" s="230"/>
      <c r="U824" s="230"/>
      <c r="V824" s="230"/>
      <c r="W824" s="230"/>
      <c r="X824" s="230"/>
      <c r="Y824" s="230"/>
      <c r="Z824" s="230"/>
    </row>
    <row r="825" spans="1:26" ht="15.75" customHeight="1">
      <c r="A825" s="230"/>
      <c r="B825" s="230"/>
      <c r="C825" s="230"/>
      <c r="D825" s="230"/>
      <c r="E825" s="230"/>
      <c r="F825" s="230"/>
      <c r="G825" s="230"/>
      <c r="H825" s="230"/>
      <c r="I825" s="230"/>
      <c r="J825" s="230"/>
      <c r="K825" s="230"/>
      <c r="L825" s="230"/>
      <c r="M825" s="230"/>
      <c r="N825" s="230"/>
      <c r="O825" s="230"/>
      <c r="P825" s="230"/>
      <c r="Q825" s="230"/>
      <c r="R825" s="230"/>
      <c r="S825" s="230"/>
      <c r="T825" s="230"/>
      <c r="U825" s="230"/>
      <c r="V825" s="230"/>
      <c r="W825" s="230"/>
      <c r="X825" s="230"/>
      <c r="Y825" s="230"/>
      <c r="Z825" s="230"/>
    </row>
    <row r="826" spans="1:26" ht="15.75" customHeight="1">
      <c r="A826" s="230"/>
      <c r="B826" s="230"/>
      <c r="C826" s="230"/>
      <c r="D826" s="230"/>
      <c r="E826" s="230"/>
      <c r="F826" s="230"/>
      <c r="G826" s="230"/>
      <c r="H826" s="230"/>
      <c r="I826" s="230"/>
      <c r="J826" s="230"/>
      <c r="K826" s="230"/>
      <c r="L826" s="230"/>
      <c r="M826" s="230"/>
      <c r="N826" s="230"/>
      <c r="O826" s="230"/>
      <c r="P826" s="230"/>
      <c r="Q826" s="230"/>
      <c r="R826" s="230"/>
      <c r="S826" s="230"/>
      <c r="T826" s="230"/>
      <c r="U826" s="230"/>
      <c r="V826" s="230"/>
      <c r="W826" s="230"/>
      <c r="X826" s="230"/>
      <c r="Y826" s="230"/>
      <c r="Z826" s="230"/>
    </row>
    <row r="827" spans="1:26" ht="15.75" customHeight="1">
      <c r="A827" s="230"/>
      <c r="B827" s="230"/>
      <c r="C827" s="230"/>
      <c r="D827" s="230"/>
      <c r="E827" s="230"/>
      <c r="F827" s="230"/>
      <c r="G827" s="230"/>
      <c r="H827" s="230"/>
      <c r="I827" s="230"/>
      <c r="J827" s="230"/>
      <c r="K827" s="230"/>
      <c r="L827" s="230"/>
      <c r="M827" s="230"/>
      <c r="N827" s="230"/>
      <c r="O827" s="230"/>
      <c r="P827" s="230"/>
      <c r="Q827" s="230"/>
      <c r="R827" s="230"/>
      <c r="S827" s="230"/>
      <c r="T827" s="230"/>
      <c r="U827" s="230"/>
      <c r="V827" s="230"/>
      <c r="W827" s="230"/>
      <c r="X827" s="230"/>
      <c r="Y827" s="230"/>
      <c r="Z827" s="230"/>
    </row>
    <row r="828" spans="1:26" ht="15.75" customHeight="1">
      <c r="A828" s="230"/>
      <c r="B828" s="230"/>
      <c r="C828" s="230"/>
      <c r="D828" s="230"/>
      <c r="E828" s="230"/>
      <c r="F828" s="230"/>
      <c r="G828" s="230"/>
      <c r="H828" s="230"/>
      <c r="I828" s="230"/>
      <c r="J828" s="230"/>
      <c r="K828" s="230"/>
      <c r="L828" s="230"/>
      <c r="M828" s="230"/>
      <c r="N828" s="230"/>
      <c r="O828" s="230"/>
      <c r="P828" s="230"/>
      <c r="Q828" s="230"/>
      <c r="R828" s="230"/>
      <c r="S828" s="230"/>
      <c r="T828" s="230"/>
      <c r="U828" s="230"/>
      <c r="V828" s="230"/>
      <c r="W828" s="230"/>
      <c r="X828" s="230"/>
      <c r="Y828" s="230"/>
      <c r="Z828" s="230"/>
    </row>
    <row r="829" spans="1:26" ht="15.75" customHeight="1">
      <c r="A829" s="230"/>
      <c r="B829" s="230"/>
      <c r="C829" s="230"/>
      <c r="D829" s="230"/>
      <c r="E829" s="230"/>
      <c r="F829" s="230"/>
      <c r="G829" s="230"/>
      <c r="H829" s="230"/>
      <c r="I829" s="230"/>
      <c r="J829" s="230"/>
      <c r="K829" s="230"/>
      <c r="L829" s="230"/>
      <c r="M829" s="230"/>
      <c r="N829" s="230"/>
      <c r="O829" s="230"/>
      <c r="P829" s="230"/>
      <c r="Q829" s="230"/>
      <c r="R829" s="230"/>
      <c r="S829" s="230"/>
      <c r="T829" s="230"/>
      <c r="U829" s="230"/>
      <c r="V829" s="230"/>
      <c r="W829" s="230"/>
      <c r="X829" s="230"/>
      <c r="Y829" s="230"/>
      <c r="Z829" s="230"/>
    </row>
    <row r="830" spans="1:26" ht="15.75" customHeight="1">
      <c r="A830" s="230"/>
      <c r="B830" s="230"/>
      <c r="C830" s="230"/>
      <c r="D830" s="230"/>
      <c r="E830" s="230"/>
      <c r="F830" s="230"/>
      <c r="G830" s="230"/>
      <c r="H830" s="230"/>
      <c r="I830" s="230"/>
      <c r="J830" s="230"/>
      <c r="K830" s="230"/>
      <c r="L830" s="230"/>
      <c r="M830" s="230"/>
      <c r="N830" s="230"/>
      <c r="O830" s="230"/>
      <c r="P830" s="230"/>
      <c r="Q830" s="230"/>
      <c r="R830" s="230"/>
      <c r="S830" s="230"/>
      <c r="T830" s="230"/>
      <c r="U830" s="230"/>
      <c r="V830" s="230"/>
      <c r="W830" s="230"/>
      <c r="X830" s="230"/>
      <c r="Y830" s="230"/>
      <c r="Z830" s="230"/>
    </row>
    <row r="831" spans="1:26" ht="15.75" customHeight="1">
      <c r="A831" s="230"/>
      <c r="B831" s="230"/>
      <c r="C831" s="230"/>
      <c r="D831" s="230"/>
      <c r="E831" s="230"/>
      <c r="F831" s="230"/>
      <c r="G831" s="230"/>
      <c r="H831" s="230"/>
      <c r="I831" s="230"/>
      <c r="J831" s="230"/>
      <c r="K831" s="230"/>
      <c r="L831" s="230"/>
      <c r="M831" s="230"/>
      <c r="N831" s="230"/>
      <c r="O831" s="230"/>
      <c r="P831" s="230"/>
      <c r="Q831" s="230"/>
      <c r="R831" s="230"/>
      <c r="S831" s="230"/>
      <c r="T831" s="230"/>
      <c r="U831" s="230"/>
      <c r="V831" s="230"/>
      <c r="W831" s="230"/>
      <c r="X831" s="230"/>
      <c r="Y831" s="230"/>
      <c r="Z831" s="230"/>
    </row>
    <row r="832" spans="1:26" ht="15.75" customHeight="1">
      <c r="A832" s="230"/>
      <c r="B832" s="230"/>
      <c r="C832" s="230"/>
      <c r="D832" s="230"/>
      <c r="E832" s="230"/>
      <c r="F832" s="230"/>
      <c r="G832" s="230"/>
      <c r="H832" s="230"/>
      <c r="I832" s="230"/>
      <c r="J832" s="230"/>
      <c r="K832" s="230"/>
      <c r="L832" s="230"/>
      <c r="M832" s="230"/>
      <c r="N832" s="230"/>
      <c r="O832" s="230"/>
      <c r="P832" s="230"/>
      <c r="Q832" s="230"/>
      <c r="R832" s="230"/>
      <c r="S832" s="230"/>
      <c r="T832" s="230"/>
      <c r="U832" s="230"/>
      <c r="V832" s="230"/>
      <c r="W832" s="230"/>
      <c r="X832" s="230"/>
      <c r="Y832" s="230"/>
      <c r="Z832" s="230"/>
    </row>
    <row r="833" spans="1:26" ht="15.75" customHeight="1">
      <c r="A833" s="230"/>
      <c r="B833" s="230"/>
      <c r="C833" s="230"/>
      <c r="D833" s="230"/>
      <c r="E833" s="230"/>
      <c r="F833" s="230"/>
      <c r="G833" s="230"/>
      <c r="H833" s="230"/>
      <c r="I833" s="230"/>
      <c r="J833" s="230"/>
      <c r="K833" s="230"/>
      <c r="L833" s="230"/>
      <c r="M833" s="230"/>
      <c r="N833" s="230"/>
      <c r="O833" s="230"/>
      <c r="P833" s="230"/>
      <c r="Q833" s="230"/>
      <c r="R833" s="230"/>
      <c r="S833" s="230"/>
      <c r="T833" s="230"/>
      <c r="U833" s="230"/>
      <c r="V833" s="230"/>
      <c r="W833" s="230"/>
      <c r="X833" s="230"/>
      <c r="Y833" s="230"/>
      <c r="Z833" s="230"/>
    </row>
    <row r="834" spans="1:26" ht="15.75" customHeight="1">
      <c r="A834" s="230"/>
      <c r="B834" s="230"/>
      <c r="C834" s="230"/>
      <c r="D834" s="230"/>
      <c r="E834" s="230"/>
      <c r="F834" s="230"/>
      <c r="G834" s="230"/>
      <c r="H834" s="230"/>
      <c r="I834" s="230"/>
      <c r="J834" s="230"/>
      <c r="K834" s="230"/>
      <c r="L834" s="230"/>
      <c r="M834" s="230"/>
      <c r="N834" s="230"/>
      <c r="O834" s="230"/>
      <c r="P834" s="230"/>
      <c r="Q834" s="230"/>
      <c r="R834" s="230"/>
      <c r="S834" s="230"/>
      <c r="T834" s="230"/>
      <c r="U834" s="230"/>
      <c r="V834" s="230"/>
      <c r="W834" s="230"/>
      <c r="X834" s="230"/>
      <c r="Y834" s="230"/>
      <c r="Z834" s="230"/>
    </row>
    <row r="835" spans="1:26" ht="15.75" customHeight="1">
      <c r="A835" s="230"/>
      <c r="B835" s="230"/>
      <c r="C835" s="230"/>
      <c r="D835" s="230"/>
      <c r="E835" s="230"/>
      <c r="F835" s="230"/>
      <c r="G835" s="230"/>
      <c r="H835" s="230"/>
      <c r="I835" s="230"/>
      <c r="J835" s="230"/>
      <c r="K835" s="230"/>
      <c r="L835" s="230"/>
      <c r="M835" s="230"/>
      <c r="N835" s="230"/>
      <c r="O835" s="230"/>
      <c r="P835" s="230"/>
      <c r="Q835" s="230"/>
      <c r="R835" s="230"/>
      <c r="S835" s="230"/>
      <c r="T835" s="230"/>
      <c r="U835" s="230"/>
      <c r="V835" s="230"/>
      <c r="W835" s="230"/>
      <c r="X835" s="230"/>
      <c r="Y835" s="230"/>
      <c r="Z835" s="230"/>
    </row>
    <row r="836" spans="1:26" ht="15.75" customHeight="1">
      <c r="A836" s="230"/>
      <c r="B836" s="230"/>
      <c r="C836" s="230"/>
      <c r="D836" s="230"/>
      <c r="E836" s="230"/>
      <c r="F836" s="230"/>
      <c r="G836" s="230"/>
      <c r="H836" s="230"/>
      <c r="I836" s="230"/>
      <c r="J836" s="230"/>
      <c r="K836" s="230"/>
      <c r="L836" s="230"/>
      <c r="M836" s="230"/>
      <c r="N836" s="230"/>
      <c r="O836" s="230"/>
      <c r="P836" s="230"/>
      <c r="Q836" s="230"/>
      <c r="R836" s="230"/>
      <c r="S836" s="230"/>
      <c r="T836" s="230"/>
      <c r="U836" s="230"/>
      <c r="V836" s="230"/>
      <c r="W836" s="230"/>
      <c r="X836" s="230"/>
      <c r="Y836" s="230"/>
      <c r="Z836" s="230"/>
    </row>
    <row r="837" spans="1:26" ht="15.75" customHeight="1">
      <c r="A837" s="230"/>
      <c r="B837" s="230"/>
      <c r="C837" s="230"/>
      <c r="D837" s="230"/>
      <c r="E837" s="230"/>
      <c r="F837" s="230"/>
      <c r="G837" s="230"/>
      <c r="H837" s="230"/>
      <c r="I837" s="230"/>
      <c r="J837" s="230"/>
      <c r="K837" s="230"/>
      <c r="L837" s="230"/>
      <c r="M837" s="230"/>
      <c r="N837" s="230"/>
      <c r="O837" s="230"/>
      <c r="P837" s="230"/>
      <c r="Q837" s="230"/>
      <c r="R837" s="230"/>
      <c r="S837" s="230"/>
      <c r="T837" s="230"/>
      <c r="U837" s="230"/>
      <c r="V837" s="230"/>
      <c r="W837" s="230"/>
      <c r="X837" s="230"/>
      <c r="Y837" s="230"/>
      <c r="Z837" s="230"/>
    </row>
    <row r="838" spans="1:26" ht="15.75" customHeight="1">
      <c r="A838" s="230"/>
      <c r="B838" s="230"/>
      <c r="C838" s="230"/>
      <c r="D838" s="230"/>
      <c r="E838" s="230"/>
      <c r="F838" s="230"/>
      <c r="G838" s="230"/>
      <c r="H838" s="230"/>
      <c r="I838" s="230"/>
      <c r="J838" s="230"/>
      <c r="K838" s="230"/>
      <c r="L838" s="230"/>
      <c r="M838" s="230"/>
      <c r="N838" s="230"/>
      <c r="O838" s="230"/>
      <c r="P838" s="230"/>
      <c r="Q838" s="230"/>
      <c r="R838" s="230"/>
      <c r="S838" s="230"/>
      <c r="T838" s="230"/>
      <c r="U838" s="230"/>
      <c r="V838" s="230"/>
      <c r="W838" s="230"/>
      <c r="X838" s="230"/>
      <c r="Y838" s="230"/>
      <c r="Z838" s="230"/>
    </row>
    <row r="839" spans="1:26" ht="15.75" customHeight="1">
      <c r="A839" s="230"/>
      <c r="B839" s="230"/>
      <c r="C839" s="230"/>
      <c r="D839" s="230"/>
      <c r="E839" s="230"/>
      <c r="F839" s="230"/>
      <c r="G839" s="230"/>
      <c r="H839" s="230"/>
      <c r="I839" s="230"/>
      <c r="J839" s="230"/>
      <c r="K839" s="230"/>
      <c r="L839" s="230"/>
      <c r="M839" s="230"/>
      <c r="N839" s="230"/>
      <c r="O839" s="230"/>
      <c r="P839" s="230"/>
      <c r="Q839" s="230"/>
      <c r="R839" s="230"/>
      <c r="S839" s="230"/>
      <c r="T839" s="230"/>
      <c r="U839" s="230"/>
      <c r="V839" s="230"/>
      <c r="W839" s="230"/>
      <c r="X839" s="230"/>
      <c r="Y839" s="230"/>
      <c r="Z839" s="230"/>
    </row>
    <row r="840" spans="1:26" ht="15.75" customHeight="1">
      <c r="A840" s="230"/>
      <c r="B840" s="230"/>
      <c r="C840" s="230"/>
      <c r="D840" s="230"/>
      <c r="E840" s="230"/>
      <c r="F840" s="230"/>
      <c r="G840" s="230"/>
      <c r="H840" s="230"/>
      <c r="I840" s="230"/>
      <c r="J840" s="230"/>
      <c r="K840" s="230"/>
      <c r="L840" s="230"/>
      <c r="M840" s="230"/>
      <c r="N840" s="230"/>
      <c r="O840" s="230"/>
      <c r="P840" s="230"/>
      <c r="Q840" s="230"/>
      <c r="R840" s="230"/>
      <c r="S840" s="230"/>
      <c r="T840" s="230"/>
      <c r="U840" s="230"/>
      <c r="V840" s="230"/>
      <c r="W840" s="230"/>
      <c r="X840" s="230"/>
      <c r="Y840" s="230"/>
      <c r="Z840" s="230"/>
    </row>
    <row r="841" spans="1:26" ht="15.75" customHeight="1">
      <c r="A841" s="230"/>
      <c r="B841" s="230"/>
      <c r="C841" s="230"/>
      <c r="D841" s="230"/>
      <c r="E841" s="230"/>
      <c r="F841" s="230"/>
      <c r="G841" s="230"/>
      <c r="H841" s="230"/>
      <c r="I841" s="230"/>
      <c r="J841" s="230"/>
      <c r="K841" s="230"/>
      <c r="L841" s="230"/>
      <c r="M841" s="230"/>
      <c r="N841" s="230"/>
      <c r="O841" s="230"/>
      <c r="P841" s="230"/>
      <c r="Q841" s="230"/>
      <c r="R841" s="230"/>
      <c r="S841" s="230"/>
      <c r="T841" s="230"/>
      <c r="U841" s="230"/>
      <c r="V841" s="230"/>
      <c r="W841" s="230"/>
      <c r="X841" s="230"/>
      <c r="Y841" s="230"/>
      <c r="Z841" s="230"/>
    </row>
    <row r="842" spans="1:26" ht="15.75" customHeight="1">
      <c r="A842" s="230"/>
      <c r="B842" s="230"/>
      <c r="C842" s="230"/>
      <c r="D842" s="230"/>
      <c r="E842" s="230"/>
      <c r="F842" s="230"/>
      <c r="G842" s="230"/>
      <c r="H842" s="230"/>
      <c r="I842" s="230"/>
      <c r="J842" s="230"/>
      <c r="K842" s="230"/>
      <c r="L842" s="230"/>
      <c r="M842" s="230"/>
      <c r="N842" s="230"/>
      <c r="O842" s="230"/>
      <c r="P842" s="230"/>
      <c r="Q842" s="230"/>
      <c r="R842" s="230"/>
      <c r="S842" s="230"/>
      <c r="T842" s="230"/>
      <c r="U842" s="230"/>
      <c r="V842" s="230"/>
      <c r="W842" s="230"/>
      <c r="X842" s="230"/>
      <c r="Y842" s="230"/>
      <c r="Z842" s="230"/>
    </row>
    <row r="843" spans="1:26" ht="15.75" customHeight="1">
      <c r="A843" s="230"/>
      <c r="B843" s="230"/>
      <c r="C843" s="230"/>
      <c r="D843" s="230"/>
      <c r="E843" s="230"/>
      <c r="F843" s="230"/>
      <c r="G843" s="230"/>
      <c r="H843" s="230"/>
      <c r="I843" s="230"/>
      <c r="J843" s="230"/>
      <c r="K843" s="230"/>
      <c r="L843" s="230"/>
      <c r="M843" s="230"/>
      <c r="N843" s="230"/>
      <c r="O843" s="230"/>
      <c r="P843" s="230"/>
      <c r="Q843" s="230"/>
      <c r="R843" s="230"/>
      <c r="S843" s="230"/>
      <c r="T843" s="230"/>
      <c r="U843" s="230"/>
      <c r="V843" s="230"/>
      <c r="W843" s="230"/>
      <c r="X843" s="230"/>
      <c r="Y843" s="230"/>
      <c r="Z843" s="230"/>
    </row>
    <row r="844" spans="1:26" ht="15.75" customHeight="1">
      <c r="A844" s="230"/>
      <c r="B844" s="230"/>
      <c r="C844" s="230"/>
      <c r="D844" s="230"/>
      <c r="E844" s="230"/>
      <c r="F844" s="230"/>
      <c r="G844" s="230"/>
      <c r="H844" s="230"/>
      <c r="I844" s="230"/>
      <c r="J844" s="230"/>
      <c r="K844" s="230"/>
      <c r="L844" s="230"/>
      <c r="M844" s="230"/>
      <c r="N844" s="230"/>
      <c r="O844" s="230"/>
      <c r="P844" s="230"/>
      <c r="Q844" s="230"/>
      <c r="R844" s="230"/>
      <c r="S844" s="230"/>
      <c r="T844" s="230"/>
      <c r="U844" s="230"/>
      <c r="V844" s="230"/>
      <c r="W844" s="230"/>
      <c r="X844" s="230"/>
      <c r="Y844" s="230"/>
      <c r="Z844" s="230"/>
    </row>
    <row r="845" spans="1:26" ht="15.75" customHeight="1">
      <c r="A845" s="230"/>
      <c r="B845" s="230"/>
      <c r="C845" s="230"/>
      <c r="D845" s="230"/>
      <c r="E845" s="230"/>
      <c r="F845" s="230"/>
      <c r="G845" s="230"/>
      <c r="H845" s="230"/>
      <c r="I845" s="230"/>
      <c r="J845" s="230"/>
      <c r="K845" s="230"/>
      <c r="L845" s="230"/>
      <c r="M845" s="230"/>
      <c r="N845" s="230"/>
      <c r="O845" s="230"/>
      <c r="P845" s="230"/>
      <c r="Q845" s="230"/>
      <c r="R845" s="230"/>
      <c r="S845" s="230"/>
      <c r="T845" s="230"/>
      <c r="U845" s="230"/>
      <c r="V845" s="230"/>
      <c r="W845" s="230"/>
      <c r="X845" s="230"/>
      <c r="Y845" s="230"/>
      <c r="Z845" s="230"/>
    </row>
    <row r="846" spans="1:26" ht="15.75" customHeight="1">
      <c r="A846" s="230"/>
      <c r="B846" s="230"/>
      <c r="C846" s="230"/>
      <c r="D846" s="230"/>
      <c r="E846" s="230"/>
      <c r="F846" s="230"/>
      <c r="G846" s="230"/>
      <c r="H846" s="230"/>
      <c r="I846" s="230"/>
      <c r="J846" s="230"/>
      <c r="K846" s="230"/>
      <c r="L846" s="230"/>
      <c r="M846" s="230"/>
      <c r="N846" s="230"/>
      <c r="O846" s="230"/>
      <c r="P846" s="230"/>
      <c r="Q846" s="230"/>
      <c r="R846" s="230"/>
      <c r="S846" s="230"/>
      <c r="T846" s="230"/>
      <c r="U846" s="230"/>
      <c r="V846" s="230"/>
      <c r="W846" s="230"/>
      <c r="X846" s="230"/>
      <c r="Y846" s="230"/>
      <c r="Z846" s="230"/>
    </row>
    <row r="847" spans="1:26" ht="15.75" customHeight="1">
      <c r="A847" s="230"/>
      <c r="B847" s="230"/>
      <c r="C847" s="230"/>
      <c r="D847" s="230"/>
      <c r="E847" s="230"/>
      <c r="F847" s="230"/>
      <c r="G847" s="230"/>
      <c r="H847" s="230"/>
      <c r="I847" s="230"/>
      <c r="J847" s="230"/>
      <c r="K847" s="230"/>
      <c r="L847" s="230"/>
      <c r="M847" s="230"/>
      <c r="N847" s="230"/>
      <c r="O847" s="230"/>
      <c r="P847" s="230"/>
      <c r="Q847" s="230"/>
      <c r="R847" s="230"/>
      <c r="S847" s="230"/>
      <c r="T847" s="230"/>
      <c r="U847" s="230"/>
      <c r="V847" s="230"/>
      <c r="W847" s="230"/>
      <c r="X847" s="230"/>
      <c r="Y847" s="230"/>
      <c r="Z847" s="230"/>
    </row>
    <row r="848" spans="1:26" ht="15.75" customHeight="1">
      <c r="A848" s="230"/>
      <c r="B848" s="230"/>
      <c r="C848" s="230"/>
      <c r="D848" s="230"/>
      <c r="E848" s="230"/>
      <c r="F848" s="230"/>
      <c r="G848" s="230"/>
      <c r="H848" s="230"/>
      <c r="I848" s="230"/>
      <c r="J848" s="230"/>
      <c r="K848" s="230"/>
      <c r="L848" s="230"/>
      <c r="M848" s="230"/>
      <c r="N848" s="230"/>
      <c r="O848" s="230"/>
      <c r="P848" s="230"/>
      <c r="Q848" s="230"/>
      <c r="R848" s="230"/>
      <c r="S848" s="230"/>
      <c r="T848" s="230"/>
      <c r="U848" s="230"/>
      <c r="V848" s="230"/>
      <c r="W848" s="230"/>
      <c r="X848" s="230"/>
      <c r="Y848" s="230"/>
      <c r="Z848" s="230"/>
    </row>
    <row r="849" spans="1:26" ht="15.75" customHeight="1">
      <c r="A849" s="230"/>
      <c r="B849" s="230"/>
      <c r="C849" s="230"/>
      <c r="D849" s="230"/>
      <c r="E849" s="230"/>
      <c r="F849" s="230"/>
      <c r="G849" s="230"/>
      <c r="H849" s="230"/>
      <c r="I849" s="230"/>
      <c r="J849" s="230"/>
      <c r="K849" s="230"/>
      <c r="L849" s="230"/>
      <c r="M849" s="230"/>
      <c r="N849" s="230"/>
      <c r="O849" s="230"/>
      <c r="P849" s="230"/>
      <c r="Q849" s="230"/>
      <c r="R849" s="230"/>
      <c r="S849" s="230"/>
      <c r="T849" s="230"/>
      <c r="U849" s="230"/>
      <c r="V849" s="230"/>
      <c r="W849" s="230"/>
      <c r="X849" s="230"/>
      <c r="Y849" s="230"/>
      <c r="Z849" s="230"/>
    </row>
    <row r="850" spans="1:26" ht="15.75" customHeight="1">
      <c r="A850" s="230"/>
      <c r="B850" s="230"/>
      <c r="C850" s="230"/>
      <c r="D850" s="230"/>
      <c r="E850" s="230"/>
      <c r="F850" s="230"/>
      <c r="G850" s="230"/>
      <c r="H850" s="230"/>
      <c r="I850" s="230"/>
      <c r="J850" s="230"/>
      <c r="K850" s="230"/>
      <c r="L850" s="230"/>
      <c r="M850" s="230"/>
      <c r="N850" s="230"/>
      <c r="O850" s="230"/>
      <c r="P850" s="230"/>
      <c r="Q850" s="230"/>
      <c r="R850" s="230"/>
      <c r="S850" s="230"/>
      <c r="T850" s="230"/>
      <c r="U850" s="230"/>
      <c r="V850" s="230"/>
      <c r="W850" s="230"/>
      <c r="X850" s="230"/>
      <c r="Y850" s="230"/>
      <c r="Z850" s="230"/>
    </row>
    <row r="851" spans="1:26" ht="15.75" customHeight="1">
      <c r="A851" s="230"/>
      <c r="B851" s="230"/>
      <c r="C851" s="230"/>
      <c r="D851" s="230"/>
      <c r="E851" s="230"/>
      <c r="F851" s="230"/>
      <c r="G851" s="230"/>
      <c r="H851" s="230"/>
      <c r="I851" s="230"/>
      <c r="J851" s="230"/>
      <c r="K851" s="230"/>
      <c r="L851" s="230"/>
      <c r="M851" s="230"/>
      <c r="N851" s="230"/>
      <c r="O851" s="230"/>
      <c r="P851" s="230"/>
      <c r="Q851" s="230"/>
      <c r="R851" s="230"/>
      <c r="S851" s="230"/>
      <c r="T851" s="230"/>
      <c r="U851" s="230"/>
      <c r="V851" s="230"/>
      <c r="W851" s="230"/>
      <c r="X851" s="230"/>
      <c r="Y851" s="230"/>
      <c r="Z851" s="230"/>
    </row>
    <row r="852" spans="1:26" ht="15.75" customHeight="1">
      <c r="A852" s="230"/>
      <c r="B852" s="230"/>
      <c r="C852" s="230"/>
      <c r="D852" s="230"/>
      <c r="E852" s="230"/>
      <c r="F852" s="230"/>
      <c r="G852" s="230"/>
      <c r="H852" s="230"/>
      <c r="I852" s="230"/>
      <c r="J852" s="230"/>
      <c r="K852" s="230"/>
      <c r="L852" s="230"/>
      <c r="M852" s="230"/>
      <c r="N852" s="230"/>
      <c r="O852" s="230"/>
      <c r="P852" s="230"/>
      <c r="Q852" s="230"/>
      <c r="R852" s="230"/>
      <c r="S852" s="230"/>
      <c r="T852" s="230"/>
      <c r="U852" s="230"/>
      <c r="V852" s="230"/>
      <c r="W852" s="230"/>
      <c r="X852" s="230"/>
      <c r="Y852" s="230"/>
      <c r="Z852" s="230"/>
    </row>
    <row r="853" spans="1:26" ht="15.75" customHeight="1">
      <c r="A853" s="230"/>
      <c r="B853" s="230"/>
      <c r="C853" s="230"/>
      <c r="D853" s="230"/>
      <c r="E853" s="230"/>
      <c r="F853" s="230"/>
      <c r="G853" s="230"/>
      <c r="H853" s="230"/>
      <c r="I853" s="230"/>
      <c r="J853" s="230"/>
      <c r="K853" s="230"/>
      <c r="L853" s="230"/>
      <c r="M853" s="230"/>
      <c r="N853" s="230"/>
      <c r="O853" s="230"/>
      <c r="P853" s="230"/>
      <c r="Q853" s="230"/>
      <c r="R853" s="230"/>
      <c r="S853" s="230"/>
      <c r="T853" s="230"/>
      <c r="U853" s="230"/>
      <c r="V853" s="230"/>
      <c r="W853" s="230"/>
      <c r="X853" s="230"/>
      <c r="Y853" s="230"/>
      <c r="Z853" s="230"/>
    </row>
    <row r="854" spans="1:26" ht="15.75" customHeight="1">
      <c r="A854" s="230"/>
      <c r="B854" s="230"/>
      <c r="C854" s="230"/>
      <c r="D854" s="230"/>
      <c r="E854" s="230"/>
      <c r="F854" s="230"/>
      <c r="G854" s="230"/>
      <c r="H854" s="230"/>
      <c r="I854" s="230"/>
      <c r="J854" s="230"/>
      <c r="K854" s="230"/>
      <c r="L854" s="230"/>
      <c r="M854" s="230"/>
      <c r="N854" s="230"/>
      <c r="O854" s="230"/>
      <c r="P854" s="230"/>
      <c r="Q854" s="230"/>
      <c r="R854" s="230"/>
      <c r="S854" s="230"/>
      <c r="T854" s="230"/>
      <c r="U854" s="230"/>
      <c r="V854" s="230"/>
      <c r="W854" s="230"/>
      <c r="X854" s="230"/>
      <c r="Y854" s="230"/>
      <c r="Z854" s="230"/>
    </row>
    <row r="855" spans="1:26" ht="15.75" customHeight="1">
      <c r="A855" s="230"/>
      <c r="B855" s="230"/>
      <c r="C855" s="230"/>
      <c r="D855" s="230"/>
      <c r="E855" s="230"/>
      <c r="F855" s="230"/>
      <c r="G855" s="230"/>
      <c r="H855" s="230"/>
      <c r="I855" s="230"/>
      <c r="J855" s="230"/>
      <c r="K855" s="230"/>
      <c r="L855" s="230"/>
      <c r="M855" s="230"/>
      <c r="N855" s="230"/>
      <c r="O855" s="230"/>
      <c r="P855" s="230"/>
      <c r="Q855" s="230"/>
      <c r="R855" s="230"/>
      <c r="S855" s="230"/>
      <c r="T855" s="230"/>
      <c r="U855" s="230"/>
      <c r="V855" s="230"/>
      <c r="W855" s="230"/>
      <c r="X855" s="230"/>
      <c r="Y855" s="230"/>
      <c r="Z855" s="230"/>
    </row>
    <row r="856" spans="1:26" ht="15.75" customHeight="1">
      <c r="A856" s="230"/>
      <c r="B856" s="230"/>
      <c r="C856" s="230"/>
      <c r="D856" s="230"/>
      <c r="E856" s="230"/>
      <c r="F856" s="230"/>
      <c r="G856" s="230"/>
      <c r="H856" s="230"/>
      <c r="I856" s="230"/>
      <c r="J856" s="230"/>
      <c r="K856" s="230"/>
      <c r="L856" s="230"/>
      <c r="M856" s="230"/>
      <c r="N856" s="230"/>
      <c r="O856" s="230"/>
      <c r="P856" s="230"/>
      <c r="Q856" s="230"/>
      <c r="R856" s="230"/>
      <c r="S856" s="230"/>
      <c r="T856" s="230"/>
      <c r="U856" s="230"/>
      <c r="V856" s="230"/>
      <c r="W856" s="230"/>
      <c r="X856" s="230"/>
      <c r="Y856" s="230"/>
      <c r="Z856" s="230"/>
    </row>
    <row r="857" spans="1:26" ht="15.75" customHeight="1">
      <c r="A857" s="230"/>
      <c r="B857" s="230"/>
      <c r="C857" s="230"/>
      <c r="D857" s="230"/>
      <c r="E857" s="230"/>
      <c r="F857" s="230"/>
      <c r="G857" s="230"/>
      <c r="H857" s="230"/>
      <c r="I857" s="230"/>
      <c r="J857" s="230"/>
      <c r="K857" s="230"/>
      <c r="L857" s="230"/>
      <c r="M857" s="230"/>
      <c r="N857" s="230"/>
      <c r="O857" s="230"/>
      <c r="P857" s="230"/>
      <c r="Q857" s="230"/>
      <c r="R857" s="230"/>
      <c r="S857" s="230"/>
      <c r="T857" s="230"/>
      <c r="U857" s="230"/>
      <c r="V857" s="230"/>
      <c r="W857" s="230"/>
      <c r="X857" s="230"/>
      <c r="Y857" s="230"/>
      <c r="Z857" s="230"/>
    </row>
    <row r="858" spans="1:26" ht="15.75" customHeight="1">
      <c r="A858" s="230"/>
      <c r="B858" s="230"/>
      <c r="C858" s="230"/>
      <c r="D858" s="230"/>
      <c r="E858" s="230"/>
      <c r="F858" s="230"/>
      <c r="G858" s="230"/>
      <c r="H858" s="230"/>
      <c r="I858" s="230"/>
      <c r="J858" s="230"/>
      <c r="K858" s="230"/>
      <c r="L858" s="230"/>
      <c r="M858" s="230"/>
      <c r="N858" s="230"/>
      <c r="O858" s="230"/>
      <c r="P858" s="230"/>
      <c r="Q858" s="230"/>
      <c r="R858" s="230"/>
      <c r="S858" s="230"/>
      <c r="T858" s="230"/>
      <c r="U858" s="230"/>
      <c r="V858" s="230"/>
      <c r="W858" s="230"/>
      <c r="X858" s="230"/>
      <c r="Y858" s="230"/>
      <c r="Z858" s="230"/>
    </row>
    <row r="859" spans="1:26" ht="15.75" customHeight="1">
      <c r="A859" s="230"/>
      <c r="B859" s="230"/>
      <c r="C859" s="230"/>
      <c r="D859" s="230"/>
      <c r="E859" s="230"/>
      <c r="F859" s="230"/>
      <c r="G859" s="230"/>
      <c r="H859" s="230"/>
      <c r="I859" s="230"/>
      <c r="J859" s="230"/>
      <c r="K859" s="230"/>
      <c r="L859" s="230"/>
      <c r="M859" s="230"/>
      <c r="N859" s="230"/>
      <c r="O859" s="230"/>
      <c r="P859" s="230"/>
      <c r="Q859" s="230"/>
      <c r="R859" s="230"/>
      <c r="S859" s="230"/>
      <c r="T859" s="230"/>
      <c r="U859" s="230"/>
      <c r="V859" s="230"/>
      <c r="W859" s="230"/>
      <c r="X859" s="230"/>
      <c r="Y859" s="230"/>
      <c r="Z859" s="230"/>
    </row>
    <row r="860" spans="1:26" ht="15.75" customHeight="1">
      <c r="A860" s="230"/>
      <c r="B860" s="230"/>
      <c r="C860" s="230"/>
      <c r="D860" s="230"/>
      <c r="E860" s="230"/>
      <c r="F860" s="230"/>
      <c r="G860" s="230"/>
      <c r="H860" s="230"/>
      <c r="I860" s="230"/>
      <c r="J860" s="230"/>
      <c r="K860" s="230"/>
      <c r="L860" s="230"/>
      <c r="M860" s="230"/>
      <c r="N860" s="230"/>
      <c r="O860" s="230"/>
      <c r="P860" s="230"/>
      <c r="Q860" s="230"/>
      <c r="R860" s="230"/>
      <c r="S860" s="230"/>
      <c r="T860" s="230"/>
      <c r="U860" s="230"/>
      <c r="V860" s="230"/>
      <c r="W860" s="230"/>
      <c r="X860" s="230"/>
      <c r="Y860" s="230"/>
      <c r="Z860" s="230"/>
    </row>
    <row r="861" spans="1:26" ht="15.75" customHeight="1">
      <c r="A861" s="230"/>
      <c r="B861" s="230"/>
      <c r="C861" s="230"/>
      <c r="D861" s="230"/>
      <c r="E861" s="230"/>
      <c r="F861" s="230"/>
      <c r="G861" s="230"/>
      <c r="H861" s="230"/>
      <c r="I861" s="230"/>
      <c r="J861" s="230"/>
      <c r="K861" s="230"/>
      <c r="L861" s="230"/>
      <c r="M861" s="230"/>
      <c r="N861" s="230"/>
      <c r="O861" s="230"/>
      <c r="P861" s="230"/>
      <c r="Q861" s="230"/>
      <c r="R861" s="230"/>
      <c r="S861" s="230"/>
      <c r="T861" s="230"/>
      <c r="U861" s="230"/>
      <c r="V861" s="230"/>
      <c r="W861" s="230"/>
      <c r="X861" s="230"/>
      <c r="Y861" s="230"/>
      <c r="Z861" s="230"/>
    </row>
    <row r="862" spans="1:26" ht="15.75" customHeight="1">
      <c r="A862" s="230"/>
      <c r="B862" s="230"/>
      <c r="C862" s="230"/>
      <c r="D862" s="230"/>
      <c r="E862" s="230"/>
      <c r="F862" s="230"/>
      <c r="G862" s="230"/>
      <c r="H862" s="230"/>
      <c r="I862" s="230"/>
      <c r="J862" s="230"/>
      <c r="K862" s="230"/>
      <c r="L862" s="230"/>
      <c r="M862" s="230"/>
      <c r="N862" s="230"/>
      <c r="O862" s="230"/>
      <c r="P862" s="230"/>
      <c r="Q862" s="230"/>
      <c r="R862" s="230"/>
      <c r="S862" s="230"/>
      <c r="T862" s="230"/>
      <c r="U862" s="230"/>
      <c r="V862" s="230"/>
      <c r="W862" s="230"/>
      <c r="X862" s="230"/>
      <c r="Y862" s="230"/>
      <c r="Z862" s="230"/>
    </row>
    <row r="863" spans="1:26" ht="15.75" customHeight="1">
      <c r="A863" s="230"/>
      <c r="B863" s="230"/>
      <c r="C863" s="230"/>
      <c r="D863" s="230"/>
      <c r="E863" s="230"/>
      <c r="F863" s="230"/>
      <c r="G863" s="230"/>
      <c r="H863" s="230"/>
      <c r="I863" s="230"/>
      <c r="J863" s="230"/>
      <c r="K863" s="230"/>
      <c r="L863" s="230"/>
      <c r="M863" s="230"/>
      <c r="N863" s="230"/>
      <c r="O863" s="230"/>
      <c r="P863" s="230"/>
      <c r="Q863" s="230"/>
      <c r="R863" s="230"/>
      <c r="S863" s="230"/>
      <c r="T863" s="230"/>
      <c r="U863" s="230"/>
      <c r="V863" s="230"/>
      <c r="W863" s="230"/>
      <c r="X863" s="230"/>
      <c r="Y863" s="230"/>
      <c r="Z863" s="230"/>
    </row>
    <row r="864" spans="1:26" ht="15.75" customHeight="1">
      <c r="A864" s="230"/>
      <c r="B864" s="230"/>
      <c r="C864" s="230"/>
      <c r="D864" s="230"/>
      <c r="E864" s="230"/>
      <c r="F864" s="230"/>
      <c r="G864" s="230"/>
      <c r="H864" s="230"/>
      <c r="I864" s="230"/>
      <c r="J864" s="230"/>
      <c r="K864" s="230"/>
      <c r="L864" s="230"/>
      <c r="M864" s="230"/>
      <c r="N864" s="230"/>
      <c r="O864" s="230"/>
      <c r="P864" s="230"/>
      <c r="Q864" s="230"/>
      <c r="R864" s="230"/>
      <c r="S864" s="230"/>
      <c r="T864" s="230"/>
      <c r="U864" s="230"/>
      <c r="V864" s="230"/>
      <c r="W864" s="230"/>
      <c r="X864" s="230"/>
      <c r="Y864" s="230"/>
      <c r="Z864" s="230"/>
    </row>
    <row r="865" spans="1:26" ht="15.75" customHeight="1">
      <c r="A865" s="230"/>
      <c r="B865" s="230"/>
      <c r="C865" s="230"/>
      <c r="D865" s="230"/>
      <c r="E865" s="230"/>
      <c r="F865" s="230"/>
      <c r="G865" s="230"/>
      <c r="H865" s="230"/>
      <c r="I865" s="230"/>
      <c r="J865" s="230"/>
      <c r="K865" s="230"/>
      <c r="L865" s="230"/>
      <c r="M865" s="230"/>
      <c r="N865" s="230"/>
      <c r="O865" s="230"/>
      <c r="P865" s="230"/>
      <c r="Q865" s="230"/>
      <c r="R865" s="230"/>
      <c r="S865" s="230"/>
      <c r="T865" s="230"/>
      <c r="U865" s="230"/>
      <c r="V865" s="230"/>
      <c r="W865" s="230"/>
      <c r="X865" s="230"/>
      <c r="Y865" s="230"/>
      <c r="Z865" s="230"/>
    </row>
    <row r="866" spans="1:26" ht="15.75" customHeight="1">
      <c r="A866" s="230"/>
      <c r="B866" s="230"/>
      <c r="C866" s="230"/>
      <c r="D866" s="230"/>
      <c r="E866" s="230"/>
      <c r="F866" s="230"/>
      <c r="G866" s="230"/>
      <c r="H866" s="230"/>
      <c r="I866" s="230"/>
      <c r="J866" s="230"/>
      <c r="K866" s="230"/>
      <c r="L866" s="230"/>
      <c r="M866" s="230"/>
      <c r="N866" s="230"/>
      <c r="O866" s="230"/>
      <c r="P866" s="230"/>
      <c r="Q866" s="230"/>
      <c r="R866" s="230"/>
      <c r="S866" s="230"/>
      <c r="T866" s="230"/>
      <c r="U866" s="230"/>
      <c r="V866" s="230"/>
      <c r="W866" s="230"/>
      <c r="X866" s="230"/>
      <c r="Y866" s="230"/>
      <c r="Z866" s="230"/>
    </row>
    <row r="867" spans="1:26" ht="15.75" customHeight="1">
      <c r="A867" s="230"/>
      <c r="B867" s="230"/>
      <c r="C867" s="230"/>
      <c r="D867" s="230"/>
      <c r="E867" s="230"/>
      <c r="F867" s="230"/>
      <c r="G867" s="230"/>
      <c r="H867" s="230"/>
      <c r="I867" s="230"/>
      <c r="J867" s="230"/>
      <c r="K867" s="230"/>
      <c r="L867" s="230"/>
      <c r="M867" s="230"/>
      <c r="N867" s="230"/>
      <c r="O867" s="230"/>
      <c r="P867" s="230"/>
      <c r="Q867" s="230"/>
      <c r="R867" s="230"/>
      <c r="S867" s="230"/>
      <c r="T867" s="230"/>
      <c r="U867" s="230"/>
      <c r="V867" s="230"/>
      <c r="W867" s="230"/>
      <c r="X867" s="230"/>
      <c r="Y867" s="230"/>
      <c r="Z867" s="230"/>
    </row>
    <row r="868" spans="1:26" ht="15.75" customHeight="1">
      <c r="A868" s="230"/>
      <c r="B868" s="230"/>
      <c r="C868" s="230"/>
      <c r="D868" s="230"/>
      <c r="E868" s="230"/>
      <c r="F868" s="230"/>
      <c r="G868" s="230"/>
      <c r="H868" s="230"/>
      <c r="I868" s="230"/>
      <c r="J868" s="230"/>
      <c r="K868" s="230"/>
      <c r="L868" s="230"/>
      <c r="M868" s="230"/>
      <c r="N868" s="230"/>
      <c r="O868" s="230"/>
      <c r="P868" s="230"/>
      <c r="Q868" s="230"/>
      <c r="R868" s="230"/>
      <c r="S868" s="230"/>
      <c r="T868" s="230"/>
      <c r="U868" s="230"/>
      <c r="V868" s="230"/>
      <c r="W868" s="230"/>
      <c r="X868" s="230"/>
      <c r="Y868" s="230"/>
      <c r="Z868" s="230"/>
    </row>
    <row r="869" spans="1:26" ht="15.75" customHeight="1">
      <c r="A869" s="230"/>
      <c r="B869" s="230"/>
      <c r="C869" s="230"/>
      <c r="D869" s="230"/>
      <c r="E869" s="230"/>
      <c r="F869" s="230"/>
      <c r="G869" s="230"/>
      <c r="H869" s="230"/>
      <c r="I869" s="230"/>
      <c r="J869" s="230"/>
      <c r="K869" s="230"/>
      <c r="L869" s="230"/>
      <c r="M869" s="230"/>
      <c r="N869" s="230"/>
      <c r="O869" s="230"/>
      <c r="P869" s="230"/>
      <c r="Q869" s="230"/>
      <c r="R869" s="230"/>
      <c r="S869" s="230"/>
      <c r="T869" s="230"/>
      <c r="U869" s="230"/>
      <c r="V869" s="230"/>
      <c r="W869" s="230"/>
      <c r="X869" s="230"/>
      <c r="Y869" s="230"/>
      <c r="Z869" s="230"/>
    </row>
    <row r="870" spans="1:26" ht="15.75" customHeight="1">
      <c r="A870" s="230"/>
      <c r="B870" s="230"/>
      <c r="C870" s="230"/>
      <c r="D870" s="230"/>
      <c r="E870" s="230"/>
      <c r="F870" s="230"/>
      <c r="G870" s="230"/>
      <c r="H870" s="230"/>
      <c r="I870" s="230"/>
      <c r="J870" s="230"/>
      <c r="K870" s="230"/>
      <c r="L870" s="230"/>
      <c r="M870" s="230"/>
      <c r="N870" s="230"/>
      <c r="O870" s="230"/>
      <c r="P870" s="230"/>
      <c r="Q870" s="230"/>
      <c r="R870" s="230"/>
      <c r="S870" s="230"/>
      <c r="T870" s="230"/>
      <c r="U870" s="230"/>
      <c r="V870" s="230"/>
      <c r="W870" s="230"/>
      <c r="X870" s="230"/>
      <c r="Y870" s="230"/>
      <c r="Z870" s="230"/>
    </row>
    <row r="871" spans="1:26" ht="15.75" customHeight="1">
      <c r="A871" s="230"/>
      <c r="B871" s="230"/>
      <c r="C871" s="230"/>
      <c r="D871" s="230"/>
      <c r="E871" s="230"/>
      <c r="F871" s="230"/>
      <c r="G871" s="230"/>
      <c r="H871" s="230"/>
      <c r="I871" s="230"/>
      <c r="J871" s="230"/>
      <c r="K871" s="230"/>
      <c r="L871" s="230"/>
      <c r="M871" s="230"/>
      <c r="N871" s="230"/>
      <c r="O871" s="230"/>
      <c r="P871" s="230"/>
      <c r="Q871" s="230"/>
      <c r="R871" s="230"/>
      <c r="S871" s="230"/>
      <c r="T871" s="230"/>
      <c r="U871" s="230"/>
      <c r="V871" s="230"/>
      <c r="W871" s="230"/>
      <c r="X871" s="230"/>
      <c r="Y871" s="230"/>
      <c r="Z871" s="230"/>
    </row>
    <row r="872" spans="1:26" ht="15.75" customHeight="1">
      <c r="A872" s="230"/>
      <c r="B872" s="230"/>
      <c r="C872" s="230"/>
      <c r="D872" s="230"/>
      <c r="E872" s="230"/>
      <c r="F872" s="230"/>
      <c r="G872" s="230"/>
      <c r="H872" s="230"/>
      <c r="I872" s="230"/>
      <c r="J872" s="230"/>
      <c r="K872" s="230"/>
      <c r="L872" s="230"/>
      <c r="M872" s="230"/>
      <c r="N872" s="230"/>
      <c r="O872" s="230"/>
      <c r="P872" s="230"/>
      <c r="Q872" s="230"/>
      <c r="R872" s="230"/>
      <c r="S872" s="230"/>
      <c r="T872" s="230"/>
      <c r="U872" s="230"/>
      <c r="V872" s="230"/>
      <c r="W872" s="230"/>
      <c r="X872" s="230"/>
      <c r="Y872" s="230"/>
      <c r="Z872" s="230"/>
    </row>
    <row r="873" spans="1:26" ht="15.75" customHeight="1">
      <c r="A873" s="230"/>
      <c r="B873" s="230"/>
      <c r="C873" s="230"/>
      <c r="D873" s="230"/>
      <c r="E873" s="230"/>
      <c r="F873" s="230"/>
      <c r="G873" s="230"/>
      <c r="H873" s="230"/>
      <c r="I873" s="230"/>
      <c r="J873" s="230"/>
      <c r="K873" s="230"/>
      <c r="L873" s="230"/>
      <c r="M873" s="230"/>
      <c r="N873" s="230"/>
      <c r="O873" s="230"/>
      <c r="P873" s="230"/>
      <c r="Q873" s="230"/>
      <c r="R873" s="230"/>
      <c r="S873" s="230"/>
      <c r="T873" s="230"/>
      <c r="U873" s="230"/>
      <c r="V873" s="230"/>
      <c r="W873" s="230"/>
      <c r="X873" s="230"/>
      <c r="Y873" s="230"/>
      <c r="Z873" s="230"/>
    </row>
    <row r="874" spans="1:26" ht="15.75" customHeight="1">
      <c r="A874" s="230"/>
      <c r="B874" s="230"/>
      <c r="C874" s="230"/>
      <c r="D874" s="230"/>
      <c r="E874" s="230"/>
      <c r="F874" s="230"/>
      <c r="G874" s="230"/>
      <c r="H874" s="230"/>
      <c r="I874" s="230"/>
      <c r="J874" s="230"/>
      <c r="K874" s="230"/>
      <c r="L874" s="230"/>
      <c r="M874" s="230"/>
      <c r="N874" s="230"/>
      <c r="O874" s="230"/>
      <c r="P874" s="230"/>
      <c r="Q874" s="230"/>
      <c r="R874" s="230"/>
      <c r="S874" s="230"/>
      <c r="T874" s="230"/>
      <c r="U874" s="230"/>
      <c r="V874" s="230"/>
      <c r="W874" s="230"/>
      <c r="X874" s="230"/>
      <c r="Y874" s="230"/>
      <c r="Z874" s="230"/>
    </row>
    <row r="875" spans="1:26" ht="15.75" customHeight="1">
      <c r="A875" s="230"/>
      <c r="B875" s="230"/>
      <c r="C875" s="230"/>
      <c r="D875" s="230"/>
      <c r="E875" s="230"/>
      <c r="F875" s="230"/>
      <c r="G875" s="230"/>
      <c r="H875" s="230"/>
      <c r="I875" s="230"/>
      <c r="J875" s="230"/>
      <c r="K875" s="230"/>
      <c r="L875" s="230"/>
      <c r="M875" s="230"/>
      <c r="N875" s="230"/>
      <c r="O875" s="230"/>
      <c r="P875" s="230"/>
      <c r="Q875" s="230"/>
      <c r="R875" s="230"/>
      <c r="S875" s="230"/>
      <c r="T875" s="230"/>
      <c r="U875" s="230"/>
      <c r="V875" s="230"/>
      <c r="W875" s="230"/>
      <c r="X875" s="230"/>
      <c r="Y875" s="230"/>
      <c r="Z875" s="230"/>
    </row>
    <row r="876" spans="1:26" ht="15.75" customHeight="1">
      <c r="A876" s="230"/>
      <c r="B876" s="230"/>
      <c r="C876" s="230"/>
      <c r="D876" s="230"/>
      <c r="E876" s="230"/>
      <c r="F876" s="230"/>
      <c r="G876" s="230"/>
      <c r="H876" s="230"/>
      <c r="I876" s="230"/>
      <c r="J876" s="230"/>
      <c r="K876" s="230"/>
      <c r="L876" s="230"/>
      <c r="M876" s="230"/>
      <c r="N876" s="230"/>
      <c r="O876" s="230"/>
      <c r="P876" s="230"/>
      <c r="Q876" s="230"/>
      <c r="R876" s="230"/>
      <c r="S876" s="230"/>
      <c r="T876" s="230"/>
      <c r="U876" s="230"/>
      <c r="V876" s="230"/>
      <c r="W876" s="230"/>
      <c r="X876" s="230"/>
      <c r="Y876" s="230"/>
      <c r="Z876" s="230"/>
    </row>
    <row r="877" spans="1:26" ht="15.75" customHeight="1">
      <c r="A877" s="230"/>
      <c r="B877" s="230"/>
      <c r="C877" s="230"/>
      <c r="D877" s="230"/>
      <c r="E877" s="230"/>
      <c r="F877" s="230"/>
      <c r="G877" s="230"/>
      <c r="H877" s="230"/>
      <c r="I877" s="230"/>
      <c r="J877" s="230"/>
      <c r="K877" s="230"/>
      <c r="L877" s="230"/>
      <c r="M877" s="230"/>
      <c r="N877" s="230"/>
      <c r="O877" s="230"/>
      <c r="P877" s="230"/>
      <c r="Q877" s="230"/>
      <c r="R877" s="230"/>
      <c r="S877" s="230"/>
      <c r="T877" s="230"/>
      <c r="U877" s="230"/>
      <c r="V877" s="230"/>
      <c r="W877" s="230"/>
      <c r="X877" s="230"/>
      <c r="Y877" s="230"/>
      <c r="Z877" s="230"/>
    </row>
    <row r="878" spans="1:26" ht="15.75" customHeight="1">
      <c r="A878" s="230"/>
      <c r="B878" s="230"/>
      <c r="C878" s="230"/>
      <c r="D878" s="230"/>
      <c r="E878" s="230"/>
      <c r="F878" s="230"/>
      <c r="G878" s="230"/>
      <c r="H878" s="230"/>
      <c r="I878" s="230"/>
      <c r="J878" s="230"/>
      <c r="K878" s="230"/>
      <c r="L878" s="230"/>
      <c r="M878" s="230"/>
      <c r="N878" s="230"/>
      <c r="O878" s="230"/>
      <c r="P878" s="230"/>
      <c r="Q878" s="230"/>
      <c r="R878" s="230"/>
      <c r="S878" s="230"/>
      <c r="T878" s="230"/>
      <c r="U878" s="230"/>
      <c r="V878" s="230"/>
      <c r="W878" s="230"/>
      <c r="X878" s="230"/>
      <c r="Y878" s="230"/>
      <c r="Z878" s="230"/>
    </row>
    <row r="879" spans="1:26" ht="15.75" customHeight="1">
      <c r="A879" s="230"/>
      <c r="B879" s="230"/>
      <c r="C879" s="230"/>
      <c r="D879" s="230"/>
      <c r="E879" s="230"/>
      <c r="F879" s="230"/>
      <c r="G879" s="230"/>
      <c r="H879" s="230"/>
      <c r="I879" s="230"/>
      <c r="J879" s="230"/>
      <c r="K879" s="230"/>
      <c r="L879" s="230"/>
      <c r="M879" s="230"/>
      <c r="N879" s="230"/>
      <c r="O879" s="230"/>
      <c r="P879" s="230"/>
      <c r="Q879" s="230"/>
      <c r="R879" s="230"/>
      <c r="S879" s="230"/>
      <c r="T879" s="230"/>
      <c r="U879" s="230"/>
      <c r="V879" s="230"/>
      <c r="W879" s="230"/>
      <c r="X879" s="230"/>
      <c r="Y879" s="230"/>
      <c r="Z879" s="230"/>
    </row>
    <row r="880" spans="1:26" ht="15.75" customHeight="1">
      <c r="A880" s="230"/>
      <c r="B880" s="230"/>
      <c r="C880" s="230"/>
      <c r="D880" s="230"/>
      <c r="E880" s="230"/>
      <c r="F880" s="230"/>
      <c r="G880" s="230"/>
      <c r="H880" s="230"/>
      <c r="I880" s="230"/>
      <c r="J880" s="230"/>
      <c r="K880" s="230"/>
      <c r="L880" s="230"/>
      <c r="M880" s="230"/>
      <c r="N880" s="230"/>
      <c r="O880" s="230"/>
      <c r="P880" s="230"/>
      <c r="Q880" s="230"/>
      <c r="R880" s="230"/>
      <c r="S880" s="230"/>
      <c r="T880" s="230"/>
      <c r="U880" s="230"/>
      <c r="V880" s="230"/>
      <c r="W880" s="230"/>
      <c r="X880" s="230"/>
      <c r="Y880" s="230"/>
      <c r="Z880" s="230"/>
    </row>
    <row r="881" spans="1:26" ht="15.75" customHeight="1">
      <c r="A881" s="230"/>
      <c r="B881" s="230"/>
      <c r="C881" s="230"/>
      <c r="D881" s="230"/>
      <c r="E881" s="230"/>
      <c r="F881" s="230"/>
      <c r="G881" s="230"/>
      <c r="H881" s="230"/>
      <c r="I881" s="230"/>
      <c r="J881" s="230"/>
      <c r="K881" s="230"/>
      <c r="L881" s="230"/>
      <c r="M881" s="230"/>
      <c r="N881" s="230"/>
      <c r="O881" s="230"/>
      <c r="P881" s="230"/>
      <c r="Q881" s="230"/>
      <c r="R881" s="230"/>
      <c r="S881" s="230"/>
      <c r="T881" s="230"/>
      <c r="U881" s="230"/>
      <c r="V881" s="230"/>
      <c r="W881" s="230"/>
      <c r="X881" s="230"/>
      <c r="Y881" s="230"/>
      <c r="Z881" s="230"/>
    </row>
    <row r="882" spans="1:26" ht="15.75" customHeight="1">
      <c r="A882" s="230"/>
      <c r="B882" s="230"/>
      <c r="C882" s="230"/>
      <c r="D882" s="230"/>
      <c r="E882" s="230"/>
      <c r="F882" s="230"/>
      <c r="G882" s="230"/>
      <c r="H882" s="230"/>
      <c r="I882" s="230"/>
      <c r="J882" s="230"/>
      <c r="K882" s="230"/>
      <c r="L882" s="230"/>
      <c r="M882" s="230"/>
      <c r="N882" s="230"/>
      <c r="O882" s="230"/>
      <c r="P882" s="230"/>
      <c r="Q882" s="230"/>
      <c r="R882" s="230"/>
      <c r="S882" s="230"/>
      <c r="T882" s="230"/>
      <c r="U882" s="230"/>
      <c r="V882" s="230"/>
      <c r="W882" s="230"/>
      <c r="X882" s="230"/>
      <c r="Y882" s="230"/>
      <c r="Z882" s="230"/>
    </row>
    <row r="883" spans="1:26" ht="15.75" customHeight="1">
      <c r="A883" s="230"/>
      <c r="B883" s="230"/>
      <c r="C883" s="230"/>
      <c r="D883" s="230"/>
      <c r="E883" s="230"/>
      <c r="F883" s="230"/>
      <c r="G883" s="230"/>
      <c r="H883" s="230"/>
      <c r="I883" s="230"/>
      <c r="J883" s="230"/>
      <c r="K883" s="230"/>
      <c r="L883" s="230"/>
      <c r="M883" s="230"/>
      <c r="N883" s="230"/>
      <c r="O883" s="230"/>
      <c r="P883" s="230"/>
      <c r="Q883" s="230"/>
      <c r="R883" s="230"/>
      <c r="S883" s="230"/>
      <c r="T883" s="230"/>
      <c r="U883" s="230"/>
      <c r="V883" s="230"/>
      <c r="W883" s="230"/>
      <c r="X883" s="230"/>
      <c r="Y883" s="230"/>
      <c r="Z883" s="230"/>
    </row>
    <row r="884" spans="1:26" ht="15.75" customHeight="1">
      <c r="A884" s="230"/>
      <c r="B884" s="230"/>
      <c r="C884" s="230"/>
      <c r="D884" s="230"/>
      <c r="E884" s="230"/>
      <c r="F884" s="230"/>
      <c r="G884" s="230"/>
      <c r="H884" s="230"/>
      <c r="I884" s="230"/>
      <c r="J884" s="230"/>
      <c r="K884" s="230"/>
      <c r="L884" s="230"/>
      <c r="M884" s="230"/>
      <c r="N884" s="230"/>
      <c r="O884" s="230"/>
      <c r="P884" s="230"/>
      <c r="Q884" s="230"/>
      <c r="R884" s="230"/>
      <c r="S884" s="230"/>
      <c r="T884" s="230"/>
      <c r="U884" s="230"/>
      <c r="V884" s="230"/>
      <c r="W884" s="230"/>
      <c r="X884" s="230"/>
      <c r="Y884" s="230"/>
      <c r="Z884" s="230"/>
    </row>
    <row r="885" spans="1:26" ht="15.75" customHeight="1">
      <c r="A885" s="230"/>
      <c r="B885" s="230"/>
      <c r="C885" s="230"/>
      <c r="D885" s="230"/>
      <c r="E885" s="230"/>
      <c r="F885" s="230"/>
      <c r="G885" s="230"/>
      <c r="H885" s="230"/>
      <c r="I885" s="230"/>
      <c r="J885" s="230"/>
      <c r="K885" s="230"/>
      <c r="L885" s="230"/>
      <c r="M885" s="230"/>
      <c r="N885" s="230"/>
      <c r="O885" s="230"/>
      <c r="P885" s="230"/>
      <c r="Q885" s="230"/>
      <c r="R885" s="230"/>
      <c r="S885" s="230"/>
      <c r="T885" s="230"/>
      <c r="U885" s="230"/>
      <c r="V885" s="230"/>
      <c r="W885" s="230"/>
      <c r="X885" s="230"/>
      <c r="Y885" s="230"/>
      <c r="Z885" s="230"/>
    </row>
    <row r="886" spans="1:26" ht="15.75" customHeight="1">
      <c r="A886" s="230"/>
      <c r="B886" s="230"/>
      <c r="C886" s="230"/>
      <c r="D886" s="230"/>
      <c r="E886" s="230"/>
      <c r="F886" s="230"/>
      <c r="G886" s="230"/>
      <c r="H886" s="230"/>
      <c r="I886" s="230"/>
      <c r="J886" s="230"/>
      <c r="K886" s="230"/>
      <c r="L886" s="230"/>
      <c r="M886" s="230"/>
      <c r="N886" s="230"/>
      <c r="O886" s="230"/>
      <c r="P886" s="230"/>
      <c r="Q886" s="230"/>
      <c r="R886" s="230"/>
      <c r="S886" s="230"/>
      <c r="T886" s="230"/>
      <c r="U886" s="230"/>
      <c r="V886" s="230"/>
      <c r="W886" s="230"/>
      <c r="X886" s="230"/>
      <c r="Y886" s="230"/>
      <c r="Z886" s="230"/>
    </row>
    <row r="887" spans="1:26" ht="15.75" customHeight="1">
      <c r="A887" s="230"/>
      <c r="B887" s="230"/>
      <c r="C887" s="230"/>
      <c r="D887" s="230"/>
      <c r="E887" s="230"/>
      <c r="F887" s="230"/>
      <c r="G887" s="230"/>
      <c r="H887" s="230"/>
      <c r="I887" s="230"/>
      <c r="J887" s="230"/>
      <c r="K887" s="230"/>
      <c r="L887" s="230"/>
      <c r="M887" s="230"/>
      <c r="N887" s="230"/>
      <c r="O887" s="230"/>
      <c r="P887" s="230"/>
      <c r="Q887" s="230"/>
      <c r="R887" s="230"/>
      <c r="S887" s="230"/>
      <c r="T887" s="230"/>
      <c r="U887" s="230"/>
      <c r="V887" s="230"/>
      <c r="W887" s="230"/>
      <c r="X887" s="230"/>
      <c r="Y887" s="230"/>
      <c r="Z887" s="230"/>
    </row>
    <row r="888" spans="1:26" ht="15.75" customHeight="1">
      <c r="A888" s="230"/>
      <c r="B888" s="230"/>
      <c r="C888" s="230"/>
      <c r="D888" s="230"/>
      <c r="E888" s="230"/>
      <c r="F888" s="230"/>
      <c r="G888" s="230"/>
      <c r="H888" s="230"/>
      <c r="I888" s="230"/>
      <c r="J888" s="230"/>
      <c r="K888" s="230"/>
      <c r="L888" s="230"/>
      <c r="M888" s="230"/>
      <c r="N888" s="230"/>
      <c r="O888" s="230"/>
      <c r="P888" s="230"/>
      <c r="Q888" s="230"/>
      <c r="R888" s="230"/>
      <c r="S888" s="230"/>
      <c r="T888" s="230"/>
      <c r="U888" s="230"/>
      <c r="V888" s="230"/>
      <c r="W888" s="230"/>
      <c r="X888" s="230"/>
      <c r="Y888" s="230"/>
      <c r="Z888" s="230"/>
    </row>
    <row r="889" spans="1:26" ht="15.75" customHeight="1">
      <c r="A889" s="230"/>
      <c r="B889" s="230"/>
      <c r="C889" s="230"/>
      <c r="D889" s="230"/>
      <c r="E889" s="230"/>
      <c r="F889" s="230"/>
      <c r="G889" s="230"/>
      <c r="H889" s="230"/>
      <c r="I889" s="230"/>
      <c r="J889" s="230"/>
      <c r="K889" s="230"/>
      <c r="L889" s="230"/>
      <c r="M889" s="230"/>
      <c r="N889" s="230"/>
      <c r="O889" s="230"/>
      <c r="P889" s="230"/>
      <c r="Q889" s="230"/>
      <c r="R889" s="230"/>
      <c r="S889" s="230"/>
      <c r="T889" s="230"/>
      <c r="U889" s="230"/>
      <c r="V889" s="230"/>
      <c r="W889" s="230"/>
      <c r="X889" s="230"/>
      <c r="Y889" s="230"/>
      <c r="Z889" s="230"/>
    </row>
    <row r="890" spans="1:26" ht="15.75" customHeight="1">
      <c r="A890" s="230"/>
      <c r="B890" s="230"/>
      <c r="C890" s="230"/>
      <c r="D890" s="230"/>
      <c r="E890" s="230"/>
      <c r="F890" s="230"/>
      <c r="G890" s="230"/>
      <c r="H890" s="230"/>
      <c r="I890" s="230"/>
      <c r="J890" s="230"/>
      <c r="K890" s="230"/>
      <c r="L890" s="230"/>
      <c r="M890" s="230"/>
      <c r="N890" s="230"/>
      <c r="O890" s="230"/>
      <c r="P890" s="230"/>
      <c r="Q890" s="230"/>
      <c r="R890" s="230"/>
      <c r="S890" s="230"/>
      <c r="T890" s="230"/>
      <c r="U890" s="230"/>
      <c r="V890" s="230"/>
      <c r="W890" s="230"/>
      <c r="X890" s="230"/>
      <c r="Y890" s="230"/>
      <c r="Z890" s="230"/>
    </row>
    <row r="891" spans="1:26" ht="15.75" customHeight="1">
      <c r="A891" s="230"/>
      <c r="B891" s="230"/>
      <c r="C891" s="230"/>
      <c r="D891" s="230"/>
      <c r="E891" s="230"/>
      <c r="F891" s="230"/>
      <c r="G891" s="230"/>
      <c r="H891" s="230"/>
      <c r="I891" s="230"/>
      <c r="J891" s="230"/>
      <c r="K891" s="230"/>
      <c r="L891" s="230"/>
      <c r="M891" s="230"/>
      <c r="N891" s="230"/>
      <c r="O891" s="230"/>
      <c r="P891" s="230"/>
      <c r="Q891" s="230"/>
      <c r="R891" s="230"/>
      <c r="S891" s="230"/>
      <c r="T891" s="230"/>
      <c r="U891" s="230"/>
      <c r="V891" s="230"/>
      <c r="W891" s="230"/>
      <c r="X891" s="230"/>
      <c r="Y891" s="230"/>
      <c r="Z891" s="230"/>
    </row>
    <row r="892" spans="1:26" ht="15.75" customHeight="1">
      <c r="A892" s="230"/>
      <c r="B892" s="230"/>
      <c r="C892" s="230"/>
      <c r="D892" s="230"/>
      <c r="E892" s="230"/>
      <c r="F892" s="230"/>
      <c r="G892" s="230"/>
      <c r="H892" s="230"/>
      <c r="I892" s="230"/>
      <c r="J892" s="230"/>
      <c r="K892" s="230"/>
      <c r="L892" s="230"/>
      <c r="M892" s="230"/>
      <c r="N892" s="230"/>
      <c r="O892" s="230"/>
      <c r="P892" s="230"/>
      <c r="Q892" s="230"/>
      <c r="R892" s="230"/>
      <c r="S892" s="230"/>
      <c r="T892" s="230"/>
      <c r="U892" s="230"/>
      <c r="V892" s="230"/>
      <c r="W892" s="230"/>
      <c r="X892" s="230"/>
      <c r="Y892" s="230"/>
      <c r="Z892" s="230"/>
    </row>
    <row r="893" spans="1:26" ht="15.75" customHeight="1">
      <c r="A893" s="230"/>
      <c r="B893" s="230"/>
      <c r="C893" s="230"/>
      <c r="D893" s="230"/>
      <c r="E893" s="230"/>
      <c r="F893" s="230"/>
      <c r="G893" s="230"/>
      <c r="H893" s="230"/>
      <c r="I893" s="230"/>
      <c r="J893" s="230"/>
      <c r="K893" s="230"/>
      <c r="L893" s="230"/>
      <c r="M893" s="230"/>
      <c r="N893" s="230"/>
      <c r="O893" s="230"/>
      <c r="P893" s="230"/>
      <c r="Q893" s="230"/>
      <c r="R893" s="230"/>
      <c r="S893" s="230"/>
      <c r="T893" s="230"/>
      <c r="U893" s="230"/>
      <c r="V893" s="230"/>
      <c r="W893" s="230"/>
      <c r="X893" s="230"/>
      <c r="Y893" s="230"/>
      <c r="Z893" s="230"/>
    </row>
    <row r="894" spans="1:26" ht="15.75" customHeight="1">
      <c r="A894" s="230"/>
      <c r="B894" s="230"/>
      <c r="C894" s="230"/>
      <c r="D894" s="230"/>
      <c r="E894" s="230"/>
      <c r="F894" s="230"/>
      <c r="G894" s="230"/>
      <c r="H894" s="230"/>
      <c r="I894" s="230"/>
      <c r="J894" s="230"/>
      <c r="K894" s="230"/>
      <c r="L894" s="230"/>
      <c r="M894" s="230"/>
      <c r="N894" s="230"/>
      <c r="O894" s="230"/>
      <c r="P894" s="230"/>
      <c r="Q894" s="230"/>
      <c r="R894" s="230"/>
      <c r="S894" s="230"/>
      <c r="T894" s="230"/>
      <c r="U894" s="230"/>
      <c r="V894" s="230"/>
      <c r="W894" s="230"/>
      <c r="X894" s="230"/>
      <c r="Y894" s="230"/>
      <c r="Z894" s="230"/>
    </row>
    <row r="895" spans="1:26" ht="15.75" customHeight="1">
      <c r="A895" s="230"/>
      <c r="B895" s="230"/>
      <c r="C895" s="230"/>
      <c r="D895" s="230"/>
      <c r="E895" s="230"/>
      <c r="F895" s="230"/>
      <c r="G895" s="230"/>
      <c r="H895" s="230"/>
      <c r="I895" s="230"/>
      <c r="J895" s="230"/>
      <c r="K895" s="230"/>
      <c r="L895" s="230"/>
      <c r="M895" s="230"/>
      <c r="N895" s="230"/>
      <c r="O895" s="230"/>
      <c r="P895" s="230"/>
      <c r="Q895" s="230"/>
      <c r="R895" s="230"/>
      <c r="S895" s="230"/>
      <c r="T895" s="230"/>
      <c r="U895" s="230"/>
      <c r="V895" s="230"/>
      <c r="W895" s="230"/>
      <c r="X895" s="230"/>
      <c r="Y895" s="230"/>
      <c r="Z895" s="230"/>
    </row>
    <row r="896" spans="1:26" ht="15.75" customHeight="1">
      <c r="A896" s="230"/>
      <c r="B896" s="230"/>
      <c r="C896" s="230"/>
      <c r="D896" s="230"/>
      <c r="E896" s="230"/>
      <c r="F896" s="230"/>
      <c r="G896" s="230"/>
      <c r="H896" s="230"/>
      <c r="I896" s="230"/>
      <c r="J896" s="230"/>
      <c r="K896" s="230"/>
      <c r="L896" s="230"/>
      <c r="M896" s="230"/>
      <c r="N896" s="230"/>
      <c r="O896" s="230"/>
      <c r="P896" s="230"/>
      <c r="Q896" s="230"/>
      <c r="R896" s="230"/>
      <c r="S896" s="230"/>
      <c r="T896" s="230"/>
      <c r="U896" s="230"/>
      <c r="V896" s="230"/>
      <c r="W896" s="230"/>
      <c r="X896" s="230"/>
      <c r="Y896" s="230"/>
      <c r="Z896" s="230"/>
    </row>
    <row r="897" spans="1:26" ht="15.75" customHeight="1">
      <c r="A897" s="230"/>
      <c r="B897" s="230"/>
      <c r="C897" s="230"/>
      <c r="D897" s="230"/>
      <c r="E897" s="230"/>
      <c r="F897" s="230"/>
      <c r="G897" s="230"/>
      <c r="H897" s="230"/>
      <c r="I897" s="230"/>
      <c r="J897" s="230"/>
      <c r="K897" s="230"/>
      <c r="L897" s="230"/>
      <c r="M897" s="230"/>
      <c r="N897" s="230"/>
      <c r="O897" s="230"/>
      <c r="P897" s="230"/>
      <c r="Q897" s="230"/>
      <c r="R897" s="230"/>
      <c r="S897" s="230"/>
      <c r="T897" s="230"/>
      <c r="U897" s="230"/>
      <c r="V897" s="230"/>
      <c r="W897" s="230"/>
      <c r="X897" s="230"/>
      <c r="Y897" s="230"/>
      <c r="Z897" s="230"/>
    </row>
    <row r="898" spans="1:26" ht="15.75" customHeight="1">
      <c r="A898" s="230"/>
      <c r="B898" s="230"/>
      <c r="C898" s="230"/>
      <c r="D898" s="230"/>
      <c r="E898" s="230"/>
      <c r="F898" s="230"/>
      <c r="G898" s="230"/>
      <c r="H898" s="230"/>
      <c r="I898" s="230"/>
      <c r="J898" s="230"/>
      <c r="K898" s="230"/>
      <c r="L898" s="230"/>
      <c r="M898" s="230"/>
      <c r="N898" s="230"/>
      <c r="O898" s="230"/>
      <c r="P898" s="230"/>
      <c r="Q898" s="230"/>
      <c r="R898" s="230"/>
      <c r="S898" s="230"/>
      <c r="T898" s="230"/>
      <c r="U898" s="230"/>
      <c r="V898" s="230"/>
      <c r="W898" s="230"/>
      <c r="X898" s="230"/>
      <c r="Y898" s="230"/>
      <c r="Z898" s="230"/>
    </row>
    <row r="899" spans="1:26" ht="15.75" customHeight="1">
      <c r="A899" s="230"/>
      <c r="B899" s="230"/>
      <c r="C899" s="230"/>
      <c r="D899" s="230"/>
      <c r="E899" s="230"/>
      <c r="F899" s="230"/>
      <c r="G899" s="230"/>
      <c r="H899" s="230"/>
      <c r="I899" s="230"/>
      <c r="J899" s="230"/>
      <c r="K899" s="230"/>
      <c r="L899" s="230"/>
      <c r="M899" s="230"/>
      <c r="N899" s="230"/>
      <c r="O899" s="230"/>
      <c r="P899" s="230"/>
      <c r="Q899" s="230"/>
      <c r="R899" s="230"/>
      <c r="S899" s="230"/>
      <c r="T899" s="230"/>
      <c r="U899" s="230"/>
      <c r="V899" s="230"/>
      <c r="W899" s="230"/>
      <c r="X899" s="230"/>
      <c r="Y899" s="230"/>
      <c r="Z899" s="230"/>
    </row>
    <row r="900" spans="1:26" ht="15.75" customHeight="1">
      <c r="A900" s="230"/>
      <c r="B900" s="230"/>
      <c r="C900" s="230"/>
      <c r="D900" s="230"/>
      <c r="E900" s="230"/>
      <c r="F900" s="230"/>
      <c r="G900" s="230"/>
      <c r="H900" s="230"/>
      <c r="I900" s="230"/>
      <c r="J900" s="230"/>
      <c r="K900" s="230"/>
      <c r="L900" s="230"/>
      <c r="M900" s="230"/>
      <c r="N900" s="230"/>
      <c r="O900" s="230"/>
      <c r="P900" s="230"/>
      <c r="Q900" s="230"/>
      <c r="R900" s="230"/>
      <c r="S900" s="230"/>
      <c r="T900" s="230"/>
      <c r="U900" s="230"/>
      <c r="V900" s="230"/>
      <c r="W900" s="230"/>
      <c r="X900" s="230"/>
      <c r="Y900" s="230"/>
      <c r="Z900" s="230"/>
    </row>
    <row r="901" spans="1:26" ht="15.75" customHeight="1">
      <c r="A901" s="230"/>
      <c r="B901" s="230"/>
      <c r="C901" s="230"/>
      <c r="D901" s="230"/>
      <c r="E901" s="230"/>
      <c r="F901" s="230"/>
      <c r="G901" s="230"/>
      <c r="H901" s="230"/>
      <c r="I901" s="230"/>
      <c r="J901" s="230"/>
      <c r="K901" s="230"/>
      <c r="L901" s="230"/>
      <c r="M901" s="230"/>
      <c r="N901" s="230"/>
      <c r="O901" s="230"/>
      <c r="P901" s="230"/>
      <c r="Q901" s="230"/>
      <c r="R901" s="230"/>
      <c r="S901" s="230"/>
      <c r="T901" s="230"/>
      <c r="U901" s="230"/>
      <c r="V901" s="230"/>
      <c r="W901" s="230"/>
      <c r="X901" s="230"/>
      <c r="Y901" s="230"/>
      <c r="Z901" s="230"/>
    </row>
    <row r="902" spans="1:26" ht="15.75" customHeight="1">
      <c r="A902" s="230"/>
      <c r="B902" s="230"/>
      <c r="C902" s="230"/>
      <c r="D902" s="230"/>
      <c r="E902" s="230"/>
      <c r="F902" s="230"/>
      <c r="G902" s="230"/>
      <c r="H902" s="230"/>
      <c r="I902" s="230"/>
      <c r="J902" s="230"/>
      <c r="K902" s="230"/>
      <c r="L902" s="230"/>
      <c r="M902" s="230"/>
      <c r="N902" s="230"/>
      <c r="O902" s="230"/>
      <c r="P902" s="230"/>
      <c r="Q902" s="230"/>
      <c r="R902" s="230"/>
      <c r="S902" s="230"/>
      <c r="T902" s="230"/>
      <c r="U902" s="230"/>
      <c r="V902" s="230"/>
      <c r="W902" s="230"/>
      <c r="X902" s="230"/>
      <c r="Y902" s="230"/>
      <c r="Z902" s="230"/>
    </row>
    <row r="903" spans="1:26" ht="15.75" customHeight="1">
      <c r="A903" s="230"/>
      <c r="B903" s="230"/>
      <c r="C903" s="230"/>
      <c r="D903" s="230"/>
      <c r="E903" s="230"/>
      <c r="F903" s="230"/>
      <c r="G903" s="230"/>
      <c r="H903" s="230"/>
      <c r="I903" s="230"/>
      <c r="J903" s="230"/>
      <c r="K903" s="230"/>
      <c r="L903" s="230"/>
      <c r="M903" s="230"/>
      <c r="N903" s="230"/>
      <c r="O903" s="230"/>
      <c r="P903" s="230"/>
      <c r="Q903" s="230"/>
      <c r="R903" s="230"/>
      <c r="S903" s="230"/>
      <c r="T903" s="230"/>
      <c r="U903" s="230"/>
      <c r="V903" s="230"/>
      <c r="W903" s="230"/>
      <c r="X903" s="230"/>
      <c r="Y903" s="230"/>
      <c r="Z903" s="230"/>
    </row>
    <row r="904" spans="1:26" ht="15.75" customHeight="1">
      <c r="A904" s="230"/>
      <c r="B904" s="230"/>
      <c r="C904" s="230"/>
      <c r="D904" s="230"/>
      <c r="E904" s="230"/>
      <c r="F904" s="230"/>
      <c r="G904" s="230"/>
      <c r="H904" s="230"/>
      <c r="I904" s="230"/>
      <c r="J904" s="230"/>
      <c r="K904" s="230"/>
      <c r="L904" s="230"/>
      <c r="M904" s="230"/>
      <c r="N904" s="230"/>
      <c r="O904" s="230"/>
      <c r="P904" s="230"/>
      <c r="Q904" s="230"/>
      <c r="R904" s="230"/>
      <c r="S904" s="230"/>
      <c r="T904" s="230"/>
      <c r="U904" s="230"/>
      <c r="V904" s="230"/>
      <c r="W904" s="230"/>
      <c r="X904" s="230"/>
      <c r="Y904" s="230"/>
      <c r="Z904" s="230"/>
    </row>
    <row r="905" spans="1:26" ht="15.75" customHeight="1">
      <c r="A905" s="230"/>
      <c r="B905" s="230"/>
      <c r="C905" s="230"/>
      <c r="D905" s="230"/>
      <c r="E905" s="230"/>
      <c r="F905" s="230"/>
      <c r="G905" s="230"/>
      <c r="H905" s="230"/>
      <c r="I905" s="230"/>
      <c r="J905" s="230"/>
      <c r="K905" s="230"/>
      <c r="L905" s="230"/>
      <c r="M905" s="230"/>
      <c r="N905" s="230"/>
      <c r="O905" s="230"/>
      <c r="P905" s="230"/>
      <c r="Q905" s="230"/>
      <c r="R905" s="230"/>
      <c r="S905" s="230"/>
      <c r="T905" s="230"/>
      <c r="U905" s="230"/>
      <c r="V905" s="230"/>
      <c r="W905" s="230"/>
      <c r="X905" s="230"/>
      <c r="Y905" s="230"/>
      <c r="Z905" s="230"/>
    </row>
    <row r="906" spans="1:26" ht="15.75" customHeight="1">
      <c r="A906" s="230"/>
      <c r="B906" s="230"/>
      <c r="C906" s="230"/>
      <c r="D906" s="230"/>
      <c r="E906" s="230"/>
      <c r="F906" s="230"/>
      <c r="G906" s="230"/>
      <c r="H906" s="230"/>
      <c r="I906" s="230"/>
      <c r="J906" s="230"/>
      <c r="K906" s="230"/>
      <c r="L906" s="230"/>
      <c r="M906" s="230"/>
      <c r="N906" s="230"/>
      <c r="O906" s="230"/>
      <c r="P906" s="230"/>
      <c r="Q906" s="230"/>
      <c r="R906" s="230"/>
      <c r="S906" s="230"/>
      <c r="T906" s="230"/>
      <c r="U906" s="230"/>
      <c r="V906" s="230"/>
      <c r="W906" s="230"/>
      <c r="X906" s="230"/>
      <c r="Y906" s="230"/>
      <c r="Z906" s="230"/>
    </row>
    <row r="907" spans="1:26" ht="15.75" customHeight="1">
      <c r="A907" s="230"/>
      <c r="B907" s="230"/>
      <c r="C907" s="230"/>
      <c r="D907" s="230"/>
      <c r="E907" s="230"/>
      <c r="F907" s="230"/>
      <c r="G907" s="230"/>
      <c r="H907" s="230"/>
      <c r="I907" s="230"/>
      <c r="J907" s="230"/>
      <c r="K907" s="230"/>
      <c r="L907" s="230"/>
      <c r="M907" s="230"/>
      <c r="N907" s="230"/>
      <c r="O907" s="230"/>
      <c r="P907" s="230"/>
      <c r="Q907" s="230"/>
      <c r="R907" s="230"/>
      <c r="S907" s="230"/>
      <c r="T907" s="230"/>
      <c r="U907" s="230"/>
      <c r="V907" s="230"/>
      <c r="W907" s="230"/>
      <c r="X907" s="230"/>
      <c r="Y907" s="230"/>
      <c r="Z907" s="230"/>
    </row>
    <row r="908" spans="1:26" ht="15.75" customHeight="1">
      <c r="A908" s="230"/>
      <c r="B908" s="230"/>
      <c r="C908" s="230"/>
      <c r="D908" s="230"/>
      <c r="E908" s="230"/>
      <c r="F908" s="230"/>
      <c r="G908" s="230"/>
      <c r="H908" s="230"/>
      <c r="I908" s="230"/>
      <c r="J908" s="230"/>
      <c r="K908" s="230"/>
      <c r="L908" s="230"/>
      <c r="M908" s="230"/>
      <c r="N908" s="230"/>
      <c r="O908" s="230"/>
      <c r="P908" s="230"/>
      <c r="Q908" s="230"/>
      <c r="R908" s="230"/>
      <c r="S908" s="230"/>
      <c r="T908" s="230"/>
      <c r="U908" s="230"/>
      <c r="V908" s="230"/>
      <c r="W908" s="230"/>
      <c r="X908" s="230"/>
      <c r="Y908" s="230"/>
      <c r="Z908" s="230"/>
    </row>
    <row r="909" spans="1:26" ht="15.75" customHeight="1">
      <c r="A909" s="230"/>
      <c r="B909" s="230"/>
      <c r="C909" s="230"/>
      <c r="D909" s="230"/>
      <c r="E909" s="230"/>
      <c r="F909" s="230"/>
      <c r="G909" s="230"/>
      <c r="H909" s="230"/>
      <c r="I909" s="230"/>
      <c r="J909" s="230"/>
      <c r="K909" s="230"/>
      <c r="L909" s="230"/>
      <c r="M909" s="230"/>
      <c r="N909" s="230"/>
      <c r="O909" s="230"/>
      <c r="P909" s="230"/>
      <c r="Q909" s="230"/>
      <c r="R909" s="230"/>
      <c r="S909" s="230"/>
      <c r="T909" s="230"/>
      <c r="U909" s="230"/>
      <c r="V909" s="230"/>
      <c r="W909" s="230"/>
      <c r="X909" s="230"/>
      <c r="Y909" s="230"/>
      <c r="Z909" s="230"/>
    </row>
    <row r="910" spans="1:26" ht="15.75" customHeight="1">
      <c r="A910" s="230"/>
      <c r="B910" s="230"/>
      <c r="C910" s="230"/>
      <c r="D910" s="230"/>
      <c r="E910" s="230"/>
      <c r="F910" s="230"/>
      <c r="G910" s="230"/>
      <c r="H910" s="230"/>
      <c r="I910" s="230"/>
      <c r="J910" s="230"/>
      <c r="K910" s="230"/>
      <c r="L910" s="230"/>
      <c r="M910" s="230"/>
      <c r="N910" s="230"/>
      <c r="O910" s="230"/>
      <c r="P910" s="230"/>
      <c r="Q910" s="230"/>
      <c r="R910" s="230"/>
      <c r="S910" s="230"/>
      <c r="T910" s="230"/>
      <c r="U910" s="230"/>
      <c r="V910" s="230"/>
      <c r="W910" s="230"/>
      <c r="X910" s="230"/>
      <c r="Y910" s="230"/>
      <c r="Z910" s="230"/>
    </row>
    <row r="911" spans="1:26" ht="15.75" customHeight="1">
      <c r="A911" s="230"/>
      <c r="B911" s="230"/>
      <c r="C911" s="230"/>
      <c r="D911" s="230"/>
      <c r="E911" s="230"/>
      <c r="F911" s="230"/>
      <c r="G911" s="230"/>
      <c r="H911" s="230"/>
      <c r="I911" s="230"/>
      <c r="J911" s="230"/>
      <c r="K911" s="230"/>
      <c r="L911" s="230"/>
      <c r="M911" s="230"/>
      <c r="N911" s="230"/>
      <c r="O911" s="230"/>
      <c r="P911" s="230"/>
      <c r="Q911" s="230"/>
      <c r="R911" s="230"/>
      <c r="S911" s="230"/>
      <c r="T911" s="230"/>
      <c r="U911" s="230"/>
      <c r="V911" s="230"/>
      <c r="W911" s="230"/>
      <c r="X911" s="230"/>
      <c r="Y911" s="230"/>
      <c r="Z911" s="230"/>
    </row>
    <row r="912" spans="1:26" ht="15.75" customHeight="1">
      <c r="A912" s="230"/>
      <c r="B912" s="230"/>
      <c r="C912" s="230"/>
      <c r="D912" s="230"/>
      <c r="E912" s="230"/>
      <c r="F912" s="230"/>
      <c r="G912" s="230"/>
      <c r="H912" s="230"/>
      <c r="I912" s="230"/>
      <c r="J912" s="230"/>
      <c r="K912" s="230"/>
      <c r="L912" s="230"/>
      <c r="M912" s="230"/>
      <c r="N912" s="230"/>
      <c r="O912" s="230"/>
      <c r="P912" s="230"/>
      <c r="Q912" s="230"/>
      <c r="R912" s="230"/>
      <c r="S912" s="230"/>
      <c r="T912" s="230"/>
      <c r="U912" s="230"/>
      <c r="V912" s="230"/>
      <c r="W912" s="230"/>
      <c r="X912" s="230"/>
      <c r="Y912" s="230"/>
      <c r="Z912" s="230"/>
    </row>
    <row r="913" spans="1:26" ht="15.75" customHeight="1">
      <c r="A913" s="230"/>
      <c r="B913" s="230"/>
      <c r="C913" s="230"/>
      <c r="D913" s="230"/>
      <c r="E913" s="230"/>
      <c r="F913" s="230"/>
      <c r="G913" s="230"/>
      <c r="H913" s="230"/>
      <c r="I913" s="230"/>
      <c r="J913" s="230"/>
      <c r="K913" s="230"/>
      <c r="L913" s="230"/>
      <c r="M913" s="230"/>
      <c r="N913" s="230"/>
      <c r="O913" s="230"/>
      <c r="P913" s="230"/>
      <c r="Q913" s="230"/>
      <c r="R913" s="230"/>
      <c r="S913" s="230"/>
      <c r="T913" s="230"/>
      <c r="U913" s="230"/>
      <c r="V913" s="230"/>
      <c r="W913" s="230"/>
      <c r="X913" s="230"/>
      <c r="Y913" s="230"/>
      <c r="Z913" s="230"/>
    </row>
    <row r="914" spans="1:26" ht="15.75" customHeight="1">
      <c r="A914" s="230"/>
      <c r="B914" s="230"/>
      <c r="C914" s="230"/>
      <c r="D914" s="230"/>
      <c r="E914" s="230"/>
      <c r="F914" s="230"/>
      <c r="G914" s="230"/>
      <c r="H914" s="230"/>
      <c r="I914" s="230"/>
      <c r="J914" s="230"/>
      <c r="K914" s="230"/>
      <c r="L914" s="230"/>
      <c r="M914" s="230"/>
      <c r="N914" s="230"/>
      <c r="O914" s="230"/>
      <c r="P914" s="230"/>
      <c r="Q914" s="230"/>
      <c r="R914" s="230"/>
      <c r="S914" s="230"/>
      <c r="T914" s="230"/>
      <c r="U914" s="230"/>
      <c r="V914" s="230"/>
      <c r="W914" s="230"/>
      <c r="X914" s="230"/>
      <c r="Y914" s="230"/>
      <c r="Z914" s="230"/>
    </row>
    <row r="915" spans="1:26" ht="15.75" customHeight="1">
      <c r="A915" s="230"/>
      <c r="B915" s="230"/>
      <c r="C915" s="230"/>
      <c r="D915" s="230"/>
      <c r="E915" s="230"/>
      <c r="F915" s="230"/>
      <c r="G915" s="230"/>
      <c r="H915" s="230"/>
      <c r="I915" s="230"/>
      <c r="J915" s="230"/>
      <c r="K915" s="230"/>
      <c r="L915" s="230"/>
      <c r="M915" s="230"/>
      <c r="N915" s="230"/>
      <c r="O915" s="230"/>
      <c r="P915" s="230"/>
      <c r="Q915" s="230"/>
      <c r="R915" s="230"/>
      <c r="S915" s="230"/>
      <c r="T915" s="230"/>
      <c r="U915" s="230"/>
      <c r="V915" s="230"/>
      <c r="W915" s="230"/>
      <c r="X915" s="230"/>
      <c r="Y915" s="230"/>
      <c r="Z915" s="230"/>
    </row>
    <row r="916" spans="1:26" ht="15.75" customHeight="1">
      <c r="A916" s="230"/>
      <c r="B916" s="230"/>
      <c r="C916" s="230"/>
      <c r="D916" s="230"/>
      <c r="E916" s="230"/>
      <c r="F916" s="230"/>
      <c r="G916" s="230"/>
      <c r="H916" s="230"/>
      <c r="I916" s="230"/>
      <c r="J916" s="230"/>
      <c r="K916" s="230"/>
      <c r="L916" s="230"/>
      <c r="M916" s="230"/>
      <c r="N916" s="230"/>
      <c r="O916" s="230"/>
      <c r="P916" s="230"/>
      <c r="Q916" s="230"/>
      <c r="R916" s="230"/>
      <c r="S916" s="230"/>
      <c r="T916" s="230"/>
      <c r="U916" s="230"/>
      <c r="V916" s="230"/>
      <c r="W916" s="230"/>
      <c r="X916" s="230"/>
      <c r="Y916" s="230"/>
      <c r="Z916" s="230"/>
    </row>
    <row r="917" spans="1:26" ht="15.75" customHeight="1">
      <c r="A917" s="230"/>
      <c r="B917" s="230"/>
      <c r="C917" s="230"/>
      <c r="D917" s="230"/>
      <c r="E917" s="230"/>
      <c r="F917" s="230"/>
      <c r="G917" s="230"/>
      <c r="H917" s="230"/>
      <c r="I917" s="230"/>
      <c r="J917" s="230"/>
      <c r="K917" s="230"/>
      <c r="L917" s="230"/>
      <c r="M917" s="230"/>
      <c r="N917" s="230"/>
      <c r="O917" s="230"/>
      <c r="P917" s="230"/>
      <c r="Q917" s="230"/>
      <c r="R917" s="230"/>
      <c r="S917" s="230"/>
      <c r="T917" s="230"/>
      <c r="U917" s="230"/>
      <c r="V917" s="230"/>
      <c r="W917" s="230"/>
      <c r="X917" s="230"/>
      <c r="Y917" s="230"/>
      <c r="Z917" s="230"/>
    </row>
    <row r="918" spans="1:26" ht="15.75" customHeight="1">
      <c r="A918" s="230"/>
      <c r="B918" s="230"/>
      <c r="C918" s="230"/>
      <c r="D918" s="230"/>
      <c r="E918" s="230"/>
      <c r="F918" s="230"/>
      <c r="G918" s="230"/>
      <c r="H918" s="230"/>
      <c r="I918" s="230"/>
      <c r="J918" s="230"/>
      <c r="K918" s="230"/>
      <c r="L918" s="230"/>
      <c r="M918" s="230"/>
      <c r="N918" s="230"/>
      <c r="O918" s="230"/>
      <c r="P918" s="230"/>
      <c r="Q918" s="230"/>
      <c r="R918" s="230"/>
      <c r="S918" s="230"/>
      <c r="T918" s="230"/>
      <c r="U918" s="230"/>
      <c r="V918" s="230"/>
      <c r="W918" s="230"/>
      <c r="X918" s="230"/>
      <c r="Y918" s="230"/>
      <c r="Z918" s="230"/>
    </row>
    <row r="919" spans="1:26" ht="15.75" customHeight="1">
      <c r="A919" s="230"/>
      <c r="B919" s="230"/>
      <c r="C919" s="230"/>
      <c r="D919" s="230"/>
      <c r="E919" s="230"/>
      <c r="F919" s="230"/>
      <c r="G919" s="230"/>
      <c r="H919" s="230"/>
      <c r="I919" s="230"/>
      <c r="J919" s="230"/>
      <c r="K919" s="230"/>
      <c r="L919" s="230"/>
      <c r="M919" s="230"/>
      <c r="N919" s="230"/>
      <c r="O919" s="230"/>
      <c r="P919" s="230"/>
      <c r="Q919" s="230"/>
      <c r="R919" s="230"/>
      <c r="S919" s="230"/>
      <c r="T919" s="230"/>
      <c r="U919" s="230"/>
      <c r="V919" s="230"/>
      <c r="W919" s="230"/>
      <c r="X919" s="230"/>
      <c r="Y919" s="230"/>
      <c r="Z919" s="230"/>
    </row>
    <row r="920" spans="1:26" ht="15.75" customHeight="1">
      <c r="A920" s="230"/>
      <c r="B920" s="230"/>
      <c r="C920" s="230"/>
      <c r="D920" s="230"/>
      <c r="E920" s="230"/>
      <c r="F920" s="230"/>
      <c r="G920" s="230"/>
      <c r="H920" s="230"/>
      <c r="I920" s="230"/>
      <c r="J920" s="230"/>
      <c r="K920" s="230"/>
      <c r="L920" s="230"/>
      <c r="M920" s="230"/>
      <c r="N920" s="230"/>
      <c r="O920" s="230"/>
      <c r="P920" s="230"/>
      <c r="Q920" s="230"/>
      <c r="R920" s="230"/>
      <c r="S920" s="230"/>
      <c r="T920" s="230"/>
      <c r="U920" s="230"/>
      <c r="V920" s="230"/>
      <c r="W920" s="230"/>
      <c r="X920" s="230"/>
      <c r="Y920" s="230"/>
      <c r="Z920" s="230"/>
    </row>
    <row r="921" spans="1:26" ht="15.75" customHeight="1">
      <c r="A921" s="230"/>
      <c r="B921" s="230"/>
      <c r="C921" s="230"/>
      <c r="D921" s="230"/>
      <c r="E921" s="230"/>
      <c r="F921" s="230"/>
      <c r="G921" s="230"/>
      <c r="H921" s="230"/>
      <c r="I921" s="230"/>
      <c r="J921" s="230"/>
      <c r="K921" s="230"/>
      <c r="L921" s="230"/>
      <c r="M921" s="230"/>
      <c r="N921" s="230"/>
      <c r="O921" s="230"/>
      <c r="P921" s="230"/>
      <c r="Q921" s="230"/>
      <c r="R921" s="230"/>
      <c r="S921" s="230"/>
      <c r="T921" s="230"/>
      <c r="U921" s="230"/>
      <c r="V921" s="230"/>
      <c r="W921" s="230"/>
      <c r="X921" s="230"/>
      <c r="Y921" s="230"/>
      <c r="Z921" s="230"/>
    </row>
    <row r="922" spans="1:26" ht="15.75" customHeight="1">
      <c r="A922" s="230"/>
      <c r="B922" s="230"/>
      <c r="C922" s="230"/>
      <c r="D922" s="230"/>
      <c r="E922" s="230"/>
      <c r="F922" s="230"/>
      <c r="G922" s="230"/>
      <c r="H922" s="230"/>
      <c r="I922" s="230"/>
      <c r="J922" s="230"/>
      <c r="K922" s="230"/>
      <c r="L922" s="230"/>
      <c r="M922" s="230"/>
      <c r="N922" s="230"/>
      <c r="O922" s="230"/>
      <c r="P922" s="230"/>
      <c r="Q922" s="230"/>
      <c r="R922" s="230"/>
      <c r="S922" s="230"/>
      <c r="T922" s="230"/>
      <c r="U922" s="230"/>
      <c r="V922" s="230"/>
      <c r="W922" s="230"/>
      <c r="X922" s="230"/>
      <c r="Y922" s="230"/>
      <c r="Z922" s="230"/>
    </row>
    <row r="923" spans="1:26" ht="15.75" customHeight="1">
      <c r="A923" s="230"/>
      <c r="B923" s="230"/>
      <c r="C923" s="230"/>
      <c r="D923" s="230"/>
      <c r="E923" s="230"/>
      <c r="F923" s="230"/>
      <c r="G923" s="230"/>
      <c r="H923" s="230"/>
      <c r="I923" s="230"/>
      <c r="J923" s="230"/>
      <c r="K923" s="230"/>
      <c r="L923" s="230"/>
      <c r="M923" s="230"/>
      <c r="N923" s="230"/>
      <c r="O923" s="230"/>
      <c r="P923" s="230"/>
      <c r="Q923" s="230"/>
      <c r="R923" s="230"/>
      <c r="S923" s="230"/>
      <c r="T923" s="230"/>
      <c r="U923" s="230"/>
      <c r="V923" s="230"/>
      <c r="W923" s="230"/>
      <c r="X923" s="230"/>
      <c r="Y923" s="230"/>
      <c r="Z923" s="230"/>
    </row>
    <row r="924" spans="1:26" ht="15.75" customHeight="1">
      <c r="A924" s="230"/>
      <c r="B924" s="230"/>
      <c r="C924" s="230"/>
      <c r="D924" s="230"/>
      <c r="E924" s="230"/>
      <c r="F924" s="230"/>
      <c r="G924" s="230"/>
      <c r="H924" s="230"/>
      <c r="I924" s="230"/>
      <c r="J924" s="230"/>
      <c r="K924" s="230"/>
      <c r="L924" s="230"/>
      <c r="M924" s="230"/>
      <c r="N924" s="230"/>
      <c r="O924" s="230"/>
      <c r="P924" s="230"/>
      <c r="Q924" s="230"/>
      <c r="R924" s="230"/>
      <c r="S924" s="230"/>
      <c r="T924" s="230"/>
      <c r="U924" s="230"/>
      <c r="V924" s="230"/>
      <c r="W924" s="230"/>
      <c r="X924" s="230"/>
      <c r="Y924" s="230"/>
      <c r="Z924" s="230"/>
    </row>
    <row r="925" spans="1:26" ht="15.75" customHeight="1">
      <c r="A925" s="230"/>
      <c r="B925" s="230"/>
      <c r="C925" s="230"/>
      <c r="D925" s="230"/>
      <c r="E925" s="230"/>
      <c r="F925" s="230"/>
      <c r="G925" s="230"/>
      <c r="H925" s="230"/>
      <c r="I925" s="230"/>
      <c r="J925" s="230"/>
      <c r="K925" s="230"/>
      <c r="L925" s="230"/>
      <c r="M925" s="230"/>
      <c r="N925" s="230"/>
      <c r="O925" s="230"/>
      <c r="P925" s="230"/>
      <c r="Q925" s="230"/>
      <c r="R925" s="230"/>
      <c r="S925" s="230"/>
      <c r="T925" s="230"/>
      <c r="U925" s="230"/>
      <c r="V925" s="230"/>
      <c r="W925" s="230"/>
      <c r="X925" s="230"/>
      <c r="Y925" s="230"/>
      <c r="Z925" s="230"/>
    </row>
    <row r="926" spans="1:26" ht="15.75" customHeight="1">
      <c r="A926" s="230"/>
      <c r="B926" s="230"/>
      <c r="C926" s="230"/>
      <c r="D926" s="230"/>
      <c r="E926" s="230"/>
      <c r="F926" s="230"/>
      <c r="G926" s="230"/>
      <c r="H926" s="230"/>
      <c r="I926" s="230"/>
      <c r="J926" s="230"/>
      <c r="K926" s="230"/>
      <c r="L926" s="230"/>
      <c r="M926" s="230"/>
      <c r="N926" s="230"/>
      <c r="O926" s="230"/>
      <c r="P926" s="230"/>
      <c r="Q926" s="230"/>
      <c r="R926" s="230"/>
      <c r="S926" s="230"/>
      <c r="T926" s="230"/>
      <c r="U926" s="230"/>
      <c r="V926" s="230"/>
      <c r="W926" s="230"/>
      <c r="X926" s="230"/>
      <c r="Y926" s="230"/>
      <c r="Z926" s="230"/>
    </row>
    <row r="927" spans="1:26" ht="15.75" customHeight="1">
      <c r="A927" s="230"/>
      <c r="B927" s="230"/>
      <c r="C927" s="230"/>
      <c r="D927" s="230"/>
      <c r="E927" s="230"/>
      <c r="F927" s="230"/>
      <c r="G927" s="230"/>
      <c r="H927" s="230"/>
      <c r="I927" s="230"/>
      <c r="J927" s="230"/>
      <c r="K927" s="230"/>
      <c r="L927" s="230"/>
      <c r="M927" s="230"/>
      <c r="N927" s="230"/>
      <c r="O927" s="230"/>
      <c r="P927" s="230"/>
      <c r="Q927" s="230"/>
      <c r="R927" s="230"/>
      <c r="S927" s="230"/>
      <c r="T927" s="230"/>
      <c r="U927" s="230"/>
      <c r="V927" s="230"/>
      <c r="W927" s="230"/>
      <c r="X927" s="230"/>
      <c r="Y927" s="230"/>
      <c r="Z927" s="230"/>
    </row>
    <row r="928" spans="1:26" ht="15.75" customHeight="1">
      <c r="A928" s="230"/>
      <c r="B928" s="230"/>
      <c r="C928" s="230"/>
      <c r="D928" s="230"/>
      <c r="E928" s="230"/>
      <c r="F928" s="230"/>
      <c r="G928" s="230"/>
      <c r="H928" s="230"/>
      <c r="I928" s="230"/>
      <c r="J928" s="230"/>
      <c r="K928" s="230"/>
      <c r="L928" s="230"/>
      <c r="M928" s="230"/>
      <c r="N928" s="230"/>
      <c r="O928" s="230"/>
      <c r="P928" s="230"/>
      <c r="Q928" s="230"/>
      <c r="R928" s="230"/>
      <c r="S928" s="230"/>
      <c r="T928" s="230"/>
      <c r="U928" s="230"/>
      <c r="V928" s="230"/>
      <c r="W928" s="230"/>
      <c r="X928" s="230"/>
      <c r="Y928" s="230"/>
      <c r="Z928" s="230"/>
    </row>
    <row r="929" spans="1:26" ht="15.75" customHeight="1">
      <c r="A929" s="230"/>
      <c r="B929" s="230"/>
      <c r="C929" s="230"/>
      <c r="D929" s="230"/>
      <c r="E929" s="230"/>
      <c r="F929" s="230"/>
      <c r="G929" s="230"/>
      <c r="H929" s="230"/>
      <c r="I929" s="230"/>
      <c r="J929" s="230"/>
      <c r="K929" s="230"/>
      <c r="L929" s="230"/>
      <c r="M929" s="230"/>
      <c r="N929" s="230"/>
      <c r="O929" s="230"/>
      <c r="P929" s="230"/>
      <c r="Q929" s="230"/>
      <c r="R929" s="230"/>
      <c r="S929" s="230"/>
      <c r="T929" s="230"/>
      <c r="U929" s="230"/>
      <c r="V929" s="230"/>
      <c r="W929" s="230"/>
      <c r="X929" s="230"/>
      <c r="Y929" s="230"/>
      <c r="Z929" s="230"/>
    </row>
    <row r="930" spans="1:26" ht="15.75" customHeight="1">
      <c r="A930" s="230"/>
      <c r="B930" s="230"/>
      <c r="C930" s="230"/>
      <c r="D930" s="230"/>
      <c r="E930" s="230"/>
      <c r="F930" s="230"/>
      <c r="G930" s="230"/>
      <c r="H930" s="230"/>
      <c r="I930" s="230"/>
      <c r="J930" s="230"/>
      <c r="K930" s="230"/>
      <c r="L930" s="230"/>
      <c r="M930" s="230"/>
      <c r="N930" s="230"/>
      <c r="O930" s="230"/>
      <c r="P930" s="230"/>
      <c r="Q930" s="230"/>
      <c r="R930" s="230"/>
      <c r="S930" s="230"/>
      <c r="T930" s="230"/>
      <c r="U930" s="230"/>
      <c r="V930" s="230"/>
      <c r="W930" s="230"/>
      <c r="X930" s="230"/>
      <c r="Y930" s="230"/>
      <c r="Z930" s="230"/>
    </row>
    <row r="931" spans="1:26" ht="15.75" customHeight="1">
      <c r="A931" s="230"/>
      <c r="B931" s="230"/>
      <c r="C931" s="230"/>
      <c r="D931" s="230"/>
      <c r="E931" s="230"/>
      <c r="F931" s="230"/>
      <c r="G931" s="230"/>
      <c r="H931" s="230"/>
      <c r="I931" s="230"/>
      <c r="J931" s="230"/>
      <c r="K931" s="230"/>
      <c r="L931" s="230"/>
      <c r="M931" s="230"/>
      <c r="N931" s="230"/>
      <c r="O931" s="230"/>
      <c r="P931" s="230"/>
      <c r="Q931" s="230"/>
      <c r="R931" s="230"/>
      <c r="S931" s="230"/>
      <c r="T931" s="230"/>
      <c r="U931" s="230"/>
      <c r="V931" s="230"/>
      <c r="W931" s="230"/>
      <c r="X931" s="230"/>
      <c r="Y931" s="230"/>
      <c r="Z931" s="230"/>
    </row>
    <row r="932" spans="1:26" ht="15.75" customHeight="1">
      <c r="A932" s="230"/>
      <c r="B932" s="230"/>
      <c r="C932" s="230"/>
      <c r="D932" s="230"/>
      <c r="E932" s="230"/>
      <c r="F932" s="230"/>
      <c r="G932" s="230"/>
      <c r="H932" s="230"/>
      <c r="I932" s="230"/>
      <c r="J932" s="230"/>
      <c r="K932" s="230"/>
      <c r="L932" s="230"/>
      <c r="M932" s="230"/>
      <c r="N932" s="230"/>
      <c r="O932" s="230"/>
      <c r="P932" s="230"/>
      <c r="Q932" s="230"/>
      <c r="R932" s="230"/>
      <c r="S932" s="230"/>
      <c r="T932" s="230"/>
      <c r="U932" s="230"/>
      <c r="V932" s="230"/>
      <c r="W932" s="230"/>
      <c r="X932" s="230"/>
      <c r="Y932" s="230"/>
      <c r="Z932" s="230"/>
    </row>
    <row r="933" spans="1:26" ht="15.75" customHeight="1">
      <c r="A933" s="230"/>
      <c r="B933" s="230"/>
      <c r="C933" s="230"/>
      <c r="D933" s="230"/>
      <c r="E933" s="230"/>
      <c r="F933" s="230"/>
      <c r="G933" s="230"/>
      <c r="H933" s="230"/>
      <c r="I933" s="230"/>
      <c r="J933" s="230"/>
      <c r="K933" s="230"/>
      <c r="L933" s="230"/>
      <c r="M933" s="230"/>
      <c r="N933" s="230"/>
      <c r="O933" s="230"/>
      <c r="P933" s="230"/>
      <c r="Q933" s="230"/>
      <c r="R933" s="230"/>
      <c r="S933" s="230"/>
      <c r="T933" s="230"/>
      <c r="U933" s="230"/>
      <c r="V933" s="230"/>
      <c r="W933" s="230"/>
      <c r="X933" s="230"/>
      <c r="Y933" s="230"/>
      <c r="Z933" s="230"/>
    </row>
    <row r="934" spans="1:26" ht="15.75" customHeight="1">
      <c r="A934" s="230"/>
      <c r="B934" s="230"/>
      <c r="C934" s="230"/>
      <c r="D934" s="230"/>
      <c r="E934" s="230"/>
      <c r="F934" s="230"/>
      <c r="G934" s="230"/>
      <c r="H934" s="230"/>
      <c r="I934" s="230"/>
      <c r="J934" s="230"/>
      <c r="K934" s="230"/>
      <c r="L934" s="230"/>
      <c r="M934" s="230"/>
      <c r="N934" s="230"/>
      <c r="O934" s="230"/>
      <c r="P934" s="230"/>
      <c r="Q934" s="230"/>
      <c r="R934" s="230"/>
      <c r="S934" s="230"/>
      <c r="T934" s="230"/>
      <c r="U934" s="230"/>
      <c r="V934" s="230"/>
      <c r="W934" s="230"/>
      <c r="X934" s="230"/>
      <c r="Y934" s="230"/>
      <c r="Z934" s="230"/>
    </row>
    <row r="935" spans="1:26" ht="15.75" customHeight="1">
      <c r="A935" s="230"/>
      <c r="B935" s="230"/>
      <c r="C935" s="230"/>
      <c r="D935" s="230"/>
      <c r="E935" s="230"/>
      <c r="F935" s="230"/>
      <c r="G935" s="230"/>
      <c r="H935" s="230"/>
      <c r="I935" s="230"/>
      <c r="J935" s="230"/>
      <c r="K935" s="230"/>
      <c r="L935" s="230"/>
      <c r="M935" s="230"/>
      <c r="N935" s="230"/>
      <c r="O935" s="230"/>
      <c r="P935" s="230"/>
      <c r="Q935" s="230"/>
      <c r="R935" s="230"/>
      <c r="S935" s="230"/>
      <c r="T935" s="230"/>
      <c r="U935" s="230"/>
      <c r="V935" s="230"/>
      <c r="W935" s="230"/>
      <c r="X935" s="230"/>
      <c r="Y935" s="230"/>
      <c r="Z935" s="230"/>
    </row>
    <row r="936" spans="1:26" ht="15.75" customHeight="1">
      <c r="A936" s="230"/>
      <c r="B936" s="230"/>
      <c r="C936" s="230"/>
      <c r="D936" s="230"/>
      <c r="E936" s="230"/>
      <c r="F936" s="230"/>
      <c r="G936" s="230"/>
      <c r="H936" s="230"/>
      <c r="I936" s="230"/>
      <c r="J936" s="230"/>
      <c r="K936" s="230"/>
      <c r="L936" s="230"/>
      <c r="M936" s="230"/>
      <c r="N936" s="230"/>
      <c r="O936" s="230"/>
      <c r="P936" s="230"/>
      <c r="Q936" s="230"/>
      <c r="R936" s="230"/>
      <c r="S936" s="230"/>
      <c r="T936" s="230"/>
      <c r="U936" s="230"/>
      <c r="V936" s="230"/>
      <c r="W936" s="230"/>
      <c r="X936" s="230"/>
      <c r="Y936" s="230"/>
      <c r="Z936" s="230"/>
    </row>
    <row r="937" spans="1:26" ht="15.75" customHeight="1">
      <c r="A937" s="230"/>
      <c r="B937" s="230"/>
      <c r="C937" s="230"/>
      <c r="D937" s="230"/>
      <c r="E937" s="230"/>
      <c r="F937" s="230"/>
      <c r="G937" s="230"/>
      <c r="H937" s="230"/>
      <c r="I937" s="230"/>
      <c r="J937" s="230"/>
      <c r="K937" s="230"/>
      <c r="L937" s="230"/>
      <c r="M937" s="230"/>
      <c r="N937" s="230"/>
      <c r="O937" s="230"/>
      <c r="P937" s="230"/>
      <c r="Q937" s="230"/>
      <c r="R937" s="230"/>
      <c r="S937" s="230"/>
      <c r="T937" s="230"/>
      <c r="U937" s="230"/>
      <c r="V937" s="230"/>
      <c r="W937" s="230"/>
      <c r="X937" s="230"/>
      <c r="Y937" s="230"/>
      <c r="Z937" s="230"/>
    </row>
    <row r="938" spans="1:26" ht="15.75" customHeight="1">
      <c r="A938" s="230"/>
      <c r="B938" s="230"/>
      <c r="C938" s="230"/>
      <c r="D938" s="230"/>
      <c r="E938" s="230"/>
      <c r="F938" s="230"/>
      <c r="G938" s="230"/>
      <c r="H938" s="230"/>
      <c r="I938" s="230"/>
      <c r="J938" s="230"/>
      <c r="K938" s="230"/>
      <c r="L938" s="230"/>
      <c r="M938" s="230"/>
      <c r="N938" s="230"/>
      <c r="O938" s="230"/>
      <c r="P938" s="230"/>
      <c r="Q938" s="230"/>
      <c r="R938" s="230"/>
      <c r="S938" s="230"/>
      <c r="T938" s="230"/>
      <c r="U938" s="230"/>
      <c r="V938" s="230"/>
      <c r="W938" s="230"/>
      <c r="X938" s="230"/>
      <c r="Y938" s="230"/>
      <c r="Z938" s="230"/>
    </row>
    <row r="939" spans="1:26" ht="15.75" customHeight="1">
      <c r="A939" s="230"/>
      <c r="B939" s="230"/>
      <c r="C939" s="230"/>
      <c r="D939" s="230"/>
      <c r="E939" s="230"/>
      <c r="F939" s="230"/>
      <c r="G939" s="230"/>
      <c r="H939" s="230"/>
      <c r="I939" s="230"/>
      <c r="J939" s="230"/>
      <c r="K939" s="230"/>
      <c r="L939" s="230"/>
      <c r="M939" s="230"/>
      <c r="N939" s="230"/>
      <c r="O939" s="230"/>
      <c r="P939" s="230"/>
      <c r="Q939" s="230"/>
      <c r="R939" s="230"/>
      <c r="S939" s="230"/>
      <c r="T939" s="230"/>
      <c r="U939" s="230"/>
      <c r="V939" s="230"/>
      <c r="W939" s="230"/>
      <c r="X939" s="230"/>
      <c r="Y939" s="230"/>
      <c r="Z939" s="230"/>
    </row>
    <row r="940" spans="1:26" ht="15.75" customHeight="1">
      <c r="A940" s="230"/>
      <c r="B940" s="230"/>
      <c r="C940" s="230"/>
      <c r="D940" s="230"/>
      <c r="E940" s="230"/>
      <c r="F940" s="230"/>
      <c r="G940" s="230"/>
      <c r="H940" s="230"/>
      <c r="I940" s="230"/>
      <c r="J940" s="230"/>
      <c r="K940" s="230"/>
      <c r="L940" s="230"/>
      <c r="M940" s="230"/>
      <c r="N940" s="230"/>
      <c r="O940" s="230"/>
      <c r="P940" s="230"/>
      <c r="Q940" s="230"/>
      <c r="R940" s="230"/>
      <c r="S940" s="230"/>
      <c r="T940" s="230"/>
      <c r="U940" s="230"/>
      <c r="V940" s="230"/>
      <c r="W940" s="230"/>
      <c r="X940" s="230"/>
      <c r="Y940" s="230"/>
      <c r="Z940" s="230"/>
    </row>
    <row r="941" spans="1:26" ht="15.75" customHeight="1">
      <c r="A941" s="230"/>
      <c r="B941" s="230"/>
      <c r="C941" s="230"/>
      <c r="D941" s="230"/>
      <c r="E941" s="230"/>
      <c r="F941" s="230"/>
      <c r="G941" s="230"/>
      <c r="H941" s="230"/>
      <c r="I941" s="230"/>
      <c r="J941" s="230"/>
      <c r="K941" s="230"/>
      <c r="L941" s="230"/>
      <c r="M941" s="230"/>
      <c r="N941" s="230"/>
      <c r="O941" s="230"/>
      <c r="P941" s="230"/>
      <c r="Q941" s="230"/>
      <c r="R941" s="230"/>
      <c r="S941" s="230"/>
      <c r="T941" s="230"/>
      <c r="U941" s="230"/>
      <c r="V941" s="230"/>
      <c r="W941" s="230"/>
      <c r="X941" s="230"/>
      <c r="Y941" s="230"/>
      <c r="Z941" s="230"/>
    </row>
    <row r="942" spans="1:26" ht="15.75" customHeight="1">
      <c r="A942" s="230"/>
      <c r="B942" s="230"/>
      <c r="C942" s="230"/>
      <c r="D942" s="230"/>
      <c r="E942" s="230"/>
      <c r="F942" s="230"/>
      <c r="G942" s="230"/>
      <c r="H942" s="230"/>
      <c r="I942" s="230"/>
      <c r="J942" s="230"/>
      <c r="K942" s="230"/>
      <c r="L942" s="230"/>
      <c r="M942" s="230"/>
      <c r="N942" s="230"/>
      <c r="O942" s="230"/>
      <c r="P942" s="230"/>
      <c r="Q942" s="230"/>
      <c r="R942" s="230"/>
      <c r="S942" s="230"/>
      <c r="T942" s="230"/>
      <c r="U942" s="230"/>
      <c r="V942" s="230"/>
      <c r="W942" s="230"/>
      <c r="X942" s="230"/>
      <c r="Y942" s="230"/>
      <c r="Z942" s="230"/>
    </row>
    <row r="943" spans="1:26" ht="15.75" customHeight="1">
      <c r="A943" s="230"/>
      <c r="B943" s="230"/>
      <c r="C943" s="230"/>
      <c r="D943" s="230"/>
      <c r="E943" s="230"/>
      <c r="F943" s="230"/>
      <c r="G943" s="230"/>
      <c r="H943" s="230"/>
      <c r="I943" s="230"/>
      <c r="J943" s="230"/>
      <c r="K943" s="230"/>
      <c r="L943" s="230"/>
      <c r="M943" s="230"/>
      <c r="N943" s="230"/>
      <c r="O943" s="230"/>
      <c r="P943" s="230"/>
      <c r="Q943" s="230"/>
      <c r="R943" s="230"/>
      <c r="S943" s="230"/>
      <c r="T943" s="230"/>
      <c r="U943" s="230"/>
      <c r="V943" s="230"/>
      <c r="W943" s="230"/>
      <c r="X943" s="230"/>
      <c r="Y943" s="230"/>
      <c r="Z943" s="230"/>
    </row>
    <row r="944" spans="1:26" ht="15.75" customHeight="1">
      <c r="A944" s="230"/>
      <c r="B944" s="230"/>
      <c r="C944" s="230"/>
      <c r="D944" s="230"/>
      <c r="E944" s="230"/>
      <c r="F944" s="230"/>
      <c r="G944" s="230"/>
      <c r="H944" s="230"/>
      <c r="I944" s="230"/>
      <c r="J944" s="230"/>
      <c r="K944" s="230"/>
      <c r="L944" s="230"/>
      <c r="M944" s="230"/>
      <c r="N944" s="230"/>
      <c r="O944" s="230"/>
      <c r="P944" s="230"/>
      <c r="Q944" s="230"/>
      <c r="R944" s="230"/>
      <c r="S944" s="230"/>
      <c r="T944" s="230"/>
      <c r="U944" s="230"/>
      <c r="V944" s="230"/>
      <c r="W944" s="230"/>
      <c r="X944" s="230"/>
      <c r="Y944" s="230"/>
      <c r="Z944" s="230"/>
    </row>
    <row r="945" spans="1:26" ht="15.75" customHeight="1">
      <c r="A945" s="230"/>
      <c r="B945" s="230"/>
      <c r="C945" s="230"/>
      <c r="D945" s="230"/>
      <c r="E945" s="230"/>
      <c r="F945" s="230"/>
      <c r="G945" s="230"/>
      <c r="H945" s="230"/>
      <c r="I945" s="230"/>
      <c r="J945" s="230"/>
      <c r="K945" s="230"/>
      <c r="L945" s="230"/>
      <c r="M945" s="230"/>
      <c r="N945" s="230"/>
      <c r="O945" s="230"/>
      <c r="P945" s="230"/>
      <c r="Q945" s="230"/>
      <c r="R945" s="230"/>
      <c r="S945" s="230"/>
      <c r="T945" s="230"/>
      <c r="U945" s="230"/>
      <c r="V945" s="230"/>
      <c r="W945" s="230"/>
      <c r="X945" s="230"/>
      <c r="Y945" s="230"/>
      <c r="Z945" s="230"/>
    </row>
    <row r="946" spans="1:26" ht="15.75" customHeight="1">
      <c r="A946" s="230"/>
      <c r="B946" s="230"/>
      <c r="C946" s="230"/>
      <c r="D946" s="230"/>
      <c r="E946" s="230"/>
      <c r="F946" s="230"/>
      <c r="G946" s="230"/>
      <c r="H946" s="230"/>
      <c r="I946" s="230"/>
      <c r="J946" s="230"/>
      <c r="K946" s="230"/>
      <c r="L946" s="230"/>
      <c r="M946" s="230"/>
      <c r="N946" s="230"/>
      <c r="O946" s="230"/>
      <c r="P946" s="230"/>
      <c r="Q946" s="230"/>
      <c r="R946" s="230"/>
      <c r="S946" s="230"/>
      <c r="T946" s="230"/>
      <c r="U946" s="230"/>
      <c r="V946" s="230"/>
      <c r="W946" s="230"/>
      <c r="X946" s="230"/>
      <c r="Y946" s="230"/>
      <c r="Z946" s="230"/>
    </row>
    <row r="947" spans="1:26" ht="15.75" customHeight="1">
      <c r="A947" s="230"/>
      <c r="B947" s="230"/>
      <c r="C947" s="230"/>
      <c r="D947" s="230"/>
      <c r="E947" s="230"/>
      <c r="F947" s="230"/>
      <c r="G947" s="230"/>
      <c r="H947" s="230"/>
      <c r="I947" s="230"/>
      <c r="J947" s="230"/>
      <c r="K947" s="230"/>
      <c r="L947" s="230"/>
      <c r="M947" s="230"/>
      <c r="N947" s="230"/>
      <c r="O947" s="230"/>
      <c r="P947" s="230"/>
      <c r="Q947" s="230"/>
      <c r="R947" s="230"/>
      <c r="S947" s="230"/>
      <c r="T947" s="230"/>
      <c r="U947" s="230"/>
      <c r="V947" s="230"/>
      <c r="W947" s="230"/>
      <c r="X947" s="230"/>
      <c r="Y947" s="230"/>
      <c r="Z947" s="230"/>
    </row>
    <row r="948" spans="1:26" ht="15.75" customHeight="1">
      <c r="A948" s="230"/>
      <c r="B948" s="230"/>
      <c r="C948" s="230"/>
      <c r="D948" s="230"/>
      <c r="E948" s="230"/>
      <c r="F948" s="230"/>
      <c r="G948" s="230"/>
      <c r="H948" s="230"/>
      <c r="I948" s="230"/>
      <c r="J948" s="230"/>
      <c r="K948" s="230"/>
      <c r="L948" s="230"/>
      <c r="M948" s="230"/>
      <c r="N948" s="230"/>
      <c r="O948" s="230"/>
      <c r="P948" s="230"/>
      <c r="Q948" s="230"/>
      <c r="R948" s="230"/>
      <c r="S948" s="230"/>
      <c r="T948" s="230"/>
      <c r="U948" s="230"/>
      <c r="V948" s="230"/>
      <c r="W948" s="230"/>
      <c r="X948" s="230"/>
      <c r="Y948" s="230"/>
      <c r="Z948" s="230"/>
    </row>
    <row r="949" spans="1:26" ht="15.75" customHeight="1">
      <c r="A949" s="230"/>
      <c r="B949" s="230"/>
      <c r="C949" s="230"/>
      <c r="D949" s="230"/>
      <c r="E949" s="230"/>
      <c r="F949" s="230"/>
      <c r="G949" s="230"/>
      <c r="H949" s="230"/>
      <c r="I949" s="230"/>
      <c r="J949" s="230"/>
      <c r="K949" s="230"/>
      <c r="L949" s="230"/>
      <c r="M949" s="230"/>
      <c r="N949" s="230"/>
      <c r="O949" s="230"/>
      <c r="P949" s="230"/>
      <c r="Q949" s="230"/>
      <c r="R949" s="230"/>
      <c r="S949" s="230"/>
      <c r="T949" s="230"/>
      <c r="U949" s="230"/>
      <c r="V949" s="230"/>
      <c r="W949" s="230"/>
      <c r="X949" s="230"/>
      <c r="Y949" s="230"/>
      <c r="Z949" s="230"/>
    </row>
    <row r="950" spans="1:26" ht="15.75" customHeight="1">
      <c r="A950" s="230"/>
      <c r="B950" s="230"/>
      <c r="C950" s="230"/>
      <c r="D950" s="230"/>
      <c r="E950" s="230"/>
      <c r="F950" s="230"/>
      <c r="G950" s="230"/>
      <c r="H950" s="230"/>
      <c r="I950" s="230"/>
      <c r="J950" s="230"/>
      <c r="K950" s="230"/>
      <c r="L950" s="230"/>
      <c r="M950" s="230"/>
      <c r="N950" s="230"/>
      <c r="O950" s="230"/>
      <c r="P950" s="230"/>
      <c r="Q950" s="230"/>
      <c r="R950" s="230"/>
      <c r="S950" s="230"/>
      <c r="T950" s="230"/>
      <c r="U950" s="230"/>
      <c r="V950" s="230"/>
      <c r="W950" s="230"/>
      <c r="X950" s="230"/>
      <c r="Y950" s="230"/>
      <c r="Z950" s="230"/>
    </row>
    <row r="951" spans="1:26" ht="15.75" customHeight="1">
      <c r="A951" s="230"/>
      <c r="B951" s="230"/>
      <c r="C951" s="230"/>
      <c r="D951" s="230"/>
      <c r="E951" s="230"/>
      <c r="F951" s="230"/>
      <c r="G951" s="230"/>
      <c r="H951" s="230"/>
      <c r="I951" s="230"/>
      <c r="J951" s="230"/>
      <c r="K951" s="230"/>
      <c r="L951" s="230"/>
      <c r="M951" s="230"/>
      <c r="N951" s="230"/>
      <c r="O951" s="230"/>
      <c r="P951" s="230"/>
      <c r="Q951" s="230"/>
      <c r="R951" s="230"/>
      <c r="S951" s="230"/>
      <c r="T951" s="230"/>
      <c r="U951" s="230"/>
      <c r="V951" s="230"/>
      <c r="W951" s="230"/>
      <c r="X951" s="230"/>
      <c r="Y951" s="230"/>
      <c r="Z951" s="230"/>
    </row>
    <row r="952" spans="1:26" ht="15.75" customHeight="1">
      <c r="A952" s="230"/>
      <c r="B952" s="230"/>
      <c r="C952" s="230"/>
      <c r="D952" s="230"/>
      <c r="E952" s="230"/>
      <c r="F952" s="230"/>
      <c r="G952" s="230"/>
      <c r="H952" s="230"/>
      <c r="I952" s="230"/>
      <c r="J952" s="230"/>
      <c r="K952" s="230"/>
      <c r="L952" s="230"/>
      <c r="M952" s="230"/>
      <c r="N952" s="230"/>
      <c r="O952" s="230"/>
      <c r="P952" s="230"/>
      <c r="Q952" s="230"/>
      <c r="R952" s="230"/>
      <c r="S952" s="230"/>
      <c r="T952" s="230"/>
      <c r="U952" s="230"/>
      <c r="V952" s="230"/>
      <c r="W952" s="230"/>
      <c r="X952" s="230"/>
      <c r="Y952" s="230"/>
      <c r="Z952" s="230"/>
    </row>
    <row r="953" spans="1:26" ht="15.75" customHeight="1">
      <c r="A953" s="230"/>
      <c r="B953" s="230"/>
      <c r="C953" s="230"/>
      <c r="D953" s="230"/>
      <c r="E953" s="230"/>
      <c r="F953" s="230"/>
      <c r="G953" s="230"/>
      <c r="H953" s="230"/>
      <c r="I953" s="230"/>
      <c r="J953" s="230"/>
      <c r="K953" s="230"/>
      <c r="L953" s="230"/>
      <c r="M953" s="230"/>
      <c r="N953" s="230"/>
      <c r="O953" s="230"/>
      <c r="P953" s="230"/>
      <c r="Q953" s="230"/>
      <c r="R953" s="230"/>
      <c r="S953" s="230"/>
      <c r="T953" s="230"/>
      <c r="U953" s="230"/>
      <c r="V953" s="230"/>
      <c r="W953" s="230"/>
      <c r="X953" s="230"/>
      <c r="Y953" s="230"/>
      <c r="Z953" s="230"/>
    </row>
    <row r="954" spans="1:26" ht="15.75" customHeight="1">
      <c r="A954" s="230"/>
      <c r="B954" s="230"/>
      <c r="C954" s="230"/>
      <c r="D954" s="230"/>
      <c r="E954" s="230"/>
      <c r="F954" s="230"/>
      <c r="G954" s="230"/>
      <c r="H954" s="230"/>
      <c r="I954" s="230"/>
      <c r="J954" s="230"/>
      <c r="K954" s="230"/>
      <c r="L954" s="230"/>
      <c r="M954" s="230"/>
      <c r="N954" s="230"/>
      <c r="O954" s="230"/>
      <c r="P954" s="230"/>
      <c r="Q954" s="230"/>
      <c r="R954" s="230"/>
      <c r="S954" s="230"/>
      <c r="T954" s="230"/>
      <c r="U954" s="230"/>
      <c r="V954" s="230"/>
      <c r="W954" s="230"/>
      <c r="X954" s="230"/>
      <c r="Y954" s="230"/>
      <c r="Z954" s="230"/>
    </row>
    <row r="955" spans="1:26" ht="15.75" customHeight="1">
      <c r="A955" s="230"/>
      <c r="B955" s="230"/>
      <c r="C955" s="230"/>
      <c r="D955" s="230"/>
      <c r="E955" s="230"/>
      <c r="F955" s="230"/>
      <c r="G955" s="230"/>
      <c r="H955" s="230"/>
      <c r="I955" s="230"/>
      <c r="J955" s="230"/>
      <c r="K955" s="230"/>
      <c r="L955" s="230"/>
      <c r="M955" s="230"/>
      <c r="N955" s="230"/>
      <c r="O955" s="230"/>
      <c r="P955" s="230"/>
      <c r="Q955" s="230"/>
      <c r="R955" s="230"/>
      <c r="S955" s="230"/>
      <c r="T955" s="230"/>
      <c r="U955" s="230"/>
      <c r="V955" s="230"/>
      <c r="W955" s="230"/>
      <c r="X955" s="230"/>
      <c r="Y955" s="230"/>
      <c r="Z955" s="230"/>
    </row>
    <row r="956" spans="1:26" ht="15.75" customHeight="1">
      <c r="A956" s="230"/>
      <c r="B956" s="230"/>
      <c r="C956" s="230"/>
      <c r="D956" s="230"/>
      <c r="E956" s="230"/>
      <c r="F956" s="230"/>
      <c r="G956" s="230"/>
      <c r="H956" s="230"/>
      <c r="I956" s="230"/>
      <c r="J956" s="230"/>
      <c r="K956" s="230"/>
      <c r="L956" s="230"/>
      <c r="M956" s="230"/>
      <c r="N956" s="230"/>
      <c r="O956" s="230"/>
      <c r="P956" s="230"/>
      <c r="Q956" s="230"/>
      <c r="R956" s="230"/>
      <c r="S956" s="230"/>
      <c r="T956" s="230"/>
      <c r="U956" s="230"/>
      <c r="V956" s="230"/>
      <c r="W956" s="230"/>
      <c r="X956" s="230"/>
      <c r="Y956" s="230"/>
      <c r="Z956" s="230"/>
    </row>
    <row r="957" spans="1:26" ht="15.75" customHeight="1">
      <c r="A957" s="230"/>
      <c r="B957" s="230"/>
      <c r="C957" s="230"/>
      <c r="D957" s="230"/>
      <c r="E957" s="230"/>
      <c r="F957" s="230"/>
      <c r="G957" s="230"/>
      <c r="H957" s="230"/>
      <c r="I957" s="230"/>
      <c r="J957" s="230"/>
      <c r="K957" s="230"/>
      <c r="L957" s="230"/>
      <c r="M957" s="230"/>
      <c r="N957" s="230"/>
      <c r="O957" s="230"/>
      <c r="P957" s="230"/>
      <c r="Q957" s="230"/>
      <c r="R957" s="230"/>
      <c r="S957" s="230"/>
      <c r="T957" s="230"/>
      <c r="U957" s="230"/>
      <c r="V957" s="230"/>
      <c r="W957" s="230"/>
      <c r="X957" s="230"/>
      <c r="Y957" s="230"/>
      <c r="Z957" s="230"/>
    </row>
    <row r="958" spans="1:26" ht="15.75" customHeight="1">
      <c r="A958" s="230"/>
      <c r="B958" s="230"/>
      <c r="C958" s="230"/>
      <c r="D958" s="230"/>
      <c r="E958" s="230"/>
      <c r="F958" s="230"/>
      <c r="G958" s="230"/>
      <c r="H958" s="230"/>
      <c r="I958" s="230"/>
      <c r="J958" s="230"/>
      <c r="K958" s="230"/>
      <c r="L958" s="230"/>
      <c r="M958" s="230"/>
      <c r="N958" s="230"/>
      <c r="O958" s="230"/>
      <c r="P958" s="230"/>
      <c r="Q958" s="230"/>
      <c r="R958" s="230"/>
      <c r="S958" s="230"/>
      <c r="T958" s="230"/>
      <c r="U958" s="230"/>
      <c r="V958" s="230"/>
      <c r="W958" s="230"/>
      <c r="X958" s="230"/>
      <c r="Y958" s="230"/>
      <c r="Z958" s="230"/>
    </row>
    <row r="959" spans="1:26" ht="15.75" customHeight="1">
      <c r="A959" s="230"/>
      <c r="B959" s="230"/>
      <c r="C959" s="230"/>
      <c r="D959" s="230"/>
      <c r="E959" s="230"/>
      <c r="F959" s="230"/>
      <c r="G959" s="230"/>
      <c r="H959" s="230"/>
      <c r="I959" s="230"/>
      <c r="J959" s="230"/>
      <c r="K959" s="230"/>
      <c r="L959" s="230"/>
      <c r="M959" s="230"/>
      <c r="N959" s="230"/>
      <c r="O959" s="230"/>
      <c r="P959" s="230"/>
      <c r="Q959" s="230"/>
      <c r="R959" s="230"/>
      <c r="S959" s="230"/>
      <c r="T959" s="230"/>
      <c r="U959" s="230"/>
      <c r="V959" s="230"/>
      <c r="W959" s="230"/>
      <c r="X959" s="230"/>
      <c r="Y959" s="230"/>
      <c r="Z959" s="230"/>
    </row>
    <row r="960" spans="1:26" ht="15.75" customHeight="1">
      <c r="A960" s="230"/>
      <c r="B960" s="230"/>
      <c r="C960" s="230"/>
      <c r="D960" s="230"/>
      <c r="E960" s="230"/>
      <c r="F960" s="230"/>
      <c r="G960" s="230"/>
      <c r="H960" s="230"/>
      <c r="I960" s="230"/>
      <c r="J960" s="230"/>
      <c r="K960" s="230"/>
      <c r="L960" s="230"/>
      <c r="M960" s="230"/>
      <c r="N960" s="230"/>
      <c r="O960" s="230"/>
      <c r="P960" s="230"/>
      <c r="Q960" s="230"/>
      <c r="R960" s="230"/>
      <c r="S960" s="230"/>
      <c r="T960" s="230"/>
      <c r="U960" s="230"/>
      <c r="V960" s="230"/>
      <c r="W960" s="230"/>
      <c r="X960" s="230"/>
      <c r="Y960" s="230"/>
      <c r="Z960" s="230"/>
    </row>
    <row r="961" spans="1:26" ht="15.75" customHeight="1">
      <c r="A961" s="230"/>
      <c r="B961" s="230"/>
      <c r="C961" s="230"/>
      <c r="D961" s="230"/>
      <c r="E961" s="230"/>
      <c r="F961" s="230"/>
      <c r="G961" s="230"/>
      <c r="H961" s="230"/>
      <c r="I961" s="230"/>
      <c r="J961" s="230"/>
      <c r="K961" s="230"/>
      <c r="L961" s="230"/>
      <c r="M961" s="230"/>
      <c r="N961" s="230"/>
      <c r="O961" s="230"/>
      <c r="P961" s="230"/>
      <c r="Q961" s="230"/>
      <c r="R961" s="230"/>
      <c r="S961" s="230"/>
      <c r="T961" s="230"/>
      <c r="U961" s="230"/>
      <c r="V961" s="230"/>
      <c r="W961" s="230"/>
      <c r="X961" s="230"/>
      <c r="Y961" s="230"/>
      <c r="Z961" s="230"/>
    </row>
    <row r="962" spans="1:26" ht="15.75" customHeight="1">
      <c r="A962" s="230"/>
      <c r="B962" s="230"/>
      <c r="C962" s="230"/>
      <c r="D962" s="230"/>
      <c r="E962" s="230"/>
      <c r="F962" s="230"/>
      <c r="G962" s="230"/>
      <c r="H962" s="230"/>
      <c r="I962" s="230"/>
      <c r="J962" s="230"/>
      <c r="K962" s="230"/>
      <c r="L962" s="230"/>
      <c r="M962" s="230"/>
      <c r="N962" s="230"/>
      <c r="O962" s="230"/>
      <c r="P962" s="230"/>
      <c r="Q962" s="230"/>
      <c r="R962" s="230"/>
      <c r="S962" s="230"/>
      <c r="T962" s="230"/>
      <c r="U962" s="230"/>
      <c r="V962" s="230"/>
      <c r="W962" s="230"/>
      <c r="X962" s="230"/>
      <c r="Y962" s="230"/>
      <c r="Z962" s="230"/>
    </row>
    <row r="963" spans="1:26" ht="15.75" customHeight="1">
      <c r="A963" s="230"/>
      <c r="B963" s="230"/>
      <c r="C963" s="230"/>
      <c r="D963" s="230"/>
      <c r="E963" s="230"/>
      <c r="F963" s="230"/>
      <c r="G963" s="230"/>
      <c r="H963" s="230"/>
      <c r="I963" s="230"/>
      <c r="J963" s="230"/>
      <c r="K963" s="230"/>
      <c r="L963" s="230"/>
      <c r="M963" s="230"/>
      <c r="N963" s="230"/>
      <c r="O963" s="230"/>
      <c r="P963" s="230"/>
      <c r="Q963" s="230"/>
      <c r="R963" s="230"/>
      <c r="S963" s="230"/>
      <c r="T963" s="230"/>
      <c r="U963" s="230"/>
      <c r="V963" s="230"/>
      <c r="W963" s="230"/>
      <c r="X963" s="230"/>
      <c r="Y963" s="230"/>
      <c r="Z963" s="230"/>
    </row>
    <row r="964" spans="1:26" ht="15.75" customHeight="1">
      <c r="A964" s="230"/>
      <c r="B964" s="230"/>
      <c r="C964" s="230"/>
      <c r="D964" s="230"/>
      <c r="E964" s="230"/>
      <c r="F964" s="230"/>
      <c r="G964" s="230"/>
      <c r="H964" s="230"/>
      <c r="I964" s="230"/>
      <c r="J964" s="230"/>
      <c r="K964" s="230"/>
      <c r="L964" s="230"/>
      <c r="M964" s="230"/>
      <c r="N964" s="230"/>
      <c r="O964" s="230"/>
      <c r="P964" s="230"/>
      <c r="Q964" s="230"/>
      <c r="R964" s="230"/>
      <c r="S964" s="230"/>
      <c r="T964" s="230"/>
      <c r="U964" s="230"/>
      <c r="V964" s="230"/>
      <c r="W964" s="230"/>
      <c r="X964" s="230"/>
      <c r="Y964" s="230"/>
      <c r="Z964" s="230"/>
    </row>
    <row r="965" spans="1:26" ht="15.75" customHeight="1">
      <c r="A965" s="230"/>
      <c r="B965" s="230"/>
      <c r="C965" s="230"/>
      <c r="D965" s="230"/>
      <c r="E965" s="230"/>
      <c r="F965" s="230"/>
      <c r="G965" s="230"/>
      <c r="H965" s="230"/>
      <c r="I965" s="230"/>
      <c r="J965" s="230"/>
      <c r="K965" s="230"/>
      <c r="L965" s="230"/>
      <c r="M965" s="230"/>
      <c r="N965" s="230"/>
      <c r="O965" s="230"/>
      <c r="P965" s="230"/>
      <c r="Q965" s="230"/>
      <c r="R965" s="230"/>
      <c r="S965" s="230"/>
      <c r="T965" s="230"/>
      <c r="U965" s="230"/>
      <c r="V965" s="230"/>
      <c r="W965" s="230"/>
      <c r="X965" s="230"/>
      <c r="Y965" s="230"/>
      <c r="Z965" s="230"/>
    </row>
    <row r="966" spans="1:26" ht="15.75" customHeight="1">
      <c r="A966" s="230"/>
      <c r="B966" s="230"/>
      <c r="C966" s="230"/>
      <c r="D966" s="230"/>
      <c r="E966" s="230"/>
      <c r="F966" s="230"/>
      <c r="G966" s="230"/>
      <c r="H966" s="230"/>
      <c r="I966" s="230"/>
      <c r="J966" s="230"/>
      <c r="K966" s="230"/>
      <c r="L966" s="230"/>
      <c r="M966" s="230"/>
      <c r="N966" s="230"/>
      <c r="O966" s="230"/>
      <c r="P966" s="230"/>
      <c r="Q966" s="230"/>
      <c r="R966" s="230"/>
      <c r="S966" s="230"/>
      <c r="T966" s="230"/>
      <c r="U966" s="230"/>
      <c r="V966" s="230"/>
      <c r="W966" s="230"/>
      <c r="X966" s="230"/>
      <c r="Y966" s="230"/>
      <c r="Z966" s="230"/>
    </row>
    <row r="967" spans="1:26" ht="15.75" customHeight="1">
      <c r="A967" s="230"/>
      <c r="B967" s="230"/>
      <c r="C967" s="230"/>
      <c r="D967" s="230"/>
      <c r="E967" s="230"/>
      <c r="F967" s="230"/>
      <c r="G967" s="230"/>
      <c r="H967" s="230"/>
      <c r="I967" s="230"/>
      <c r="J967" s="230"/>
      <c r="K967" s="230"/>
      <c r="L967" s="230"/>
      <c r="M967" s="230"/>
      <c r="N967" s="230"/>
      <c r="O967" s="230"/>
      <c r="P967" s="230"/>
      <c r="Q967" s="230"/>
      <c r="R967" s="230"/>
      <c r="S967" s="230"/>
      <c r="T967" s="230"/>
      <c r="U967" s="230"/>
      <c r="V967" s="230"/>
      <c r="W967" s="230"/>
      <c r="X967" s="230"/>
      <c r="Y967" s="230"/>
      <c r="Z967" s="230"/>
    </row>
    <row r="968" spans="1:26" ht="15.75" customHeight="1">
      <c r="A968" s="230"/>
      <c r="B968" s="230"/>
      <c r="C968" s="230"/>
      <c r="D968" s="230"/>
      <c r="E968" s="230"/>
      <c r="F968" s="230"/>
      <c r="G968" s="230"/>
      <c r="H968" s="230"/>
      <c r="I968" s="230"/>
      <c r="J968" s="230"/>
      <c r="K968" s="230"/>
      <c r="L968" s="230"/>
      <c r="M968" s="230"/>
      <c r="N968" s="230"/>
      <c r="O968" s="230"/>
      <c r="P968" s="230"/>
      <c r="Q968" s="230"/>
      <c r="R968" s="230"/>
      <c r="S968" s="230"/>
      <c r="T968" s="230"/>
      <c r="U968" s="230"/>
      <c r="V968" s="230"/>
      <c r="W968" s="230"/>
      <c r="X968" s="230"/>
      <c r="Y968" s="230"/>
      <c r="Z968" s="230"/>
    </row>
    <row r="969" spans="1:26" ht="15.75" customHeight="1">
      <c r="A969" s="230"/>
      <c r="B969" s="230"/>
      <c r="C969" s="230"/>
      <c r="D969" s="230"/>
      <c r="E969" s="230"/>
      <c r="F969" s="230"/>
      <c r="G969" s="230"/>
      <c r="H969" s="230"/>
      <c r="I969" s="230"/>
      <c r="J969" s="230"/>
      <c r="K969" s="230"/>
      <c r="L969" s="230"/>
      <c r="M969" s="230"/>
      <c r="N969" s="230"/>
      <c r="O969" s="230"/>
      <c r="P969" s="230"/>
      <c r="Q969" s="230"/>
      <c r="R969" s="230"/>
      <c r="S969" s="230"/>
      <c r="T969" s="230"/>
      <c r="U969" s="230"/>
      <c r="V969" s="230"/>
      <c r="W969" s="230"/>
      <c r="X969" s="230"/>
      <c r="Y969" s="230"/>
      <c r="Z969" s="230"/>
    </row>
    <row r="970" spans="1:26" ht="15.75" customHeight="1">
      <c r="A970" s="230"/>
      <c r="B970" s="230"/>
      <c r="C970" s="230"/>
      <c r="D970" s="230"/>
      <c r="E970" s="230"/>
      <c r="F970" s="230"/>
      <c r="G970" s="230"/>
      <c r="H970" s="230"/>
      <c r="I970" s="230"/>
      <c r="J970" s="230"/>
      <c r="K970" s="230"/>
      <c r="L970" s="230"/>
      <c r="M970" s="230"/>
      <c r="N970" s="230"/>
      <c r="O970" s="230"/>
      <c r="P970" s="230"/>
      <c r="Q970" s="230"/>
      <c r="R970" s="230"/>
      <c r="S970" s="230"/>
      <c r="T970" s="230"/>
      <c r="U970" s="230"/>
      <c r="V970" s="230"/>
      <c r="W970" s="230"/>
      <c r="X970" s="230"/>
      <c r="Y970" s="230"/>
      <c r="Z970" s="230"/>
    </row>
    <row r="971" spans="1:26" ht="15.75" customHeight="1">
      <c r="A971" s="230"/>
      <c r="B971" s="230"/>
      <c r="C971" s="230"/>
      <c r="D971" s="230"/>
      <c r="E971" s="230"/>
      <c r="F971" s="230"/>
      <c r="G971" s="230"/>
      <c r="H971" s="230"/>
      <c r="I971" s="230"/>
      <c r="J971" s="230"/>
      <c r="K971" s="230"/>
      <c r="L971" s="230"/>
      <c r="M971" s="230"/>
      <c r="N971" s="230"/>
      <c r="O971" s="230"/>
      <c r="P971" s="230"/>
      <c r="Q971" s="230"/>
      <c r="R971" s="230"/>
      <c r="S971" s="230"/>
      <c r="T971" s="230"/>
      <c r="U971" s="230"/>
      <c r="V971" s="230"/>
      <c r="W971" s="230"/>
      <c r="X971" s="230"/>
      <c r="Y971" s="230"/>
      <c r="Z971" s="230"/>
    </row>
    <row r="972" spans="1:26" ht="15.75" customHeight="1">
      <c r="A972" s="230"/>
      <c r="B972" s="230"/>
      <c r="C972" s="230"/>
      <c r="D972" s="230"/>
      <c r="E972" s="230"/>
      <c r="F972" s="230"/>
      <c r="G972" s="230"/>
      <c r="H972" s="230"/>
      <c r="I972" s="230"/>
      <c r="J972" s="230"/>
      <c r="K972" s="230"/>
      <c r="L972" s="230"/>
      <c r="M972" s="230"/>
      <c r="N972" s="230"/>
      <c r="O972" s="230"/>
      <c r="P972" s="230"/>
      <c r="Q972" s="230"/>
      <c r="R972" s="230"/>
      <c r="S972" s="230"/>
      <c r="T972" s="230"/>
      <c r="U972" s="230"/>
      <c r="V972" s="230"/>
      <c r="W972" s="230"/>
      <c r="X972" s="230"/>
      <c r="Y972" s="230"/>
      <c r="Z972" s="230"/>
    </row>
    <row r="973" spans="1:26" ht="15.75" customHeight="1">
      <c r="A973" s="230"/>
      <c r="B973" s="230"/>
      <c r="C973" s="230"/>
      <c r="D973" s="230"/>
      <c r="E973" s="230"/>
      <c r="F973" s="230"/>
      <c r="G973" s="230"/>
      <c r="H973" s="230"/>
      <c r="I973" s="230"/>
      <c r="J973" s="230"/>
      <c r="K973" s="230"/>
      <c r="L973" s="230"/>
      <c r="M973" s="230"/>
      <c r="N973" s="230"/>
      <c r="O973" s="230"/>
      <c r="P973" s="230"/>
      <c r="Q973" s="230"/>
      <c r="R973" s="230"/>
      <c r="S973" s="230"/>
      <c r="T973" s="230"/>
      <c r="U973" s="230"/>
      <c r="V973" s="230"/>
      <c r="W973" s="230"/>
      <c r="X973" s="230"/>
      <c r="Y973" s="230"/>
      <c r="Z973" s="230"/>
    </row>
    <row r="974" spans="1:26" ht="15.75" customHeight="1">
      <c r="A974" s="230"/>
      <c r="B974" s="230"/>
      <c r="C974" s="230"/>
      <c r="D974" s="230"/>
      <c r="E974" s="230"/>
      <c r="F974" s="230"/>
      <c r="G974" s="230"/>
      <c r="H974" s="230"/>
      <c r="I974" s="230"/>
      <c r="J974" s="230"/>
      <c r="K974" s="230"/>
      <c r="L974" s="230"/>
      <c r="M974" s="230"/>
      <c r="N974" s="230"/>
      <c r="O974" s="230"/>
      <c r="P974" s="230"/>
      <c r="Q974" s="230"/>
      <c r="R974" s="230"/>
      <c r="S974" s="230"/>
      <c r="T974" s="230"/>
      <c r="U974" s="230"/>
      <c r="V974" s="230"/>
      <c r="W974" s="230"/>
      <c r="X974" s="230"/>
      <c r="Y974" s="230"/>
      <c r="Z974" s="230"/>
    </row>
    <row r="975" spans="1:26" ht="15.75" customHeight="1">
      <c r="A975" s="230"/>
      <c r="B975" s="230"/>
      <c r="C975" s="230"/>
      <c r="D975" s="230"/>
      <c r="E975" s="230"/>
      <c r="F975" s="230"/>
      <c r="G975" s="230"/>
      <c r="H975" s="230"/>
      <c r="I975" s="230"/>
      <c r="J975" s="230"/>
      <c r="K975" s="230"/>
      <c r="L975" s="230"/>
      <c r="M975" s="230"/>
      <c r="N975" s="230"/>
      <c r="O975" s="230"/>
      <c r="P975" s="230"/>
      <c r="Q975" s="230"/>
      <c r="R975" s="230"/>
      <c r="S975" s="230"/>
      <c r="T975" s="230"/>
      <c r="U975" s="230"/>
      <c r="V975" s="230"/>
      <c r="W975" s="230"/>
      <c r="X975" s="230"/>
      <c r="Y975" s="230"/>
      <c r="Z975" s="230"/>
    </row>
    <row r="976" spans="1:26" ht="15.75" customHeight="1">
      <c r="A976" s="230"/>
      <c r="B976" s="230"/>
      <c r="C976" s="230"/>
      <c r="D976" s="230"/>
      <c r="E976" s="230"/>
      <c r="F976" s="230"/>
      <c r="G976" s="230"/>
      <c r="H976" s="230"/>
      <c r="I976" s="230"/>
      <c r="J976" s="230"/>
      <c r="K976" s="230"/>
      <c r="L976" s="230"/>
      <c r="M976" s="230"/>
      <c r="N976" s="230"/>
      <c r="O976" s="230"/>
      <c r="P976" s="230"/>
      <c r="Q976" s="230"/>
      <c r="R976" s="230"/>
      <c r="S976" s="230"/>
      <c r="T976" s="230"/>
      <c r="U976" s="230"/>
      <c r="V976" s="230"/>
      <c r="W976" s="230"/>
      <c r="X976" s="230"/>
      <c r="Y976" s="230"/>
      <c r="Z976" s="230"/>
    </row>
    <row r="977" spans="1:26" ht="15.75" customHeight="1">
      <c r="A977" s="230"/>
      <c r="B977" s="230"/>
      <c r="C977" s="230"/>
      <c r="D977" s="230"/>
      <c r="E977" s="230"/>
      <c r="F977" s="230"/>
      <c r="G977" s="230"/>
      <c r="H977" s="230"/>
      <c r="I977" s="230"/>
      <c r="J977" s="230"/>
      <c r="K977" s="230"/>
      <c r="L977" s="230"/>
      <c r="M977" s="230"/>
      <c r="N977" s="230"/>
      <c r="O977" s="230"/>
      <c r="P977" s="230"/>
      <c r="Q977" s="230"/>
      <c r="R977" s="230"/>
      <c r="S977" s="230"/>
      <c r="T977" s="230"/>
      <c r="U977" s="230"/>
      <c r="V977" s="230"/>
      <c r="W977" s="230"/>
      <c r="X977" s="230"/>
      <c r="Y977" s="230"/>
      <c r="Z977" s="230"/>
    </row>
    <row r="978" spans="1:26" ht="15.75" customHeight="1">
      <c r="A978" s="230"/>
      <c r="B978" s="230"/>
      <c r="C978" s="230"/>
      <c r="D978" s="230"/>
      <c r="E978" s="230"/>
      <c r="F978" s="230"/>
      <c r="G978" s="230"/>
      <c r="H978" s="230"/>
      <c r="I978" s="230"/>
      <c r="J978" s="230"/>
      <c r="K978" s="230"/>
      <c r="L978" s="230"/>
      <c r="M978" s="230"/>
      <c r="N978" s="230"/>
      <c r="O978" s="230"/>
      <c r="P978" s="230"/>
      <c r="Q978" s="230"/>
      <c r="R978" s="230"/>
      <c r="S978" s="230"/>
      <c r="T978" s="230"/>
      <c r="U978" s="230"/>
      <c r="V978" s="230"/>
      <c r="W978" s="230"/>
      <c r="X978" s="230"/>
      <c r="Y978" s="230"/>
      <c r="Z978" s="230"/>
    </row>
    <row r="979" spans="1:26" ht="15.75" customHeight="1">
      <c r="A979" s="230"/>
      <c r="B979" s="230"/>
      <c r="C979" s="230"/>
      <c r="D979" s="230"/>
      <c r="E979" s="230"/>
      <c r="F979" s="230"/>
      <c r="G979" s="230"/>
      <c r="H979" s="230"/>
      <c r="I979" s="230"/>
      <c r="J979" s="230"/>
      <c r="K979" s="230"/>
      <c r="L979" s="230"/>
      <c r="M979" s="230"/>
      <c r="N979" s="230"/>
      <c r="O979" s="230"/>
      <c r="P979" s="230"/>
      <c r="Q979" s="230"/>
      <c r="R979" s="230"/>
      <c r="S979" s="230"/>
      <c r="T979" s="230"/>
      <c r="U979" s="230"/>
      <c r="V979" s="230"/>
      <c r="W979" s="230"/>
      <c r="X979" s="230"/>
      <c r="Y979" s="230"/>
      <c r="Z979" s="230"/>
    </row>
    <row r="980" spans="1:26" ht="15.75" customHeight="1">
      <c r="A980" s="230"/>
      <c r="B980" s="230"/>
      <c r="C980" s="230"/>
      <c r="D980" s="230"/>
      <c r="E980" s="230"/>
      <c r="F980" s="230"/>
      <c r="G980" s="230"/>
      <c r="H980" s="230"/>
      <c r="I980" s="230"/>
      <c r="J980" s="230"/>
      <c r="K980" s="230"/>
      <c r="L980" s="230"/>
      <c r="M980" s="230"/>
      <c r="N980" s="230"/>
      <c r="O980" s="230"/>
      <c r="P980" s="230"/>
      <c r="Q980" s="230"/>
      <c r="R980" s="230"/>
      <c r="S980" s="230"/>
      <c r="T980" s="230"/>
      <c r="U980" s="230"/>
      <c r="V980" s="230"/>
      <c r="W980" s="230"/>
      <c r="X980" s="230"/>
      <c r="Y980" s="230"/>
      <c r="Z980" s="230"/>
    </row>
    <row r="981" spans="1:26" ht="15.75" customHeight="1">
      <c r="A981" s="230"/>
      <c r="B981" s="230"/>
      <c r="C981" s="230"/>
      <c r="D981" s="230"/>
      <c r="E981" s="230"/>
      <c r="F981" s="230"/>
      <c r="G981" s="230"/>
      <c r="H981" s="230"/>
      <c r="I981" s="230"/>
      <c r="J981" s="230"/>
      <c r="K981" s="230"/>
      <c r="L981" s="230"/>
      <c r="M981" s="230"/>
      <c r="N981" s="230"/>
      <c r="O981" s="230"/>
      <c r="P981" s="230"/>
      <c r="Q981" s="230"/>
      <c r="R981" s="230"/>
      <c r="S981" s="230"/>
      <c r="T981" s="230"/>
      <c r="U981" s="230"/>
      <c r="V981" s="230"/>
      <c r="W981" s="230"/>
      <c r="X981" s="230"/>
      <c r="Y981" s="230"/>
      <c r="Z981" s="230"/>
    </row>
    <row r="982" spans="1:26" ht="15.75" customHeight="1">
      <c r="A982" s="230"/>
      <c r="B982" s="230"/>
      <c r="C982" s="230"/>
      <c r="D982" s="230"/>
      <c r="E982" s="230"/>
      <c r="F982" s="230"/>
      <c r="G982" s="230"/>
      <c r="H982" s="230"/>
      <c r="I982" s="230"/>
      <c r="J982" s="230"/>
      <c r="K982" s="230"/>
      <c r="L982" s="230"/>
      <c r="M982" s="230"/>
      <c r="N982" s="230"/>
      <c r="O982" s="230"/>
      <c r="P982" s="230"/>
      <c r="Q982" s="230"/>
      <c r="R982" s="230"/>
      <c r="S982" s="230"/>
      <c r="T982" s="230"/>
      <c r="U982" s="230"/>
      <c r="V982" s="230"/>
      <c r="W982" s="230"/>
      <c r="X982" s="230"/>
      <c r="Y982" s="230"/>
      <c r="Z982" s="230"/>
    </row>
    <row r="983" spans="1:26" ht="15.75" customHeight="1">
      <c r="A983" s="230"/>
      <c r="B983" s="230"/>
      <c r="C983" s="230"/>
      <c r="D983" s="230"/>
      <c r="E983" s="230"/>
      <c r="F983" s="230"/>
      <c r="G983" s="230"/>
      <c r="H983" s="230"/>
      <c r="I983" s="230"/>
      <c r="J983" s="230"/>
      <c r="K983" s="230"/>
      <c r="L983" s="230"/>
      <c r="M983" s="230"/>
      <c r="N983" s="230"/>
      <c r="O983" s="230"/>
      <c r="P983" s="230"/>
      <c r="Q983" s="230"/>
      <c r="R983" s="230"/>
      <c r="S983" s="230"/>
      <c r="T983" s="230"/>
      <c r="U983" s="230"/>
      <c r="V983" s="230"/>
      <c r="W983" s="230"/>
      <c r="X983" s="230"/>
      <c r="Y983" s="230"/>
      <c r="Z983" s="230"/>
    </row>
    <row r="984" spans="1:26" ht="15.75" customHeight="1">
      <c r="A984" s="230"/>
      <c r="B984" s="230"/>
      <c r="C984" s="230"/>
      <c r="D984" s="230"/>
      <c r="E984" s="230"/>
      <c r="F984" s="230"/>
      <c r="G984" s="230"/>
      <c r="H984" s="230"/>
      <c r="I984" s="230"/>
      <c r="J984" s="230"/>
      <c r="K984" s="230"/>
      <c r="L984" s="230"/>
      <c r="M984" s="230"/>
      <c r="N984" s="230"/>
      <c r="O984" s="230"/>
      <c r="P984" s="230"/>
      <c r="Q984" s="230"/>
      <c r="R984" s="230"/>
      <c r="S984" s="230"/>
      <c r="T984" s="230"/>
      <c r="U984" s="230"/>
      <c r="V984" s="230"/>
      <c r="W984" s="230"/>
      <c r="X984" s="230"/>
      <c r="Y984" s="230"/>
      <c r="Z984" s="230"/>
    </row>
    <row r="985" spans="1:26" ht="15.75" customHeight="1">
      <c r="A985" s="230"/>
      <c r="B985" s="230"/>
      <c r="C985" s="230"/>
      <c r="D985" s="230"/>
      <c r="E985" s="230"/>
      <c r="F985" s="230"/>
      <c r="G985" s="230"/>
      <c r="H985" s="230"/>
      <c r="I985" s="230"/>
      <c r="J985" s="230"/>
      <c r="K985" s="230"/>
      <c r="L985" s="230"/>
      <c r="M985" s="230"/>
      <c r="N985" s="230"/>
      <c r="O985" s="230"/>
      <c r="P985" s="230"/>
      <c r="Q985" s="230"/>
      <c r="R985" s="230"/>
      <c r="S985" s="230"/>
      <c r="T985" s="230"/>
      <c r="U985" s="230"/>
      <c r="V985" s="230"/>
      <c r="W985" s="230"/>
      <c r="X985" s="230"/>
      <c r="Y985" s="230"/>
      <c r="Z985" s="230"/>
    </row>
    <row r="986" spans="1:26" ht="15.75" customHeight="1">
      <c r="A986" s="230"/>
      <c r="B986" s="230"/>
      <c r="C986" s="230"/>
      <c r="D986" s="230"/>
      <c r="E986" s="230"/>
      <c r="F986" s="230"/>
      <c r="G986" s="230"/>
      <c r="H986" s="230"/>
      <c r="I986" s="230"/>
      <c r="J986" s="230"/>
      <c r="K986" s="230"/>
      <c r="L986" s="230"/>
      <c r="M986" s="230"/>
      <c r="N986" s="230"/>
      <c r="O986" s="230"/>
      <c r="P986" s="230"/>
      <c r="Q986" s="230"/>
      <c r="R986" s="230"/>
      <c r="S986" s="230"/>
      <c r="T986" s="230"/>
      <c r="U986" s="230"/>
      <c r="V986" s="230"/>
      <c r="W986" s="230"/>
      <c r="X986" s="230"/>
      <c r="Y986" s="230"/>
      <c r="Z986" s="230"/>
    </row>
    <row r="987" spans="1:26" ht="15.75" customHeight="1">
      <c r="A987" s="230"/>
      <c r="B987" s="230"/>
      <c r="C987" s="230"/>
      <c r="D987" s="230"/>
      <c r="E987" s="230"/>
      <c r="F987" s="230"/>
      <c r="G987" s="230"/>
      <c r="H987" s="230"/>
      <c r="I987" s="230"/>
      <c r="J987" s="230"/>
      <c r="K987" s="230"/>
      <c r="L987" s="230"/>
      <c r="M987" s="230"/>
      <c r="N987" s="230"/>
      <c r="O987" s="230"/>
      <c r="P987" s="230"/>
      <c r="Q987" s="230"/>
      <c r="R987" s="230"/>
      <c r="S987" s="230"/>
      <c r="T987" s="230"/>
      <c r="U987" s="230"/>
      <c r="V987" s="230"/>
      <c r="W987" s="230"/>
      <c r="X987" s="230"/>
      <c r="Y987" s="230"/>
      <c r="Z987" s="230"/>
    </row>
    <row r="988" spans="1:26" ht="15.75" customHeight="1">
      <c r="A988" s="230"/>
      <c r="B988" s="230"/>
      <c r="C988" s="230"/>
      <c r="D988" s="230"/>
      <c r="E988" s="230"/>
      <c r="F988" s="230"/>
      <c r="G988" s="230"/>
      <c r="H988" s="230"/>
      <c r="I988" s="230"/>
      <c r="J988" s="230"/>
      <c r="K988" s="230"/>
      <c r="L988" s="230"/>
      <c r="M988" s="230"/>
      <c r="N988" s="230"/>
      <c r="O988" s="230"/>
      <c r="P988" s="230"/>
      <c r="Q988" s="230"/>
      <c r="R988" s="230"/>
      <c r="S988" s="230"/>
      <c r="T988" s="230"/>
      <c r="U988" s="230"/>
      <c r="V988" s="230"/>
      <c r="W988" s="230"/>
      <c r="X988" s="230"/>
      <c r="Y988" s="230"/>
      <c r="Z988" s="230"/>
    </row>
    <row r="989" spans="1:26" ht="15.75" customHeight="1">
      <c r="A989" s="230"/>
      <c r="B989" s="230"/>
      <c r="C989" s="230"/>
      <c r="D989" s="230"/>
      <c r="E989" s="230"/>
      <c r="F989" s="230"/>
      <c r="G989" s="230"/>
      <c r="H989" s="230"/>
      <c r="I989" s="230"/>
      <c r="J989" s="230"/>
      <c r="K989" s="230"/>
      <c r="L989" s="230"/>
      <c r="M989" s="230"/>
      <c r="N989" s="230"/>
      <c r="O989" s="230"/>
      <c r="P989" s="230"/>
      <c r="Q989" s="230"/>
      <c r="R989" s="230"/>
      <c r="S989" s="230"/>
      <c r="T989" s="230"/>
      <c r="U989" s="230"/>
      <c r="V989" s="230"/>
      <c r="W989" s="230"/>
      <c r="X989" s="230"/>
      <c r="Y989" s="230"/>
      <c r="Z989" s="230"/>
    </row>
    <row r="990" spans="1:26" ht="15.75" customHeight="1">
      <c r="A990" s="230"/>
      <c r="B990" s="230"/>
      <c r="C990" s="230"/>
      <c r="D990" s="230"/>
      <c r="E990" s="230"/>
      <c r="F990" s="230"/>
      <c r="G990" s="230"/>
      <c r="H990" s="230"/>
      <c r="I990" s="230"/>
      <c r="J990" s="230"/>
      <c r="K990" s="230"/>
      <c r="L990" s="230"/>
      <c r="M990" s="230"/>
      <c r="N990" s="230"/>
      <c r="O990" s="230"/>
      <c r="P990" s="230"/>
      <c r="Q990" s="230"/>
      <c r="R990" s="230"/>
      <c r="S990" s="230"/>
      <c r="T990" s="230"/>
      <c r="U990" s="230"/>
      <c r="V990" s="230"/>
      <c r="W990" s="230"/>
      <c r="X990" s="230"/>
      <c r="Y990" s="230"/>
      <c r="Z990" s="230"/>
    </row>
    <row r="991" spans="1:26" ht="15.75" customHeight="1">
      <c r="A991" s="230"/>
      <c r="B991" s="230"/>
      <c r="C991" s="230"/>
      <c r="D991" s="230"/>
      <c r="E991" s="230"/>
      <c r="F991" s="230"/>
      <c r="G991" s="230"/>
      <c r="H991" s="230"/>
      <c r="I991" s="230"/>
      <c r="J991" s="230"/>
      <c r="K991" s="230"/>
      <c r="L991" s="230"/>
      <c r="M991" s="230"/>
      <c r="N991" s="230"/>
      <c r="O991" s="230"/>
      <c r="P991" s="230"/>
      <c r="Q991" s="230"/>
      <c r="R991" s="230"/>
      <c r="S991" s="230"/>
      <c r="T991" s="230"/>
      <c r="U991" s="230"/>
      <c r="V991" s="230"/>
      <c r="W991" s="230"/>
      <c r="X991" s="230"/>
      <c r="Y991" s="230"/>
      <c r="Z991" s="230"/>
    </row>
    <row r="992" spans="1:26" ht="15.75" customHeight="1">
      <c r="A992" s="230"/>
      <c r="B992" s="230"/>
      <c r="C992" s="230"/>
      <c r="D992" s="230"/>
      <c r="E992" s="230"/>
      <c r="F992" s="230"/>
      <c r="G992" s="230"/>
      <c r="H992" s="230"/>
      <c r="I992" s="230"/>
      <c r="J992" s="230"/>
      <c r="K992" s="230"/>
      <c r="L992" s="230"/>
      <c r="M992" s="230"/>
      <c r="N992" s="230"/>
      <c r="O992" s="230"/>
      <c r="P992" s="230"/>
      <c r="Q992" s="230"/>
      <c r="R992" s="230"/>
      <c r="S992" s="230"/>
      <c r="T992" s="230"/>
      <c r="U992" s="230"/>
      <c r="V992" s="230"/>
      <c r="W992" s="230"/>
      <c r="X992" s="230"/>
      <c r="Y992" s="230"/>
      <c r="Z992" s="230"/>
    </row>
    <row r="993" spans="1:26" ht="15.75" customHeight="1">
      <c r="A993" s="230"/>
      <c r="B993" s="230"/>
      <c r="C993" s="230"/>
      <c r="D993" s="230"/>
      <c r="E993" s="230"/>
      <c r="F993" s="230"/>
      <c r="G993" s="230"/>
      <c r="H993" s="230"/>
      <c r="I993" s="230"/>
      <c r="J993" s="230"/>
      <c r="K993" s="230"/>
      <c r="L993" s="230"/>
      <c r="M993" s="230"/>
      <c r="N993" s="230"/>
      <c r="O993" s="230"/>
      <c r="P993" s="230"/>
      <c r="Q993" s="230"/>
      <c r="R993" s="230"/>
      <c r="S993" s="230"/>
      <c r="T993" s="230"/>
      <c r="U993" s="230"/>
      <c r="V993" s="230"/>
      <c r="W993" s="230"/>
      <c r="X993" s="230"/>
      <c r="Y993" s="230"/>
      <c r="Z993" s="230"/>
    </row>
    <row r="994" spans="1:26" ht="15.75" customHeight="1">
      <c r="A994" s="230"/>
      <c r="B994" s="230"/>
      <c r="C994" s="230"/>
      <c r="D994" s="230"/>
      <c r="E994" s="230"/>
      <c r="F994" s="230"/>
      <c r="G994" s="230"/>
      <c r="H994" s="230"/>
      <c r="I994" s="230"/>
      <c r="J994" s="230"/>
      <c r="K994" s="230"/>
      <c r="L994" s="230"/>
      <c r="M994" s="230"/>
      <c r="N994" s="230"/>
      <c r="O994" s="230"/>
      <c r="P994" s="230"/>
      <c r="Q994" s="230"/>
      <c r="R994" s="230"/>
      <c r="S994" s="230"/>
      <c r="T994" s="230"/>
      <c r="U994" s="230"/>
      <c r="V994" s="230"/>
      <c r="W994" s="230"/>
      <c r="X994" s="230"/>
      <c r="Y994" s="230"/>
      <c r="Z994" s="230"/>
    </row>
    <row r="995" spans="1:26" ht="15.75" customHeight="1">
      <c r="A995" s="230"/>
      <c r="B995" s="230"/>
      <c r="C995" s="230"/>
      <c r="D995" s="230"/>
      <c r="E995" s="230"/>
      <c r="F995" s="230"/>
      <c r="G995" s="230"/>
      <c r="H995" s="230"/>
      <c r="I995" s="230"/>
      <c r="J995" s="230"/>
      <c r="K995" s="230"/>
      <c r="L995" s="230"/>
      <c r="M995" s="230"/>
      <c r="N995" s="230"/>
      <c r="O995" s="230"/>
      <c r="P995" s="230"/>
      <c r="Q995" s="230"/>
      <c r="R995" s="230"/>
      <c r="S995" s="230"/>
      <c r="T995" s="230"/>
      <c r="U995" s="230"/>
      <c r="V995" s="230"/>
      <c r="W995" s="230"/>
      <c r="X995" s="230"/>
      <c r="Y995" s="230"/>
      <c r="Z995" s="230"/>
    </row>
    <row r="996" spans="1:26" ht="15.75" customHeight="1">
      <c r="A996" s="230"/>
      <c r="B996" s="230"/>
      <c r="C996" s="230"/>
      <c r="D996" s="230"/>
      <c r="E996" s="230"/>
      <c r="F996" s="230"/>
      <c r="G996" s="230"/>
      <c r="H996" s="230"/>
      <c r="I996" s="230"/>
      <c r="J996" s="230"/>
      <c r="K996" s="230"/>
      <c r="L996" s="230"/>
      <c r="M996" s="230"/>
      <c r="N996" s="230"/>
      <c r="O996" s="230"/>
      <c r="P996" s="230"/>
      <c r="Q996" s="230"/>
      <c r="R996" s="230"/>
      <c r="S996" s="230"/>
      <c r="T996" s="230"/>
      <c r="U996" s="230"/>
      <c r="V996" s="230"/>
      <c r="W996" s="230"/>
      <c r="X996" s="230"/>
      <c r="Y996" s="230"/>
      <c r="Z996" s="230"/>
    </row>
    <row r="997" spans="1:26" ht="15.75" customHeight="1">
      <c r="A997" s="230"/>
      <c r="B997" s="230"/>
      <c r="C997" s="230"/>
      <c r="D997" s="230"/>
      <c r="E997" s="230"/>
      <c r="F997" s="230"/>
      <c r="G997" s="230"/>
      <c r="H997" s="230"/>
      <c r="I997" s="230"/>
      <c r="J997" s="230"/>
      <c r="K997" s="230"/>
      <c r="L997" s="230"/>
      <c r="M997" s="230"/>
      <c r="N997" s="230"/>
      <c r="O997" s="230"/>
      <c r="P997" s="230"/>
      <c r="Q997" s="230"/>
      <c r="R997" s="230"/>
      <c r="S997" s="230"/>
      <c r="T997" s="230"/>
      <c r="U997" s="230"/>
      <c r="V997" s="230"/>
      <c r="W997" s="230"/>
      <c r="X997" s="230"/>
      <c r="Y997" s="230"/>
      <c r="Z997" s="230"/>
    </row>
    <row r="998" spans="1:26" ht="15.75" customHeight="1">
      <c r="A998" s="230"/>
      <c r="B998" s="230"/>
      <c r="C998" s="230"/>
      <c r="D998" s="230"/>
      <c r="E998" s="230"/>
      <c r="F998" s="230"/>
      <c r="G998" s="230"/>
      <c r="H998" s="230"/>
      <c r="I998" s="230"/>
      <c r="J998" s="230"/>
      <c r="K998" s="230"/>
      <c r="L998" s="230"/>
      <c r="M998" s="230"/>
      <c r="N998" s="230"/>
      <c r="O998" s="230"/>
      <c r="P998" s="230"/>
      <c r="Q998" s="230"/>
      <c r="R998" s="230"/>
      <c r="S998" s="230"/>
      <c r="T998" s="230"/>
      <c r="U998" s="230"/>
      <c r="V998" s="230"/>
      <c r="W998" s="230"/>
      <c r="X998" s="230"/>
      <c r="Y998" s="230"/>
      <c r="Z998" s="230"/>
    </row>
    <row r="999" spans="1:26" ht="15.75" customHeight="1">
      <c r="A999" s="230"/>
      <c r="B999" s="230"/>
      <c r="C999" s="230"/>
      <c r="D999" s="230"/>
      <c r="E999" s="230"/>
      <c r="F999" s="230"/>
      <c r="G999" s="230"/>
      <c r="H999" s="230"/>
      <c r="I999" s="230"/>
      <c r="J999" s="230"/>
      <c r="K999" s="230"/>
      <c r="L999" s="230"/>
      <c r="M999" s="230"/>
      <c r="N999" s="230"/>
      <c r="O999" s="230"/>
      <c r="P999" s="230"/>
      <c r="Q999" s="230"/>
      <c r="R999" s="230"/>
      <c r="S999" s="230"/>
      <c r="T999" s="230"/>
      <c r="U999" s="230"/>
      <c r="V999" s="230"/>
      <c r="W999" s="230"/>
      <c r="X999" s="230"/>
      <c r="Y999" s="230"/>
      <c r="Z999" s="230"/>
    </row>
    <row r="1000" spans="1:26" ht="15.75" customHeight="1">
      <c r="A1000" s="230"/>
      <c r="B1000" s="230"/>
      <c r="C1000" s="230"/>
      <c r="D1000" s="230"/>
      <c r="E1000" s="230"/>
      <c r="F1000" s="230"/>
      <c r="G1000" s="230"/>
      <c r="H1000" s="230"/>
      <c r="I1000" s="230"/>
      <c r="J1000" s="230"/>
      <c r="K1000" s="230"/>
      <c r="L1000" s="230"/>
      <c r="M1000" s="230"/>
      <c r="N1000" s="230"/>
      <c r="O1000" s="230"/>
      <c r="P1000" s="230"/>
      <c r="Q1000" s="230"/>
      <c r="R1000" s="230"/>
      <c r="S1000" s="230"/>
      <c r="T1000" s="230"/>
      <c r="U1000" s="230"/>
      <c r="V1000" s="230"/>
      <c r="W1000" s="230"/>
      <c r="X1000" s="230"/>
      <c r="Y1000" s="230"/>
      <c r="Z1000" s="230"/>
    </row>
  </sheetData>
  <mergeCells count="4">
    <mergeCell ref="G13:I13"/>
    <mergeCell ref="E48:E49"/>
    <mergeCell ref="G48:G49"/>
    <mergeCell ref="M48:M49"/>
  </mergeCells>
  <pageMargins left="0.7" right="0.7" top="0.75" bottom="0.75" header="0" footer="0"/>
  <pageSetup orientation="landscape"/>
  <ignoredErrors>
    <ignoredError sqref="K74" formula="1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C4D6-42F6-4986-B67C-3A8D40940B17}">
  <dimension ref="A1:Z1000"/>
  <sheetViews>
    <sheetView showGridLines="0" topLeftCell="A46" zoomScale="94" zoomScaleNormal="120" workbookViewId="0">
      <selection activeCell="K35" sqref="K35"/>
    </sheetView>
  </sheetViews>
  <sheetFormatPr defaultColWidth="14.453125" defaultRowHeight="15" customHeight="1"/>
  <cols>
    <col min="1" max="1" width="3.453125" customWidth="1"/>
    <col min="2" max="2" width="33.54296875" customWidth="1"/>
    <col min="3" max="3" width="11.453125" customWidth="1"/>
    <col min="4" max="5" width="10.54296875" customWidth="1"/>
    <col min="6" max="6" width="11.453125" customWidth="1"/>
    <col min="7" max="7" width="27.54296875" customWidth="1"/>
    <col min="8" max="8" width="14" customWidth="1"/>
    <col min="9" max="9" width="13" customWidth="1"/>
    <col min="10" max="10" width="23" customWidth="1"/>
    <col min="11" max="11" width="12" customWidth="1"/>
    <col min="12" max="12" width="21.453125" customWidth="1"/>
    <col min="13" max="13" width="11.54296875" customWidth="1"/>
    <col min="14" max="26" width="11.453125" customWidth="1"/>
  </cols>
  <sheetData>
    <row r="1" spans="1:26" ht="22" customHeight="1">
      <c r="A1" s="329" t="s">
        <v>19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  <c r="P1" s="327"/>
      <c r="Q1" s="327"/>
      <c r="R1" s="327"/>
      <c r="S1" s="327"/>
      <c r="T1" s="327"/>
      <c r="U1" s="327"/>
      <c r="V1" s="327"/>
      <c r="W1" s="327"/>
      <c r="X1" s="327"/>
      <c r="Y1" s="327"/>
      <c r="Z1" s="327"/>
    </row>
    <row r="2" spans="1:26" ht="15.75" customHeight="1">
      <c r="A2" s="328" t="str">
        <f>"(In "&amp;F10&amp;" Millions Except Per Share Data)"</f>
        <v>(In USD Millions Except Per Share Data)</v>
      </c>
      <c r="B2" s="328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7"/>
      <c r="Z2" s="327"/>
    </row>
    <row r="3" spans="1:26" ht="15.75" customHeight="1" thickBot="1">
      <c r="A3" s="230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</row>
    <row r="4" spans="1:26" ht="15.75" customHeight="1">
      <c r="A4" s="330" t="s">
        <v>667</v>
      </c>
      <c r="B4" s="331"/>
      <c r="C4" s="331"/>
      <c r="D4" s="331"/>
      <c r="E4" s="331"/>
      <c r="F4" s="332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</row>
    <row r="5" spans="1:26" ht="15.75" customHeight="1">
      <c r="A5" s="268" t="s">
        <v>666</v>
      </c>
      <c r="B5" s="230"/>
      <c r="C5" s="230"/>
      <c r="D5" s="230"/>
      <c r="E5" s="230"/>
      <c r="F5" s="333" t="s">
        <v>665</v>
      </c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</row>
    <row r="6" spans="1:26" ht="15.75" customHeight="1">
      <c r="A6" s="268" t="s">
        <v>664</v>
      </c>
      <c r="B6" s="230"/>
      <c r="C6" s="230"/>
      <c r="D6" s="230"/>
      <c r="E6" s="230"/>
      <c r="F6" s="334">
        <v>45702</v>
      </c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</row>
    <row r="7" spans="1:26" ht="15.75" customHeight="1">
      <c r="A7" s="268" t="s">
        <v>663</v>
      </c>
      <c r="B7" s="230"/>
      <c r="C7" s="230"/>
      <c r="D7" s="230"/>
      <c r="E7" s="230"/>
      <c r="F7" s="335" t="s">
        <v>674</v>
      </c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</row>
    <row r="8" spans="1:26" ht="15.75" customHeight="1">
      <c r="A8" s="268" t="s">
        <v>661</v>
      </c>
      <c r="B8" s="230"/>
      <c r="C8" s="230"/>
      <c r="D8" s="230"/>
      <c r="E8" s="230"/>
      <c r="F8" s="336">
        <v>45657</v>
      </c>
      <c r="G8" s="230"/>
      <c r="H8" s="230"/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</row>
    <row r="9" spans="1:26" ht="15.75" customHeight="1">
      <c r="A9" s="268" t="s">
        <v>660</v>
      </c>
      <c r="B9" s="230"/>
      <c r="C9" s="230"/>
      <c r="D9" s="230"/>
      <c r="E9" s="230"/>
      <c r="F9" s="336">
        <v>45565</v>
      </c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</row>
    <row r="10" spans="1:26" ht="15.75" customHeight="1">
      <c r="A10" s="268" t="s">
        <v>552</v>
      </c>
      <c r="B10" s="230"/>
      <c r="C10" s="230"/>
      <c r="D10" s="230"/>
      <c r="E10" s="230"/>
      <c r="F10" s="335" t="s">
        <v>570</v>
      </c>
      <c r="G10" s="230"/>
      <c r="H10" s="230"/>
      <c r="I10" s="230"/>
      <c r="J10" s="230"/>
      <c r="K10" s="230"/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</row>
    <row r="11" spans="1:26" ht="15.75" customHeight="1" thickBot="1">
      <c r="A11" s="267" t="s">
        <v>463</v>
      </c>
      <c r="B11" s="223"/>
      <c r="C11" s="223"/>
      <c r="D11" s="223"/>
      <c r="E11" s="223"/>
      <c r="F11" s="337">
        <v>0.27</v>
      </c>
      <c r="G11" s="230" t="s">
        <v>659</v>
      </c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</row>
    <row r="12" spans="1:26" ht="15.75" customHeight="1">
      <c r="A12" s="230"/>
      <c r="B12" s="230"/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</row>
    <row r="13" spans="1:26" ht="15.75" customHeight="1" thickBot="1">
      <c r="A13" s="230"/>
      <c r="B13" s="230"/>
      <c r="C13" s="230"/>
      <c r="D13" s="230"/>
      <c r="E13" s="230"/>
      <c r="F13" s="230"/>
      <c r="G13" s="434"/>
      <c r="H13" s="427"/>
      <c r="I13" s="427"/>
      <c r="J13" s="230"/>
      <c r="K13" s="230"/>
      <c r="L13" s="23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</row>
    <row r="14" spans="1:26" ht="15.75" customHeight="1" thickBot="1">
      <c r="A14" s="338" t="s">
        <v>658</v>
      </c>
      <c r="B14" s="339"/>
      <c r="C14" s="340" t="s">
        <v>657</v>
      </c>
      <c r="D14" s="340" t="s">
        <v>656</v>
      </c>
      <c r="E14" s="340" t="s">
        <v>655</v>
      </c>
      <c r="F14" s="341"/>
      <c r="G14" s="230"/>
      <c r="H14" s="277"/>
      <c r="I14" s="277"/>
      <c r="J14" s="230"/>
      <c r="K14" s="230"/>
      <c r="L14" s="230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</row>
    <row r="15" spans="1:26" ht="15.75" customHeight="1">
      <c r="A15" s="268" t="s">
        <v>654</v>
      </c>
      <c r="B15" s="230"/>
      <c r="C15" s="342">
        <v>147.91</v>
      </c>
      <c r="D15" s="299"/>
      <c r="E15" s="299"/>
      <c r="F15" s="288"/>
      <c r="G15" s="287" t="s">
        <v>653</v>
      </c>
      <c r="H15" s="265"/>
      <c r="I15" s="230"/>
      <c r="J15" s="230"/>
      <c r="K15" s="230"/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</row>
    <row r="16" spans="1:26" ht="15.75" customHeight="1">
      <c r="A16" s="268" t="s">
        <v>652</v>
      </c>
      <c r="B16" s="230"/>
      <c r="C16" s="299">
        <f>279101936/10^6</f>
        <v>279.10193600000002</v>
      </c>
      <c r="D16" s="299"/>
      <c r="E16" s="299"/>
      <c r="F16" s="286"/>
      <c r="G16" s="230" t="s">
        <v>651</v>
      </c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</row>
    <row r="17" spans="1:26" ht="15.75" customHeight="1">
      <c r="A17" s="268" t="s">
        <v>650</v>
      </c>
      <c r="B17" s="230"/>
      <c r="C17" s="299">
        <f>C16+H45+G53</f>
        <v>281.63034787208437</v>
      </c>
      <c r="D17" s="299"/>
      <c r="E17" s="299"/>
      <c r="F17" s="286"/>
      <c r="G17" s="230"/>
      <c r="H17" s="258"/>
      <c r="I17" s="230"/>
      <c r="J17" s="230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</row>
    <row r="18" spans="1:26" ht="15.75" customHeight="1">
      <c r="A18" s="268" t="s">
        <v>546</v>
      </c>
      <c r="B18" s="231"/>
      <c r="C18" s="299">
        <f>C15*C17</f>
        <v>41655.944753759999</v>
      </c>
      <c r="D18" s="299"/>
      <c r="E18" s="299"/>
      <c r="F18" s="343">
        <f>SUM(C18:E18)</f>
        <v>41655.944753759999</v>
      </c>
      <c r="G18" s="230"/>
      <c r="H18" s="230"/>
      <c r="I18" s="258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</row>
    <row r="19" spans="1:26" ht="15.75" customHeight="1">
      <c r="A19" s="268" t="s">
        <v>523</v>
      </c>
      <c r="B19" s="230"/>
      <c r="C19" s="230"/>
      <c r="D19" s="258"/>
      <c r="E19" s="258"/>
      <c r="F19" s="343">
        <v>0</v>
      </c>
      <c r="G19" s="230"/>
      <c r="H19" s="258"/>
      <c r="I19" s="258"/>
      <c r="J19" s="230"/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</row>
    <row r="20" spans="1:26" ht="15.75" customHeight="1">
      <c r="A20" s="285" t="s">
        <v>649</v>
      </c>
      <c r="B20" s="230"/>
      <c r="C20" s="230"/>
      <c r="D20" s="258"/>
      <c r="E20" s="258"/>
      <c r="F20" s="343">
        <v>0</v>
      </c>
      <c r="G20" s="230"/>
      <c r="H20" s="258"/>
      <c r="I20" s="258"/>
      <c r="J20" s="230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</row>
    <row r="21" spans="1:26" ht="15.75" customHeight="1">
      <c r="A21" s="268"/>
      <c r="B21" s="230" t="s">
        <v>648</v>
      </c>
      <c r="C21" s="230"/>
      <c r="D21" s="230"/>
      <c r="E21" s="299">
        <v>0</v>
      </c>
      <c r="F21" s="286"/>
      <c r="G21" s="230"/>
      <c r="H21" s="230"/>
      <c r="I21" s="230"/>
      <c r="J21" s="230"/>
      <c r="K21" s="230"/>
      <c r="L21" s="230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</row>
    <row r="22" spans="1:26" ht="15.75" customHeight="1">
      <c r="A22" s="268"/>
      <c r="B22" s="257" t="s">
        <v>647</v>
      </c>
      <c r="C22" s="230"/>
      <c r="D22" s="230"/>
      <c r="E22" s="299">
        <v>0</v>
      </c>
      <c r="F22" s="286"/>
      <c r="G22" s="230"/>
      <c r="H22" s="230"/>
      <c r="I22" s="230"/>
      <c r="J22" s="230"/>
      <c r="K22" s="230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</row>
    <row r="23" spans="1:26" ht="15.75" customHeight="1">
      <c r="A23" s="285" t="s">
        <v>646</v>
      </c>
      <c r="B23" s="230"/>
      <c r="C23" s="230"/>
      <c r="D23" s="230"/>
      <c r="E23" s="258"/>
      <c r="F23" s="343">
        <f>SUM(E24:E25)</f>
        <v>11333</v>
      </c>
      <c r="G23" s="230"/>
      <c r="H23" s="258"/>
      <c r="I23" s="258"/>
      <c r="J23" s="230"/>
      <c r="K23" s="230"/>
      <c r="L23" s="230"/>
      <c r="M23" s="230"/>
      <c r="N23" s="230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</row>
    <row r="24" spans="1:26" ht="15" customHeight="1">
      <c r="A24" s="268"/>
      <c r="B24" s="257" t="s">
        <v>645</v>
      </c>
      <c r="C24" s="257"/>
      <c r="D24" s="230"/>
      <c r="E24" s="299">
        <f>27+11306</f>
        <v>11333</v>
      </c>
      <c r="F24" s="286"/>
      <c r="G24" s="230" t="s">
        <v>644</v>
      </c>
      <c r="H24" s="230"/>
      <c r="I24" s="230"/>
      <c r="J24" s="230"/>
      <c r="K24" s="230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</row>
    <row r="25" spans="1:26" ht="15" customHeight="1">
      <c r="A25" s="268"/>
      <c r="B25" s="257" t="s">
        <v>643</v>
      </c>
      <c r="C25" s="257"/>
      <c r="D25" s="230"/>
      <c r="E25" s="299">
        <v>0</v>
      </c>
      <c r="F25" s="286"/>
      <c r="G25" s="230"/>
      <c r="H25" s="230"/>
      <c r="I25" s="230"/>
      <c r="J25" s="230"/>
      <c r="K25" s="230"/>
      <c r="L25" s="230"/>
      <c r="M25" s="230"/>
      <c r="N25" s="230"/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</row>
    <row r="26" spans="1:26" ht="15.75" customHeight="1">
      <c r="A26" s="285" t="s">
        <v>642</v>
      </c>
      <c r="B26" s="230"/>
      <c r="C26" s="230"/>
      <c r="D26" s="230"/>
      <c r="E26" s="258"/>
      <c r="F26" s="286"/>
      <c r="G26" s="230"/>
      <c r="H26" s="230"/>
      <c r="I26" s="230"/>
      <c r="J26" s="230"/>
      <c r="K26" s="230"/>
      <c r="L26" s="230"/>
      <c r="M26" s="230"/>
      <c r="N26" s="230"/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</row>
    <row r="27" spans="1:26" ht="15" customHeight="1">
      <c r="A27" s="268"/>
      <c r="B27" s="230" t="s">
        <v>641</v>
      </c>
      <c r="C27" s="230"/>
      <c r="D27" s="230"/>
      <c r="E27" s="258"/>
      <c r="F27" s="343">
        <v>696</v>
      </c>
      <c r="G27" s="230" t="s">
        <v>673</v>
      </c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</row>
    <row r="28" spans="1:26" ht="15.75" customHeight="1">
      <c r="A28" s="268"/>
      <c r="B28" s="230" t="s">
        <v>640</v>
      </c>
      <c r="C28" s="230"/>
      <c r="D28" s="230"/>
      <c r="E28" s="230"/>
      <c r="F28" s="343">
        <v>-115</v>
      </c>
      <c r="G28" s="230" t="s">
        <v>672</v>
      </c>
      <c r="H28" s="258"/>
      <c r="I28" s="258"/>
      <c r="J28" s="230"/>
      <c r="K28" s="230"/>
      <c r="L28" s="230"/>
      <c r="M28" s="230"/>
      <c r="N28" s="230"/>
      <c r="O28" s="230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</row>
    <row r="29" spans="1:26" ht="15.75" customHeight="1">
      <c r="A29" s="285" t="s">
        <v>638</v>
      </c>
      <c r="B29" s="230"/>
      <c r="C29" s="230"/>
      <c r="D29" s="230"/>
      <c r="E29" s="258"/>
      <c r="F29" s="343">
        <v>616</v>
      </c>
      <c r="G29" s="230" t="s">
        <v>671</v>
      </c>
      <c r="H29" s="258"/>
      <c r="I29" s="258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</row>
    <row r="30" spans="1:26" ht="15.75" customHeight="1" thickBot="1">
      <c r="A30" s="284" t="s">
        <v>636</v>
      </c>
      <c r="B30" s="283"/>
      <c r="C30" s="283"/>
      <c r="D30" s="282"/>
      <c r="E30" s="282"/>
      <c r="F30" s="344">
        <f>F18+F19+F20+F23+F27+F28-F29</f>
        <v>52953.944753759999</v>
      </c>
      <c r="G30" s="230"/>
      <c r="H30" s="230"/>
      <c r="I30" s="258"/>
      <c r="J30" s="230"/>
      <c r="K30" s="230"/>
      <c r="L30" s="230"/>
      <c r="M30" s="230"/>
      <c r="N30" s="230"/>
      <c r="O30" s="230"/>
      <c r="P30" s="230"/>
      <c r="Q30" s="230"/>
      <c r="R30" s="230"/>
      <c r="S30" s="230"/>
      <c r="T30" s="230"/>
      <c r="U30" s="230"/>
      <c r="V30" s="230"/>
      <c r="W30" s="230"/>
      <c r="X30" s="230"/>
      <c r="Y30" s="230"/>
      <c r="Z30" s="230"/>
    </row>
    <row r="31" spans="1:26" ht="15.75" customHeight="1">
      <c r="A31" s="281" t="s">
        <v>635</v>
      </c>
      <c r="B31" s="259"/>
      <c r="C31" s="259"/>
      <c r="D31" s="261"/>
      <c r="E31" s="261"/>
      <c r="F31" s="343">
        <v>91</v>
      </c>
      <c r="G31" s="230" t="s">
        <v>634</v>
      </c>
      <c r="H31" s="258"/>
      <c r="I31" s="258"/>
      <c r="J31" s="230"/>
      <c r="K31" s="230"/>
      <c r="L31" s="230"/>
      <c r="M31" s="230"/>
      <c r="N31" s="230"/>
      <c r="O31" s="230"/>
      <c r="P31" s="230"/>
      <c r="Q31" s="230"/>
      <c r="R31" s="230"/>
      <c r="S31" s="230"/>
      <c r="T31" s="230"/>
      <c r="U31" s="230"/>
      <c r="V31" s="230"/>
      <c r="W31" s="230"/>
      <c r="X31" s="230"/>
      <c r="Y31" s="230"/>
      <c r="Z31" s="230"/>
    </row>
    <row r="32" spans="1:26" ht="14.25" customHeight="1">
      <c r="A32" s="281" t="s">
        <v>414</v>
      </c>
      <c r="B32" s="259"/>
      <c r="C32" s="259"/>
      <c r="D32" s="261"/>
      <c r="E32" s="261"/>
      <c r="F32" s="343">
        <f>F30-F31</f>
        <v>52862.944753759999</v>
      </c>
      <c r="G32" s="230"/>
      <c r="H32" s="230"/>
      <c r="I32" s="258"/>
      <c r="J32" s="230"/>
      <c r="K32" s="230"/>
      <c r="L32" s="230"/>
      <c r="M32" s="230"/>
      <c r="N32" s="230"/>
      <c r="O32" s="230"/>
      <c r="P32" s="230"/>
      <c r="Q32" s="230"/>
      <c r="R32" s="230"/>
      <c r="S32" s="230"/>
      <c r="T32" s="230"/>
      <c r="U32" s="230"/>
      <c r="V32" s="230"/>
      <c r="W32" s="230"/>
      <c r="X32" s="230"/>
      <c r="Y32" s="230"/>
      <c r="Z32" s="230"/>
    </row>
    <row r="33" spans="1:26" ht="15" customHeight="1" thickBot="1">
      <c r="A33" s="267" t="s">
        <v>633</v>
      </c>
      <c r="B33" s="223"/>
      <c r="C33" s="223"/>
      <c r="D33" s="223"/>
      <c r="E33" s="223"/>
      <c r="F33" s="345">
        <f>F18/SUM(C17:E17)</f>
        <v>147.91</v>
      </c>
      <c r="G33" s="230"/>
      <c r="H33" s="230"/>
      <c r="I33" s="230"/>
      <c r="J33" s="280"/>
      <c r="K33" s="230"/>
      <c r="L33" s="230"/>
      <c r="M33" s="230"/>
      <c r="N33" s="230"/>
      <c r="O33" s="230"/>
      <c r="P33" s="230"/>
      <c r="Q33" s="230"/>
      <c r="R33" s="230"/>
      <c r="S33" s="230"/>
      <c r="T33" s="230"/>
      <c r="U33" s="230"/>
      <c r="V33" s="230"/>
      <c r="W33" s="230"/>
      <c r="X33" s="230"/>
      <c r="Y33" s="230"/>
      <c r="Z33" s="230"/>
    </row>
    <row r="34" spans="1:26" ht="15.75" customHeight="1" thickBot="1">
      <c r="A34" s="230"/>
      <c r="B34" s="230"/>
      <c r="C34" s="230"/>
      <c r="D34" s="230"/>
      <c r="E34" s="230"/>
      <c r="F34" s="230"/>
      <c r="G34" s="230"/>
      <c r="H34" s="263"/>
      <c r="I34" s="263"/>
      <c r="J34" s="263"/>
      <c r="K34" s="230"/>
      <c r="L34" s="230"/>
      <c r="M34" s="230"/>
      <c r="N34" s="230"/>
      <c r="O34" s="230"/>
      <c r="P34" s="230"/>
      <c r="Q34" s="230"/>
      <c r="R34" s="230"/>
      <c r="S34" s="230"/>
      <c r="T34" s="230"/>
      <c r="U34" s="230"/>
      <c r="V34" s="230"/>
      <c r="W34" s="230"/>
      <c r="X34" s="230"/>
      <c r="Y34" s="230"/>
      <c r="Z34" s="230"/>
    </row>
    <row r="35" spans="1:26" ht="15.75" customHeight="1" thickBot="1">
      <c r="A35" s="365" t="s">
        <v>632</v>
      </c>
      <c r="B35" s="366"/>
      <c r="C35" s="366"/>
      <c r="D35" s="366"/>
      <c r="E35" s="366"/>
      <c r="F35" s="366"/>
      <c r="G35" s="366"/>
      <c r="H35" s="366"/>
      <c r="I35" s="230"/>
      <c r="J35" s="230"/>
      <c r="K35" s="230"/>
      <c r="L35" s="230"/>
      <c r="M35" s="230"/>
      <c r="N35" s="230"/>
      <c r="O35" s="230"/>
      <c r="P35" s="230"/>
      <c r="Q35" s="230"/>
      <c r="R35" s="230"/>
      <c r="S35" s="230"/>
      <c r="T35" s="230"/>
      <c r="U35" s="230"/>
      <c r="V35" s="230"/>
      <c r="W35" s="230"/>
      <c r="X35" s="230"/>
      <c r="Y35" s="230"/>
      <c r="Z35" s="230"/>
    </row>
    <row r="36" spans="1:26" ht="15.75" customHeight="1" thickBot="1">
      <c r="A36" s="230"/>
      <c r="B36" s="230"/>
      <c r="C36" s="230"/>
      <c r="D36" s="230"/>
      <c r="E36" s="230"/>
      <c r="F36" s="230"/>
      <c r="G36" s="230"/>
      <c r="H36" s="263"/>
      <c r="I36" s="263"/>
      <c r="J36" s="263"/>
      <c r="K36" s="263"/>
      <c r="L36" s="230"/>
      <c r="M36" s="230"/>
      <c r="N36" s="230"/>
      <c r="O36" s="230"/>
      <c r="P36" s="230"/>
      <c r="Q36" s="230"/>
      <c r="R36" s="230"/>
      <c r="S36" s="230"/>
      <c r="T36" s="230"/>
      <c r="U36" s="230"/>
      <c r="V36" s="230"/>
      <c r="W36" s="230"/>
      <c r="X36" s="230"/>
      <c r="Y36" s="230"/>
      <c r="Z36" s="230"/>
    </row>
    <row r="37" spans="1:26" ht="15.75" customHeight="1" thickBot="1">
      <c r="A37" s="230"/>
      <c r="B37" s="364" t="s">
        <v>631</v>
      </c>
      <c r="C37" s="367"/>
      <c r="D37" s="367"/>
      <c r="E37" s="367"/>
      <c r="F37" s="367"/>
      <c r="G37" s="367"/>
      <c r="H37" s="368"/>
      <c r="I37" s="263"/>
      <c r="J37" s="279"/>
      <c r="K37" s="230"/>
      <c r="L37" s="230"/>
      <c r="M37" s="230"/>
      <c r="N37" s="230"/>
      <c r="O37" s="230"/>
      <c r="P37" s="230"/>
      <c r="Q37" s="230"/>
      <c r="R37" s="230"/>
      <c r="S37" s="230"/>
      <c r="T37" s="230"/>
      <c r="U37" s="230"/>
      <c r="V37" s="230"/>
      <c r="W37" s="230"/>
      <c r="X37" s="230"/>
      <c r="Y37" s="230"/>
      <c r="Z37" s="230"/>
    </row>
    <row r="38" spans="1:26" ht="15.75" customHeight="1">
      <c r="A38" s="230"/>
      <c r="B38" s="278"/>
      <c r="C38" s="231" t="s">
        <v>500</v>
      </c>
      <c r="D38" s="230"/>
      <c r="E38" s="229" t="s">
        <v>499</v>
      </c>
      <c r="F38" s="229"/>
      <c r="G38" s="229"/>
      <c r="H38" s="228" t="s">
        <v>498</v>
      </c>
      <c r="I38" s="263"/>
      <c r="J38" s="231"/>
      <c r="K38" s="231"/>
      <c r="L38" s="277"/>
      <c r="M38" s="277"/>
      <c r="N38" s="231"/>
      <c r="O38" s="230"/>
      <c r="P38" s="230"/>
      <c r="Q38" s="230"/>
      <c r="R38" s="230"/>
      <c r="S38" s="230"/>
      <c r="T38" s="230"/>
      <c r="U38" s="230"/>
      <c r="V38" s="230"/>
      <c r="W38" s="230"/>
      <c r="X38" s="230"/>
      <c r="Y38" s="230"/>
      <c r="Z38" s="230"/>
    </row>
    <row r="39" spans="1:26" ht="15.75" customHeight="1" thickBot="1">
      <c r="A39" s="230"/>
      <c r="B39" s="276" t="s">
        <v>630</v>
      </c>
      <c r="C39" s="227" t="s">
        <v>142</v>
      </c>
      <c r="D39" s="227" t="s">
        <v>496</v>
      </c>
      <c r="E39" s="227" t="s">
        <v>495</v>
      </c>
      <c r="F39" s="227" t="s">
        <v>437</v>
      </c>
      <c r="G39" s="223" t="s">
        <v>494</v>
      </c>
      <c r="H39" s="226" t="s">
        <v>493</v>
      </c>
      <c r="I39" s="263"/>
      <c r="J39" s="262"/>
      <c r="K39" s="231"/>
      <c r="L39" s="231"/>
      <c r="M39" s="230"/>
      <c r="N39" s="231"/>
      <c r="O39" s="230"/>
      <c r="P39" s="230"/>
      <c r="Q39" s="230"/>
      <c r="R39" s="230"/>
      <c r="S39" s="230"/>
      <c r="T39" s="230"/>
      <c r="U39" s="230"/>
      <c r="V39" s="230"/>
      <c r="W39" s="230"/>
      <c r="X39" s="230"/>
      <c r="Y39" s="230"/>
      <c r="Z39" s="230"/>
    </row>
    <row r="40" spans="1:26" ht="15.75" customHeight="1">
      <c r="A40" s="230"/>
      <c r="B40" s="350">
        <f>7730/1000</f>
        <v>7.73</v>
      </c>
      <c r="C40" s="363">
        <v>99.53</v>
      </c>
      <c r="D40" s="310" t="str">
        <f>IF(C15&gt;C40,"YES","NO")</f>
        <v>YES</v>
      </c>
      <c r="E40" s="311">
        <f>IF(D40="YES",B40,0)</f>
        <v>7.73</v>
      </c>
      <c r="F40" s="299">
        <f>(E40*C40)</f>
        <v>769.3669000000001</v>
      </c>
      <c r="G40" s="311">
        <f>F40/C15</f>
        <v>5.2015881279156249</v>
      </c>
      <c r="H40" s="312">
        <f>E40-G40</f>
        <v>2.5284118720843756</v>
      </c>
      <c r="I40" s="263"/>
      <c r="J40" s="275"/>
      <c r="K40" s="275"/>
      <c r="L40" s="258"/>
      <c r="M40" s="275"/>
      <c r="N40" s="275"/>
      <c r="O40" s="230"/>
      <c r="P40" s="230"/>
      <c r="Q40" s="230"/>
      <c r="R40" s="230"/>
      <c r="S40" s="230"/>
      <c r="T40" s="230"/>
      <c r="U40" s="230"/>
      <c r="V40" s="230"/>
      <c r="W40" s="230"/>
      <c r="X40" s="230"/>
      <c r="Y40" s="230"/>
      <c r="Z40" s="230"/>
    </row>
    <row r="41" spans="1:26" ht="15.75" customHeight="1">
      <c r="A41" s="230"/>
      <c r="B41" s="352"/>
      <c r="C41" s="351"/>
      <c r="D41" s="310"/>
      <c r="E41" s="311"/>
      <c r="F41" s="299"/>
      <c r="G41" s="311"/>
      <c r="H41" s="312"/>
      <c r="I41" s="263"/>
      <c r="J41" s="275"/>
      <c r="K41" s="275"/>
      <c r="L41" s="258"/>
      <c r="M41" s="275"/>
      <c r="N41" s="275"/>
      <c r="O41" s="230"/>
      <c r="P41" s="230"/>
      <c r="Q41" s="230"/>
      <c r="R41" s="230"/>
      <c r="S41" s="230"/>
      <c r="T41" s="230"/>
      <c r="U41" s="230"/>
      <c r="V41" s="230"/>
      <c r="W41" s="230"/>
      <c r="X41" s="230"/>
      <c r="Y41" s="230"/>
      <c r="Z41" s="230"/>
    </row>
    <row r="42" spans="1:26" ht="15.75" customHeight="1">
      <c r="A42" s="230"/>
      <c r="B42" s="352"/>
      <c r="C42" s="351"/>
      <c r="D42" s="310"/>
      <c r="E42" s="311"/>
      <c r="F42" s="299"/>
      <c r="G42" s="311"/>
      <c r="H42" s="312"/>
      <c r="I42" s="263"/>
      <c r="J42" s="275"/>
      <c r="K42" s="275"/>
      <c r="L42" s="258"/>
      <c r="M42" s="275"/>
      <c r="N42" s="275"/>
      <c r="O42" s="230"/>
      <c r="P42" s="230"/>
      <c r="Q42" s="230"/>
      <c r="R42" s="230"/>
      <c r="S42" s="230"/>
      <c r="T42" s="230"/>
      <c r="U42" s="230"/>
      <c r="V42" s="230"/>
      <c r="W42" s="230"/>
      <c r="X42" s="230"/>
      <c r="Y42" s="230"/>
      <c r="Z42" s="230"/>
    </row>
    <row r="43" spans="1:26" ht="15.75" customHeight="1">
      <c r="A43" s="230"/>
      <c r="B43" s="352"/>
      <c r="C43" s="351"/>
      <c r="D43" s="310"/>
      <c r="E43" s="311"/>
      <c r="F43" s="299"/>
      <c r="G43" s="311"/>
      <c r="H43" s="312"/>
      <c r="I43" s="263"/>
      <c r="J43" s="275"/>
      <c r="K43" s="275"/>
      <c r="L43" s="258"/>
      <c r="M43" s="275"/>
      <c r="N43" s="275"/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</row>
    <row r="44" spans="1:26" ht="15.75" customHeight="1">
      <c r="A44" s="230"/>
      <c r="B44" s="352"/>
      <c r="C44" s="351"/>
      <c r="D44" s="310"/>
      <c r="E44" s="311"/>
      <c r="F44" s="299"/>
      <c r="G44" s="311"/>
      <c r="H44" s="312"/>
      <c r="I44" s="263"/>
      <c r="J44" s="275"/>
      <c r="K44" s="275"/>
      <c r="L44" s="258"/>
      <c r="M44" s="275"/>
      <c r="N44" s="275"/>
      <c r="O44" s="230"/>
      <c r="P44" s="230"/>
      <c r="Q44" s="230"/>
      <c r="R44" s="230"/>
      <c r="S44" s="230"/>
      <c r="T44" s="230"/>
      <c r="U44" s="230"/>
      <c r="V44" s="230"/>
      <c r="W44" s="230"/>
      <c r="X44" s="230"/>
      <c r="Y44" s="230"/>
      <c r="Z44" s="230"/>
    </row>
    <row r="45" spans="1:26" ht="15.75" customHeight="1" thickBot="1">
      <c r="A45" s="230"/>
      <c r="B45" s="267"/>
      <c r="C45" s="223"/>
      <c r="D45" s="223"/>
      <c r="E45" s="223"/>
      <c r="F45" s="223"/>
      <c r="G45" s="223"/>
      <c r="H45" s="349">
        <f>SUM(H40:H44)</f>
        <v>2.5284118720843756</v>
      </c>
      <c r="I45" s="263"/>
      <c r="J45" s="230"/>
      <c r="K45" s="230"/>
      <c r="L45" s="230"/>
      <c r="M45" s="230"/>
      <c r="N45" s="275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</row>
    <row r="46" spans="1:26" ht="15.75" customHeight="1" thickBot="1">
      <c r="A46" s="230"/>
      <c r="B46" s="230"/>
      <c r="C46" s="230"/>
      <c r="D46" s="230"/>
      <c r="E46" s="230"/>
      <c r="F46" s="230"/>
      <c r="G46" s="230"/>
      <c r="H46" s="263"/>
      <c r="I46" s="263"/>
      <c r="J46" s="263"/>
      <c r="K46" s="263"/>
      <c r="L46" s="230"/>
      <c r="M46" s="230"/>
      <c r="N46" s="230"/>
      <c r="O46" s="230"/>
      <c r="P46" s="230"/>
      <c r="Q46" s="230"/>
      <c r="R46" s="230"/>
      <c r="S46" s="230"/>
      <c r="T46" s="230"/>
      <c r="U46" s="230"/>
      <c r="V46" s="230"/>
      <c r="W46" s="230"/>
      <c r="X46" s="230"/>
      <c r="Y46" s="230"/>
      <c r="Z46" s="230"/>
    </row>
    <row r="47" spans="1:26" ht="15.75" customHeight="1" thickBot="1">
      <c r="A47" s="230"/>
      <c r="B47" s="338" t="s">
        <v>628</v>
      </c>
      <c r="C47" s="346"/>
      <c r="D47" s="346"/>
      <c r="E47" s="346"/>
      <c r="F47" s="346"/>
      <c r="G47" s="348"/>
      <c r="H47" s="263"/>
      <c r="I47" s="263"/>
      <c r="J47" s="230"/>
      <c r="K47" s="230"/>
      <c r="L47" s="230"/>
      <c r="M47" s="230"/>
      <c r="N47" s="230"/>
      <c r="O47" s="230"/>
      <c r="P47" s="230"/>
      <c r="Q47" s="230"/>
      <c r="R47" s="230"/>
      <c r="S47" s="230"/>
      <c r="T47" s="230"/>
      <c r="U47" s="230"/>
      <c r="V47" s="230"/>
      <c r="W47" s="230"/>
      <c r="X47" s="230"/>
      <c r="Y47" s="230"/>
      <c r="Z47" s="230"/>
    </row>
    <row r="48" spans="1:26" ht="15.75" customHeight="1">
      <c r="A48" s="230"/>
      <c r="B48" s="274"/>
      <c r="C48" s="273"/>
      <c r="D48" s="273"/>
      <c r="E48" s="435" t="s">
        <v>627</v>
      </c>
      <c r="F48" s="272"/>
      <c r="G48" s="436" t="s">
        <v>626</v>
      </c>
      <c r="H48" s="263"/>
      <c r="I48" s="263"/>
      <c r="J48" s="257"/>
      <c r="K48" s="257"/>
      <c r="L48" s="230"/>
      <c r="M48" s="438"/>
      <c r="N48" s="230"/>
      <c r="O48" s="230"/>
      <c r="P48" s="230"/>
      <c r="Q48" s="230"/>
      <c r="R48" s="230"/>
      <c r="S48" s="230"/>
      <c r="T48" s="230"/>
      <c r="U48" s="230"/>
      <c r="V48" s="230"/>
      <c r="W48" s="230"/>
      <c r="X48" s="230"/>
      <c r="Y48" s="230"/>
      <c r="Z48" s="230"/>
    </row>
    <row r="49" spans="1:26" ht="15.75" customHeight="1">
      <c r="A49" s="230"/>
      <c r="B49" s="271" t="s">
        <v>625</v>
      </c>
      <c r="C49" s="270" t="s">
        <v>172</v>
      </c>
      <c r="D49" s="270" t="s">
        <v>624</v>
      </c>
      <c r="E49" s="427"/>
      <c r="F49" s="269" t="s">
        <v>623</v>
      </c>
      <c r="G49" s="437"/>
      <c r="H49" s="263"/>
      <c r="I49" s="263"/>
      <c r="J49" s="257"/>
      <c r="K49" s="270"/>
      <c r="L49" s="269"/>
      <c r="M49" s="427"/>
      <c r="N49" s="230"/>
      <c r="O49" s="230"/>
      <c r="P49" s="230"/>
      <c r="Q49" s="230"/>
      <c r="R49" s="230"/>
      <c r="S49" s="230"/>
      <c r="T49" s="230"/>
      <c r="U49" s="230"/>
      <c r="V49" s="230"/>
      <c r="W49" s="230"/>
      <c r="X49" s="230"/>
      <c r="Y49" s="230"/>
      <c r="Z49" s="230"/>
    </row>
    <row r="50" spans="1:26" ht="15.75" customHeight="1">
      <c r="A50" s="230"/>
      <c r="B50" s="268"/>
      <c r="C50" s="353"/>
      <c r="D50" s="353"/>
      <c r="E50" s="354"/>
      <c r="F50" s="306"/>
      <c r="G50" s="355"/>
      <c r="H50" s="263"/>
      <c r="I50" s="263"/>
      <c r="J50" s="230"/>
      <c r="K50" s="258"/>
      <c r="L50" s="265"/>
      <c r="M50" s="265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</row>
    <row r="51" spans="1:26" ht="15.75" customHeight="1">
      <c r="A51" s="230"/>
      <c r="B51" s="268"/>
      <c r="C51" s="353"/>
      <c r="D51" s="353"/>
      <c r="E51" s="354"/>
      <c r="F51" s="306"/>
      <c r="G51" s="355"/>
      <c r="H51" s="263"/>
      <c r="I51" s="263"/>
      <c r="J51" s="230"/>
      <c r="K51" s="258"/>
      <c r="L51" s="265"/>
      <c r="M51" s="265"/>
      <c r="N51" s="230"/>
      <c r="O51" s="230"/>
      <c r="P51" s="230"/>
      <c r="Q51" s="230"/>
      <c r="R51" s="230"/>
      <c r="S51" s="230"/>
      <c r="T51" s="230"/>
      <c r="U51" s="230"/>
      <c r="V51" s="230"/>
      <c r="W51" s="230"/>
      <c r="X51" s="230"/>
      <c r="Y51" s="230"/>
      <c r="Z51" s="230"/>
    </row>
    <row r="52" spans="1:26" ht="15.75" customHeight="1">
      <c r="A52" s="230"/>
      <c r="B52" s="268"/>
      <c r="C52" s="353"/>
      <c r="D52" s="353"/>
      <c r="E52" s="354"/>
      <c r="F52" s="356"/>
      <c r="G52" s="355"/>
      <c r="H52" s="263"/>
      <c r="I52" s="263"/>
      <c r="J52" s="230"/>
      <c r="K52" s="258"/>
      <c r="L52" s="265"/>
      <c r="M52" s="265"/>
      <c r="N52" s="230"/>
      <c r="O52" s="230"/>
      <c r="P52" s="230"/>
      <c r="Q52" s="230"/>
      <c r="R52" s="230"/>
      <c r="S52" s="230"/>
      <c r="T52" s="230"/>
      <c r="U52" s="230"/>
      <c r="V52" s="230"/>
      <c r="W52" s="230"/>
      <c r="X52" s="230"/>
      <c r="Y52" s="230"/>
      <c r="Z52" s="230"/>
    </row>
    <row r="53" spans="1:26" ht="15.75" customHeight="1" thickBot="1">
      <c r="A53" s="230"/>
      <c r="B53" s="267"/>
      <c r="C53" s="266"/>
      <c r="D53" s="266"/>
      <c r="E53" s="266"/>
      <c r="F53" s="357"/>
      <c r="G53" s="358"/>
      <c r="H53" s="263"/>
      <c r="I53" s="263"/>
      <c r="J53" s="230"/>
      <c r="K53" s="258"/>
      <c r="L53" s="265"/>
      <c r="M53" s="265"/>
      <c r="N53" s="230"/>
      <c r="O53" s="230"/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0"/>
    </row>
    <row r="54" spans="1:26" ht="15.75" customHeight="1">
      <c r="A54" s="230"/>
      <c r="B54" s="230"/>
      <c r="C54" s="230"/>
      <c r="D54" s="230"/>
      <c r="E54" s="230"/>
      <c r="F54" s="230"/>
      <c r="G54" s="230"/>
      <c r="H54" s="263"/>
      <c r="I54" s="263"/>
      <c r="J54" s="230"/>
      <c r="K54" s="230"/>
      <c r="L54" s="230"/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30"/>
      <c r="X54" s="230"/>
      <c r="Y54" s="230"/>
      <c r="Z54" s="230"/>
    </row>
    <row r="55" spans="1:26" ht="15.75" customHeight="1">
      <c r="A55" s="230"/>
      <c r="B55" s="230"/>
      <c r="C55" s="230"/>
      <c r="D55" s="230"/>
      <c r="E55" s="230"/>
      <c r="F55" s="230"/>
      <c r="G55" s="230"/>
      <c r="H55" s="263" t="s">
        <v>622</v>
      </c>
      <c r="I55" s="263" t="s">
        <v>670</v>
      </c>
      <c r="J55" s="264" t="s">
        <v>670</v>
      </c>
      <c r="K55" s="263"/>
      <c r="L55" s="230"/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30"/>
      <c r="X55" s="230"/>
      <c r="Y55" s="230"/>
      <c r="Z55" s="230"/>
    </row>
    <row r="56" spans="1:26" ht="15.75" customHeight="1">
      <c r="A56" s="230"/>
      <c r="B56" s="230"/>
      <c r="C56" s="230"/>
      <c r="D56" s="230"/>
      <c r="E56" s="230"/>
      <c r="F56" s="230"/>
      <c r="G56" s="290"/>
      <c r="H56" s="263"/>
      <c r="I56" s="263"/>
      <c r="J56" s="263"/>
      <c r="K56" s="263"/>
      <c r="L56" s="230"/>
      <c r="M56" s="230"/>
      <c r="N56" s="230"/>
      <c r="O56" s="230"/>
      <c r="P56" s="230"/>
      <c r="Q56" s="230"/>
      <c r="R56" s="230"/>
      <c r="S56" s="230"/>
      <c r="T56" s="230"/>
      <c r="U56" s="230"/>
      <c r="V56" s="230"/>
      <c r="W56" s="230"/>
      <c r="X56" s="230"/>
      <c r="Y56" s="230"/>
      <c r="Z56" s="230"/>
    </row>
    <row r="57" spans="1:26" ht="15.75" customHeight="1">
      <c r="A57" s="369" t="s">
        <v>620</v>
      </c>
      <c r="B57" s="369"/>
      <c r="C57" s="369"/>
      <c r="D57" s="369"/>
      <c r="E57" s="369"/>
      <c r="F57" s="369"/>
      <c r="G57" s="369"/>
      <c r="H57" s="370" t="s">
        <v>619</v>
      </c>
      <c r="I57" s="370" t="s">
        <v>618</v>
      </c>
      <c r="J57" s="370" t="s">
        <v>617</v>
      </c>
      <c r="K57" s="370" t="s">
        <v>616</v>
      </c>
      <c r="L57" s="370" t="s">
        <v>615</v>
      </c>
      <c r="M57" s="370" t="s">
        <v>614</v>
      </c>
      <c r="N57" s="370" t="s">
        <v>613</v>
      </c>
      <c r="O57" s="370" t="s">
        <v>612</v>
      </c>
      <c r="P57" s="370" t="s">
        <v>611</v>
      </c>
      <c r="Q57" s="230"/>
      <c r="R57" s="230"/>
      <c r="S57" s="230"/>
      <c r="T57" s="230"/>
      <c r="U57" s="230"/>
      <c r="V57" s="230"/>
      <c r="W57" s="230"/>
      <c r="X57" s="230"/>
      <c r="Y57" s="230"/>
      <c r="Z57" s="230"/>
    </row>
    <row r="58" spans="1:26" ht="15.75" customHeight="1">
      <c r="A58" s="230"/>
      <c r="B58" s="230"/>
      <c r="C58" s="230"/>
      <c r="D58" s="230"/>
      <c r="E58" s="230"/>
      <c r="F58" s="230"/>
      <c r="G58" s="230"/>
      <c r="H58" s="230" t="s">
        <v>610</v>
      </c>
      <c r="I58" s="230"/>
      <c r="J58" s="230"/>
      <c r="K58" s="230"/>
      <c r="L58" s="230"/>
      <c r="M58" s="230"/>
      <c r="N58" s="230"/>
      <c r="O58" s="230"/>
      <c r="P58" s="230"/>
      <c r="Q58" s="230"/>
      <c r="R58" s="230"/>
      <c r="S58" s="230"/>
      <c r="T58" s="230"/>
      <c r="U58" s="230"/>
      <c r="V58" s="230"/>
      <c r="W58" s="230"/>
      <c r="X58" s="230"/>
      <c r="Y58" s="230"/>
      <c r="Z58" s="230"/>
    </row>
    <row r="59" spans="1:26" ht="15.75" customHeight="1">
      <c r="A59" s="230" t="s">
        <v>609</v>
      </c>
      <c r="B59" s="230"/>
      <c r="C59" s="230"/>
      <c r="D59" s="230"/>
      <c r="E59" s="230"/>
      <c r="F59" s="230"/>
      <c r="G59" s="230"/>
      <c r="H59" s="230">
        <v>7549</v>
      </c>
      <c r="I59" s="230">
        <v>5187</v>
      </c>
      <c r="J59" s="230">
        <v>5040</v>
      </c>
      <c r="K59" s="360">
        <f>H59+I59-J59</f>
        <v>7696</v>
      </c>
      <c r="L59">
        <v>8121</v>
      </c>
      <c r="M59">
        <v>8620</v>
      </c>
      <c r="Q59" s="230"/>
      <c r="R59" s="230"/>
      <c r="S59" s="230"/>
      <c r="T59" s="230"/>
      <c r="U59" s="230"/>
      <c r="V59" s="230"/>
      <c r="W59" s="230"/>
      <c r="X59" s="230"/>
      <c r="Y59" s="230"/>
      <c r="Z59" s="230"/>
    </row>
    <row r="60" spans="1:26" ht="5.25" customHeight="1">
      <c r="A60" s="230"/>
      <c r="B60" s="230"/>
      <c r="C60" s="230"/>
      <c r="D60" s="230"/>
      <c r="E60" s="230"/>
      <c r="F60" s="230"/>
      <c r="G60" s="230"/>
      <c r="H60" s="258"/>
      <c r="I60" s="258"/>
      <c r="J60" s="258"/>
      <c r="K60" s="258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0"/>
    </row>
    <row r="61" spans="1:26" ht="15.75" customHeight="1">
      <c r="A61" s="230" t="s">
        <v>608</v>
      </c>
      <c r="B61" s="230"/>
      <c r="C61" s="230"/>
      <c r="D61" s="230"/>
      <c r="E61" s="230"/>
      <c r="F61" s="230"/>
      <c r="G61" s="230"/>
      <c r="H61" s="230">
        <v>2403</v>
      </c>
      <c r="I61" s="230">
        <v>1746</v>
      </c>
      <c r="J61" s="230">
        <v>1709</v>
      </c>
      <c r="K61" s="360">
        <f>H61+I61-J61</f>
        <v>2440</v>
      </c>
      <c r="L61" s="230">
        <v>2682</v>
      </c>
      <c r="M61" s="230">
        <v>2892</v>
      </c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0"/>
    </row>
    <row r="62" spans="1:26" ht="15.75" customHeight="1">
      <c r="A62" s="230" t="s">
        <v>607</v>
      </c>
      <c r="B62" s="259"/>
      <c r="C62" s="259"/>
      <c r="D62" s="259"/>
      <c r="E62" s="259"/>
      <c r="F62" s="259"/>
      <c r="G62" s="259"/>
      <c r="H62" s="299">
        <v>0</v>
      </c>
      <c r="I62" s="299">
        <v>0</v>
      </c>
      <c r="J62" s="299">
        <v>0</v>
      </c>
      <c r="K62" s="261"/>
      <c r="L62" s="259"/>
      <c r="M62" s="259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</row>
    <row r="63" spans="1:26" ht="15.75" customHeight="1">
      <c r="A63" s="256" t="s">
        <v>606</v>
      </c>
      <c r="B63" s="259"/>
      <c r="C63" s="259"/>
      <c r="D63" s="259"/>
      <c r="E63" s="259"/>
      <c r="F63" s="259"/>
      <c r="G63" s="259"/>
      <c r="H63" s="360">
        <f>H61-H62</f>
        <v>2403</v>
      </c>
      <c r="I63" s="360">
        <f>I61-I62</f>
        <v>1746</v>
      </c>
      <c r="J63" s="360">
        <f>J61-J62</f>
        <v>1709</v>
      </c>
      <c r="K63" s="360">
        <f>H63+I63-J63</f>
        <v>2440</v>
      </c>
      <c r="L63">
        <f>L61-L62</f>
        <v>2682</v>
      </c>
      <c r="M63">
        <f>M61-M62</f>
        <v>2892</v>
      </c>
      <c r="N63" s="258"/>
      <c r="O63" s="258"/>
      <c r="P63" s="258"/>
      <c r="Q63" s="259"/>
      <c r="R63" s="259"/>
      <c r="S63" s="259"/>
      <c r="T63" s="259"/>
      <c r="U63" s="259"/>
      <c r="V63" s="259"/>
      <c r="W63" s="259"/>
      <c r="X63" s="259"/>
      <c r="Y63" s="259"/>
      <c r="Z63" s="259"/>
    </row>
    <row r="64" spans="1:26" ht="15.75" customHeight="1">
      <c r="A64" s="230" t="s">
        <v>605</v>
      </c>
      <c r="B64" s="230"/>
      <c r="C64" s="230"/>
      <c r="D64" s="230"/>
      <c r="E64" s="230"/>
      <c r="F64" s="230"/>
      <c r="G64" s="230"/>
      <c r="H64" s="230">
        <v>175</v>
      </c>
      <c r="I64" s="230">
        <v>120</v>
      </c>
      <c r="J64" s="230">
        <v>104</v>
      </c>
      <c r="K64" s="258"/>
      <c r="L64" s="230"/>
      <c r="M64" s="230"/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0"/>
    </row>
    <row r="65" spans="1:26" ht="15.75" customHeight="1">
      <c r="A65" s="259" t="s">
        <v>604</v>
      </c>
      <c r="B65" s="259"/>
      <c r="C65" s="259"/>
      <c r="D65" s="259"/>
      <c r="E65" s="259"/>
      <c r="F65" s="259"/>
      <c r="G65" s="259"/>
      <c r="H65" s="360">
        <f>H63+H64</f>
        <v>2578</v>
      </c>
      <c r="I65" s="360">
        <f>I63+I64</f>
        <v>1866</v>
      </c>
      <c r="J65" s="360">
        <f>J63+J64</f>
        <v>1813</v>
      </c>
      <c r="K65" s="360">
        <f>H65+I65-J65</f>
        <v>2631</v>
      </c>
      <c r="L65" s="258">
        <v>2863</v>
      </c>
      <c r="M65" s="258">
        <v>3079</v>
      </c>
      <c r="N65" s="258"/>
      <c r="O65" s="258"/>
      <c r="P65" s="258"/>
      <c r="Q65" s="259"/>
      <c r="R65" s="259"/>
      <c r="S65" s="259"/>
      <c r="T65" s="259"/>
      <c r="U65" s="259"/>
      <c r="V65" s="259"/>
      <c r="W65" s="259"/>
      <c r="X65" s="259"/>
      <c r="Y65" s="259"/>
      <c r="Z65" s="259"/>
    </row>
    <row r="66" spans="1:26" ht="6" customHeight="1">
      <c r="A66" s="230"/>
      <c r="B66" s="230"/>
      <c r="C66" s="230"/>
      <c r="D66" s="230"/>
      <c r="E66" s="230"/>
      <c r="F66" s="230"/>
      <c r="G66" s="230"/>
      <c r="H66" s="258"/>
      <c r="I66" s="258"/>
      <c r="J66" s="258"/>
      <c r="K66" s="258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</row>
    <row r="67" spans="1:26" ht="15.75" customHeight="1">
      <c r="A67" s="230" t="s">
        <v>603</v>
      </c>
      <c r="B67" s="230"/>
      <c r="C67" s="230"/>
      <c r="D67" s="230"/>
      <c r="E67" s="230"/>
      <c r="F67" s="230"/>
      <c r="G67" s="230"/>
      <c r="H67" s="289">
        <v>1486</v>
      </c>
      <c r="I67" s="289">
        <v>1063</v>
      </c>
      <c r="J67" s="289">
        <v>1134</v>
      </c>
      <c r="K67" s="360">
        <f>H67+I67-J67</f>
        <v>1415</v>
      </c>
      <c r="L67" s="230">
        <v>1672</v>
      </c>
      <c r="M67" s="230">
        <v>1834</v>
      </c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</row>
    <row r="68" spans="1:26" ht="15.75" customHeight="1">
      <c r="A68" s="230" t="s">
        <v>602</v>
      </c>
      <c r="B68" s="230"/>
      <c r="C68" s="230"/>
      <c r="D68" s="230"/>
      <c r="E68" s="230"/>
      <c r="F68" s="230"/>
      <c r="G68" s="230"/>
      <c r="H68" s="299">
        <f>H62</f>
        <v>0</v>
      </c>
      <c r="I68" s="299">
        <f>I62</f>
        <v>0</v>
      </c>
      <c r="J68" s="299">
        <f>J62</f>
        <v>0</v>
      </c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</row>
    <row r="69" spans="1:26" ht="15.75" customHeight="1">
      <c r="A69" s="230" t="s">
        <v>601</v>
      </c>
      <c r="B69" s="230"/>
      <c r="C69" s="230"/>
      <c r="D69" s="230"/>
      <c r="E69" s="230"/>
      <c r="F69" s="230"/>
      <c r="G69" s="230"/>
      <c r="H69" s="299">
        <v>0</v>
      </c>
      <c r="I69" s="299">
        <v>0</v>
      </c>
      <c r="J69" s="299">
        <v>0</v>
      </c>
      <c r="K69" s="23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0"/>
    </row>
    <row r="70" spans="1:26" ht="15.75" customHeight="1">
      <c r="A70" s="230" t="s">
        <v>600</v>
      </c>
      <c r="B70" s="230"/>
      <c r="C70" s="230"/>
      <c r="D70" s="230"/>
      <c r="E70" s="230"/>
      <c r="F70" s="230"/>
      <c r="G70" s="230"/>
      <c r="H70" s="299">
        <f>-(H68+H69)*F11</f>
        <v>0</v>
      </c>
      <c r="I70" s="299">
        <f>-(I68+I69)*F11</f>
        <v>0</v>
      </c>
      <c r="J70" s="299">
        <f>-(J68+J69)*F11</f>
        <v>0</v>
      </c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</row>
    <row r="71" spans="1:26" ht="15.75" customHeight="1">
      <c r="A71" s="230" t="s">
        <v>599</v>
      </c>
      <c r="B71" s="230"/>
      <c r="C71" s="230"/>
      <c r="D71" s="230"/>
      <c r="E71" s="230"/>
      <c r="F71" s="230"/>
      <c r="G71" s="230"/>
      <c r="H71" s="299"/>
      <c r="I71" s="299"/>
      <c r="J71" s="299"/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</row>
    <row r="72" spans="1:26" ht="15.75" customHeight="1">
      <c r="A72" s="259" t="s">
        <v>598</v>
      </c>
      <c r="B72" s="230"/>
      <c r="C72" s="230"/>
      <c r="D72" s="230"/>
      <c r="E72" s="230"/>
      <c r="F72" s="230"/>
      <c r="G72" s="230"/>
      <c r="H72" s="360">
        <v>1536</v>
      </c>
      <c r="I72" s="360">
        <v>1105</v>
      </c>
      <c r="J72" s="360">
        <v>1117</v>
      </c>
      <c r="K72" s="360">
        <f>H72+I72-J72</f>
        <v>1524</v>
      </c>
      <c r="L72" s="230"/>
      <c r="M72" s="230"/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0"/>
    </row>
    <row r="73" spans="1:26" ht="15.75" customHeight="1">
      <c r="A73" s="230" t="s">
        <v>597</v>
      </c>
      <c r="B73" s="230"/>
      <c r="C73" s="230"/>
      <c r="D73" s="230"/>
      <c r="E73" s="230"/>
      <c r="F73" s="230"/>
      <c r="G73" s="230"/>
      <c r="H73" s="299">
        <v>0</v>
      </c>
      <c r="I73" s="299">
        <v>0</v>
      </c>
      <c r="J73" s="299">
        <v>0</v>
      </c>
      <c r="K73" s="23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0"/>
    </row>
    <row r="74" spans="1:26" ht="15.75" customHeight="1">
      <c r="A74" s="259" t="s">
        <v>596</v>
      </c>
      <c r="B74" s="259"/>
      <c r="C74" s="259"/>
      <c r="D74" s="259"/>
      <c r="E74" s="259"/>
      <c r="F74" s="259"/>
      <c r="G74" s="259"/>
      <c r="H74" s="360">
        <f>H72-H73</f>
        <v>1536</v>
      </c>
      <c r="I74" s="360">
        <f>I72-I73</f>
        <v>1105</v>
      </c>
      <c r="J74" s="360">
        <f>J72-J73</f>
        <v>1117</v>
      </c>
      <c r="K74" s="360">
        <f>H74+I74-J74</f>
        <v>1524</v>
      </c>
      <c r="L74" s="258">
        <f>L67</f>
        <v>1672</v>
      </c>
      <c r="M74" s="258">
        <f>M67</f>
        <v>1834</v>
      </c>
      <c r="N74" s="258"/>
      <c r="O74" s="258"/>
      <c r="P74" s="258"/>
      <c r="Q74" s="259"/>
      <c r="R74" s="259"/>
      <c r="S74" s="259"/>
      <c r="T74" s="259"/>
      <c r="U74" s="259"/>
      <c r="V74" s="259"/>
      <c r="W74" s="259"/>
      <c r="X74" s="259"/>
      <c r="Y74" s="259"/>
      <c r="Z74" s="259"/>
    </row>
    <row r="75" spans="1:26" ht="15.75" customHeight="1">
      <c r="A75" s="230"/>
      <c r="B75" s="230"/>
      <c r="C75" s="230"/>
      <c r="D75" s="230"/>
      <c r="E75" s="230"/>
      <c r="F75" s="230"/>
      <c r="G75" s="230"/>
      <c r="H75" s="258"/>
      <c r="I75" s="258"/>
      <c r="J75" s="258"/>
      <c r="K75" s="258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</row>
    <row r="76" spans="1:26" ht="15.75" customHeight="1">
      <c r="A76" s="230" t="s">
        <v>595</v>
      </c>
      <c r="B76" s="230"/>
      <c r="C76" s="230"/>
      <c r="D76" s="230"/>
      <c r="E76" s="230"/>
      <c r="F76" s="230"/>
      <c r="G76" s="230"/>
      <c r="H76" s="299">
        <v>285</v>
      </c>
      <c r="I76" s="299">
        <v>285</v>
      </c>
      <c r="J76" s="299">
        <v>286</v>
      </c>
      <c r="K76" s="258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0"/>
    </row>
    <row r="77" spans="1:26" ht="15.75" customHeight="1">
      <c r="A77" s="230" t="s">
        <v>594</v>
      </c>
      <c r="B77" s="230"/>
      <c r="C77" s="230"/>
      <c r="D77" s="230"/>
      <c r="E77" s="230"/>
      <c r="F77" s="230"/>
      <c r="G77" s="230"/>
      <c r="H77" s="361">
        <f>H74/H76</f>
        <v>5.3894736842105262</v>
      </c>
      <c r="I77" s="361">
        <f>I74/I76</f>
        <v>3.8771929824561404</v>
      </c>
      <c r="J77" s="361">
        <f>J74/J76</f>
        <v>3.9055944055944054</v>
      </c>
      <c r="K77" s="359">
        <f>H77+I77-J77</f>
        <v>5.3610722610722608</v>
      </c>
      <c r="L77" s="230">
        <v>5.96</v>
      </c>
      <c r="M77" s="230">
        <v>6.64</v>
      </c>
      <c r="N77" s="230"/>
      <c r="O77" s="230"/>
      <c r="P77" s="230"/>
      <c r="Q77" s="230"/>
      <c r="R77" s="230"/>
      <c r="S77" s="230"/>
      <c r="T77" s="230"/>
      <c r="U77" s="230"/>
      <c r="V77" s="230"/>
      <c r="W77" s="230"/>
      <c r="X77" s="230"/>
      <c r="Y77" s="230"/>
      <c r="Z77" s="230"/>
    </row>
    <row r="78" spans="1:26" ht="15.75" customHeight="1">
      <c r="A78" s="230"/>
      <c r="B78" s="230"/>
      <c r="C78" s="230"/>
      <c r="D78" s="230"/>
      <c r="E78" s="230"/>
      <c r="F78" s="230"/>
      <c r="G78" s="230"/>
      <c r="H78" s="258"/>
      <c r="I78" s="275"/>
      <c r="J78" s="275"/>
      <c r="K78" s="258"/>
      <c r="L78" s="230"/>
      <c r="M78" s="230"/>
      <c r="N78" s="230"/>
      <c r="O78" s="230"/>
      <c r="P78" s="230"/>
      <c r="Q78" s="230"/>
      <c r="R78" s="230"/>
      <c r="S78" s="230"/>
      <c r="T78" s="230"/>
      <c r="U78" s="230"/>
      <c r="V78" s="230"/>
      <c r="W78" s="230"/>
      <c r="X78" s="230"/>
      <c r="Y78" s="230"/>
      <c r="Z78" s="230"/>
    </row>
    <row r="79" spans="1:26" ht="15.75" customHeight="1">
      <c r="A79" s="230"/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0"/>
      <c r="S79" s="230"/>
      <c r="T79" s="230"/>
      <c r="U79" s="230"/>
      <c r="V79" s="230"/>
      <c r="W79" s="230"/>
      <c r="X79" s="230"/>
      <c r="Y79" s="230"/>
      <c r="Z79" s="230"/>
    </row>
    <row r="80" spans="1:26" ht="15.75" customHeight="1">
      <c r="A80" s="230"/>
      <c r="B80" s="230"/>
      <c r="C80" s="230"/>
      <c r="D80" s="230"/>
      <c r="E80" s="230"/>
      <c r="F80" s="230"/>
      <c r="G80" s="289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0"/>
      <c r="S80" s="230"/>
      <c r="T80" s="230"/>
      <c r="U80" s="230"/>
      <c r="V80" s="230"/>
      <c r="W80" s="230"/>
      <c r="X80" s="230"/>
      <c r="Y80" s="230"/>
      <c r="Z80" s="230"/>
    </row>
    <row r="81" spans="1:26" ht="15.75" customHeight="1">
      <c r="A81" s="230"/>
      <c r="B81" s="256" t="s">
        <v>593</v>
      </c>
      <c r="C81" s="230"/>
      <c r="D81" s="230"/>
      <c r="E81" s="230"/>
      <c r="F81" s="230"/>
      <c r="G81" s="230"/>
      <c r="H81" s="230"/>
      <c r="I81" s="230"/>
      <c r="J81" s="230"/>
      <c r="K81" s="230"/>
      <c r="L81" s="257"/>
      <c r="M81" s="230"/>
      <c r="N81" s="230"/>
      <c r="O81" s="230"/>
      <c r="P81" s="230"/>
      <c r="Q81" s="230"/>
      <c r="R81" s="230"/>
      <c r="S81" s="230"/>
      <c r="T81" s="230"/>
      <c r="U81" s="230"/>
      <c r="V81" s="230"/>
      <c r="W81" s="230"/>
      <c r="X81" s="230"/>
      <c r="Y81" s="230"/>
      <c r="Z81" s="230"/>
    </row>
    <row r="82" spans="1:26" ht="15.75" customHeight="1">
      <c r="A82" s="230"/>
      <c r="B82" s="256" t="s">
        <v>669</v>
      </c>
      <c r="C82" s="230"/>
      <c r="D82" s="230"/>
      <c r="E82" s="230"/>
      <c r="F82" s="230"/>
      <c r="G82" s="230"/>
      <c r="H82" s="230"/>
      <c r="I82" s="230"/>
      <c r="J82" s="230"/>
      <c r="K82" s="230"/>
      <c r="L82" s="230"/>
      <c r="M82" s="230"/>
      <c r="N82" s="230"/>
      <c r="O82" s="230"/>
      <c r="P82" s="230"/>
      <c r="Q82" s="230"/>
      <c r="R82" s="230"/>
      <c r="S82" s="230"/>
      <c r="T82" s="230"/>
      <c r="U82" s="230"/>
      <c r="V82" s="230"/>
      <c r="W82" s="230"/>
      <c r="X82" s="230"/>
      <c r="Y82" s="230"/>
      <c r="Z82" s="230"/>
    </row>
    <row r="83" spans="1:26" ht="15.75" customHeight="1">
      <c r="A83" s="230"/>
      <c r="B83" s="256" t="s">
        <v>668</v>
      </c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0"/>
      <c r="P83" s="230"/>
      <c r="Q83" s="230"/>
      <c r="R83" s="230"/>
      <c r="S83" s="230"/>
      <c r="T83" s="230"/>
      <c r="U83" s="230"/>
      <c r="V83" s="230"/>
      <c r="W83" s="230"/>
      <c r="X83" s="230"/>
      <c r="Y83" s="230"/>
      <c r="Z83" s="230"/>
    </row>
    <row r="84" spans="1:26" ht="15.75" customHeight="1">
      <c r="A84" s="230"/>
      <c r="B84" s="230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V84" s="230"/>
      <c r="W84" s="230"/>
      <c r="X84" s="230"/>
      <c r="Y84" s="230"/>
      <c r="Z84" s="230"/>
    </row>
    <row r="85" spans="1:26" ht="15.75" customHeight="1">
      <c r="A85" s="230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0"/>
      <c r="S85" s="230"/>
      <c r="T85" s="230"/>
      <c r="U85" s="230"/>
      <c r="V85" s="230"/>
      <c r="W85" s="230"/>
      <c r="X85" s="230"/>
      <c r="Y85" s="230"/>
      <c r="Z85" s="230"/>
    </row>
    <row r="86" spans="1:26" ht="15.75" customHeight="1">
      <c r="A86" s="230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0"/>
      <c r="S86" s="230"/>
      <c r="T86" s="230"/>
      <c r="U86" s="230"/>
      <c r="V86" s="230"/>
      <c r="W86" s="230"/>
      <c r="X86" s="230"/>
      <c r="Y86" s="230"/>
      <c r="Z86" s="230"/>
    </row>
    <row r="87" spans="1:26" ht="15.75" customHeight="1">
      <c r="A87" s="230"/>
      <c r="B87" s="230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230"/>
      <c r="P87" s="230"/>
      <c r="Q87" s="230"/>
      <c r="R87" s="230"/>
      <c r="S87" s="230"/>
      <c r="T87" s="230"/>
      <c r="U87" s="230"/>
      <c r="V87" s="230"/>
      <c r="W87" s="230"/>
      <c r="X87" s="230"/>
      <c r="Y87" s="230"/>
      <c r="Z87" s="230"/>
    </row>
    <row r="88" spans="1:26" ht="15.75" customHeight="1">
      <c r="A88" s="230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0"/>
      <c r="S88" s="230"/>
      <c r="T88" s="230"/>
      <c r="U88" s="230"/>
      <c r="V88" s="230"/>
      <c r="W88" s="230"/>
      <c r="X88" s="230"/>
      <c r="Y88" s="230"/>
      <c r="Z88" s="230"/>
    </row>
    <row r="89" spans="1:26" ht="15.75" customHeight="1">
      <c r="A89" s="230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</row>
    <row r="90" spans="1:26" ht="15.75" customHeight="1">
      <c r="A90" s="230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</row>
    <row r="91" spans="1:26" ht="15.75" customHeight="1">
      <c r="A91" s="230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30"/>
      <c r="W91" s="230"/>
      <c r="X91" s="230"/>
      <c r="Y91" s="230"/>
      <c r="Z91" s="230"/>
    </row>
    <row r="92" spans="1:26" ht="15.75" customHeight="1">
      <c r="A92" s="230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</row>
    <row r="93" spans="1:26" ht="15.75" customHeight="1">
      <c r="A93" s="230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</row>
    <row r="94" spans="1:26" ht="15.75" customHeight="1">
      <c r="A94" s="230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</row>
    <row r="95" spans="1:26" ht="15.75" customHeight="1">
      <c r="A95" s="230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</row>
    <row r="96" spans="1:26" ht="15.75" customHeight="1">
      <c r="A96" s="230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</row>
    <row r="97" spans="1:26" ht="15.75" customHeight="1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</row>
    <row r="98" spans="1:26" ht="15.75" customHeight="1">
      <c r="A98" s="230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</row>
    <row r="99" spans="1:26" ht="15.75" customHeight="1">
      <c r="A99" s="230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0"/>
      <c r="Y99" s="230"/>
      <c r="Z99" s="230"/>
    </row>
    <row r="100" spans="1:26" ht="15.75" customHeight="1">
      <c r="A100" s="230"/>
      <c r="B100" s="230"/>
      <c r="C100" s="230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</row>
    <row r="101" spans="1:26" ht="15.75" customHeight="1">
      <c r="A101" s="230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0"/>
      <c r="S101" s="230"/>
      <c r="T101" s="230"/>
      <c r="U101" s="230"/>
      <c r="V101" s="230"/>
      <c r="W101" s="230"/>
      <c r="X101" s="230"/>
      <c r="Y101" s="230"/>
      <c r="Z101" s="230"/>
    </row>
    <row r="102" spans="1:26" ht="15.75" customHeight="1">
      <c r="A102" s="230"/>
      <c r="B102" s="230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</row>
    <row r="103" spans="1:26" ht="15.75" customHeight="1">
      <c r="A103" s="230"/>
      <c r="B103" s="230"/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</row>
    <row r="104" spans="1:26" ht="15.75" customHeight="1">
      <c r="A104" s="230"/>
      <c r="B104" s="230"/>
      <c r="C104" s="230"/>
      <c r="D104" s="230"/>
      <c r="E104" s="230"/>
      <c r="F104" s="230"/>
      <c r="G104" s="230" t="s">
        <v>589</v>
      </c>
      <c r="H104" s="230"/>
      <c r="I104" s="230"/>
      <c r="J104" s="230" t="s">
        <v>588</v>
      </c>
      <c r="K104" s="230"/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</row>
    <row r="105" spans="1:26" ht="15.75" customHeight="1">
      <c r="A105" s="230"/>
      <c r="B105" s="230"/>
      <c r="C105" s="230"/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230"/>
      <c r="O105" s="230"/>
      <c r="P105" s="230"/>
      <c r="Q105" s="230"/>
      <c r="R105" s="230"/>
      <c r="S105" s="230"/>
      <c r="T105" s="230"/>
      <c r="U105" s="230"/>
      <c r="V105" s="230"/>
      <c r="W105" s="230"/>
      <c r="X105" s="230"/>
      <c r="Y105" s="230"/>
      <c r="Z105" s="230"/>
    </row>
    <row r="106" spans="1:26" ht="15.75" customHeight="1">
      <c r="A106" s="230"/>
      <c r="B106" s="230"/>
      <c r="C106" s="230"/>
      <c r="D106" s="230"/>
      <c r="E106" s="230"/>
      <c r="F106" s="230"/>
      <c r="G106" s="230" t="s">
        <v>587</v>
      </c>
      <c r="H106" s="230">
        <v>180</v>
      </c>
      <c r="I106" s="230"/>
      <c r="J106" s="230" t="s">
        <v>586</v>
      </c>
      <c r="K106" s="230">
        <v>200</v>
      </c>
      <c r="L106" s="230"/>
      <c r="M106" s="230"/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</row>
    <row r="107" spans="1:26" ht="15.75" customHeight="1">
      <c r="A107" s="230"/>
      <c r="B107" s="230"/>
      <c r="C107" s="230"/>
      <c r="D107" s="230"/>
      <c r="E107" s="230"/>
      <c r="F107" s="230"/>
      <c r="G107" s="230" t="s">
        <v>585</v>
      </c>
      <c r="H107" s="230">
        <v>0</v>
      </c>
      <c r="I107" s="230"/>
      <c r="J107" s="230" t="s">
        <v>584</v>
      </c>
      <c r="K107" s="230">
        <v>0</v>
      </c>
      <c r="L107" s="230"/>
      <c r="M107" s="230"/>
      <c r="N107" s="230"/>
      <c r="O107" s="230"/>
      <c r="P107" s="230"/>
      <c r="Q107" s="230"/>
      <c r="R107" s="230"/>
      <c r="S107" s="230"/>
      <c r="T107" s="230"/>
      <c r="U107" s="230"/>
      <c r="V107" s="230"/>
      <c r="W107" s="230"/>
      <c r="X107" s="230"/>
      <c r="Y107" s="230"/>
      <c r="Z107" s="230"/>
    </row>
    <row r="108" spans="1:26" ht="15.75" customHeight="1">
      <c r="A108" s="230"/>
      <c r="B108" s="230"/>
      <c r="C108" s="230"/>
      <c r="D108" s="230"/>
      <c r="E108" s="230"/>
      <c r="F108" s="230"/>
      <c r="G108" s="230" t="s">
        <v>583</v>
      </c>
      <c r="H108" s="230">
        <v>180</v>
      </c>
      <c r="I108" s="230"/>
      <c r="J108" s="230" t="s">
        <v>582</v>
      </c>
      <c r="K108" s="230">
        <v>200</v>
      </c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0"/>
      <c r="X108" s="230"/>
      <c r="Y108" s="230"/>
      <c r="Z108" s="230"/>
    </row>
    <row r="109" spans="1:26" ht="15.75" customHeight="1">
      <c r="A109" s="230"/>
      <c r="B109" s="230"/>
      <c r="C109" s="230"/>
      <c r="D109" s="230"/>
      <c r="E109" s="230"/>
      <c r="F109" s="230"/>
      <c r="G109" s="230" t="s">
        <v>581</v>
      </c>
      <c r="H109" s="230">
        <v>80</v>
      </c>
      <c r="I109" s="230"/>
      <c r="J109" s="230" t="s">
        <v>581</v>
      </c>
      <c r="K109" s="230">
        <v>86</v>
      </c>
      <c r="L109" s="230"/>
      <c r="M109" s="230"/>
      <c r="N109" s="230"/>
      <c r="O109" s="230"/>
      <c r="P109" s="230"/>
      <c r="Q109" s="230"/>
      <c r="R109" s="230"/>
      <c r="S109" s="230"/>
      <c r="T109" s="230"/>
      <c r="U109" s="230"/>
      <c r="V109" s="230"/>
      <c r="W109" s="230"/>
      <c r="X109" s="230"/>
      <c r="Y109" s="230"/>
      <c r="Z109" s="230"/>
    </row>
    <row r="110" spans="1:26" ht="15.75" customHeight="1">
      <c r="A110" s="230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</row>
    <row r="111" spans="1:26" ht="15.75" customHeight="1">
      <c r="A111" s="230"/>
      <c r="B111" s="230"/>
      <c r="C111" s="230"/>
      <c r="D111" s="230"/>
      <c r="E111" s="230"/>
      <c r="F111" s="230"/>
      <c r="G111" s="230" t="s">
        <v>580</v>
      </c>
      <c r="H111" s="230">
        <v>100</v>
      </c>
      <c r="I111" s="230"/>
      <c r="J111" s="230" t="s">
        <v>579</v>
      </c>
      <c r="K111" s="230">
        <v>114</v>
      </c>
      <c r="L111" s="230"/>
      <c r="M111" s="230"/>
      <c r="N111" s="230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</row>
    <row r="112" spans="1:26" ht="15.75" customHeight="1">
      <c r="A112" s="230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0"/>
      <c r="X112" s="230"/>
      <c r="Y112" s="230"/>
      <c r="Z112" s="230"/>
    </row>
    <row r="113" spans="1:26" ht="15.75" customHeight="1">
      <c r="A113" s="230"/>
      <c r="B113" s="230"/>
      <c r="C113" s="230"/>
      <c r="D113" s="230"/>
      <c r="E113" s="230"/>
      <c r="F113" s="230"/>
      <c r="G113" s="230"/>
      <c r="H113" s="230"/>
      <c r="I113" s="230"/>
      <c r="J113" s="230" t="s">
        <v>578</v>
      </c>
      <c r="K113" s="230">
        <v>14</v>
      </c>
      <c r="L113" s="230" t="s">
        <v>577</v>
      </c>
      <c r="M113" s="230"/>
      <c r="N113" s="230"/>
      <c r="O113" s="230"/>
      <c r="P113" s="230"/>
      <c r="Q113" s="230"/>
      <c r="R113" s="230"/>
      <c r="S113" s="230"/>
      <c r="T113" s="230"/>
      <c r="U113" s="230"/>
      <c r="V113" s="230"/>
      <c r="W113" s="230"/>
      <c r="X113" s="230"/>
      <c r="Y113" s="230"/>
      <c r="Z113" s="230"/>
    </row>
    <row r="114" spans="1:26" ht="15.75" customHeight="1">
      <c r="A114" s="230"/>
      <c r="B114" s="230"/>
      <c r="C114" s="230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</row>
    <row r="115" spans="1:26" ht="15.75" customHeight="1">
      <c r="A115" s="230"/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</row>
    <row r="116" spans="1:26" ht="15.75" customHeight="1">
      <c r="A116" s="230"/>
      <c r="B116" s="230"/>
      <c r="C116" s="230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</row>
    <row r="117" spans="1:26" ht="15.75" customHeight="1">
      <c r="A117" s="230"/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</row>
    <row r="118" spans="1:26" ht="15.75" customHeight="1">
      <c r="A118" s="230"/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</row>
    <row r="119" spans="1:26" ht="15.75" customHeight="1">
      <c r="A119" s="230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</row>
    <row r="120" spans="1:26" ht="15.75" customHeight="1">
      <c r="A120" s="230"/>
      <c r="B120" s="230"/>
      <c r="C120" s="230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</row>
    <row r="121" spans="1:26" ht="15.75" customHeight="1">
      <c r="A121" s="230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</row>
    <row r="122" spans="1:26" ht="15.75" customHeight="1">
      <c r="A122" s="230"/>
      <c r="B122" s="230"/>
      <c r="C122" s="230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</row>
    <row r="123" spans="1:26" ht="15.75" customHeight="1">
      <c r="A123" s="230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0"/>
      <c r="S123" s="230"/>
      <c r="T123" s="230"/>
      <c r="U123" s="230"/>
      <c r="V123" s="230"/>
      <c r="W123" s="230"/>
      <c r="X123" s="230"/>
      <c r="Y123" s="230"/>
      <c r="Z123" s="230"/>
    </row>
    <row r="124" spans="1:26" ht="15.75" customHeight="1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</row>
    <row r="125" spans="1:26" ht="15.75" customHeight="1">
      <c r="A125" s="230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</row>
    <row r="126" spans="1:26" ht="15.75" customHeight="1">
      <c r="A126" s="230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0"/>
      <c r="S126" s="230"/>
      <c r="T126" s="230"/>
      <c r="U126" s="230"/>
      <c r="V126" s="230"/>
      <c r="W126" s="230"/>
      <c r="X126" s="230"/>
      <c r="Y126" s="230"/>
      <c r="Z126" s="230"/>
    </row>
    <row r="127" spans="1:26" ht="15.75" customHeight="1">
      <c r="A127" s="230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0"/>
      <c r="W127" s="230"/>
      <c r="X127" s="230"/>
      <c r="Y127" s="230"/>
      <c r="Z127" s="230"/>
    </row>
    <row r="128" spans="1:26" ht="15.75" customHeight="1">
      <c r="A128" s="230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0"/>
      <c r="S128" s="230"/>
      <c r="T128" s="230"/>
      <c r="U128" s="230"/>
      <c r="V128" s="230"/>
      <c r="W128" s="230"/>
      <c r="X128" s="230"/>
      <c r="Y128" s="230"/>
      <c r="Z128" s="230"/>
    </row>
    <row r="129" spans="1:26" ht="15.75" customHeight="1">
      <c r="A129" s="230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0"/>
      <c r="V129" s="230"/>
      <c r="W129" s="230"/>
      <c r="X129" s="230"/>
      <c r="Y129" s="230"/>
      <c r="Z129" s="230"/>
    </row>
    <row r="130" spans="1:26" ht="15.75" customHeight="1">
      <c r="A130" s="230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0"/>
      <c r="S130" s="230"/>
      <c r="T130" s="230"/>
      <c r="U130" s="230"/>
      <c r="V130" s="230"/>
      <c r="W130" s="230"/>
      <c r="X130" s="230"/>
      <c r="Y130" s="230"/>
      <c r="Z130" s="230"/>
    </row>
    <row r="131" spans="1:26" ht="15.75" customHeight="1">
      <c r="A131" s="230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V131" s="230"/>
      <c r="W131" s="230"/>
      <c r="X131" s="230"/>
      <c r="Y131" s="230"/>
      <c r="Z131" s="230"/>
    </row>
    <row r="132" spans="1:26" ht="15.75" customHeight="1">
      <c r="A132" s="230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</row>
    <row r="133" spans="1:26" ht="15.75" customHeight="1">
      <c r="A133" s="230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</row>
    <row r="134" spans="1:26" ht="15.75" customHeight="1">
      <c r="A134" s="230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</row>
    <row r="135" spans="1:26" ht="15.75" customHeight="1">
      <c r="A135" s="230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</row>
    <row r="136" spans="1:26" ht="15.75" customHeight="1">
      <c r="A136" s="230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</row>
    <row r="137" spans="1:26" ht="15.75" customHeight="1">
      <c r="A137" s="230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</row>
    <row r="138" spans="1:26" ht="15.75" customHeight="1">
      <c r="A138" s="230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</row>
    <row r="139" spans="1:26" ht="15.75" customHeight="1">
      <c r="A139" s="230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</row>
    <row r="140" spans="1:26" ht="15.75" customHeight="1">
      <c r="A140" s="230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</row>
    <row r="141" spans="1:26" ht="15.75" customHeight="1">
      <c r="A141" s="230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30"/>
      <c r="W141" s="230"/>
      <c r="X141" s="230"/>
      <c r="Y141" s="230"/>
      <c r="Z141" s="230"/>
    </row>
    <row r="142" spans="1:26" ht="15.75" customHeight="1">
      <c r="A142" s="230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</row>
    <row r="143" spans="1:26" ht="15.75" customHeight="1">
      <c r="A143" s="230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30"/>
      <c r="W143" s="230"/>
      <c r="X143" s="230"/>
      <c r="Y143" s="230"/>
      <c r="Z143" s="230"/>
    </row>
    <row r="144" spans="1:26" ht="15.7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</row>
    <row r="145" spans="1:26" ht="15.75" customHeight="1">
      <c r="A145" s="230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0"/>
      <c r="W145" s="230"/>
      <c r="X145" s="230"/>
      <c r="Y145" s="230"/>
      <c r="Z145" s="230"/>
    </row>
    <row r="146" spans="1:26" ht="15.75" customHeight="1">
      <c r="A146" s="230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V146" s="230"/>
      <c r="W146" s="230"/>
      <c r="X146" s="230"/>
      <c r="Y146" s="230"/>
      <c r="Z146" s="230"/>
    </row>
    <row r="147" spans="1:26" ht="15.75" customHeight="1">
      <c r="A147" s="230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0"/>
      <c r="S147" s="230"/>
      <c r="T147" s="230"/>
      <c r="U147" s="230"/>
      <c r="V147" s="230"/>
      <c r="W147" s="230"/>
      <c r="X147" s="230"/>
      <c r="Y147" s="230"/>
      <c r="Z147" s="230"/>
    </row>
    <row r="148" spans="1:26" ht="15.75" customHeight="1">
      <c r="A148" s="230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0"/>
      <c r="X148" s="230"/>
      <c r="Y148" s="230"/>
      <c r="Z148" s="230"/>
    </row>
    <row r="149" spans="1:26" ht="15.75" customHeight="1">
      <c r="A149" s="230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</row>
    <row r="150" spans="1:26" ht="15.75" customHeight="1">
      <c r="A150" s="230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30"/>
      <c r="U150" s="230"/>
      <c r="V150" s="230"/>
      <c r="W150" s="230"/>
      <c r="X150" s="230"/>
      <c r="Y150" s="230"/>
      <c r="Z150" s="230"/>
    </row>
    <row r="151" spans="1:26" ht="15.75" customHeight="1">
      <c r="A151" s="230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</row>
    <row r="152" spans="1:26" ht="15.75" customHeight="1">
      <c r="A152" s="230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0"/>
      <c r="V152" s="230"/>
      <c r="W152" s="230"/>
      <c r="X152" s="230"/>
      <c r="Y152" s="230"/>
      <c r="Z152" s="230"/>
    </row>
    <row r="153" spans="1:26" ht="15.75" customHeight="1">
      <c r="A153" s="230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0"/>
      <c r="S153" s="230"/>
      <c r="T153" s="230"/>
      <c r="U153" s="230"/>
      <c r="V153" s="230"/>
      <c r="W153" s="230"/>
      <c r="X153" s="230"/>
      <c r="Y153" s="230"/>
      <c r="Z153" s="230"/>
    </row>
    <row r="154" spans="1:26" ht="15.75" customHeight="1">
      <c r="A154" s="230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0"/>
      <c r="Q154" s="230"/>
      <c r="R154" s="230"/>
      <c r="S154" s="230"/>
      <c r="T154" s="230"/>
      <c r="U154" s="230"/>
      <c r="V154" s="230"/>
      <c r="W154" s="230"/>
      <c r="X154" s="230"/>
      <c r="Y154" s="230"/>
      <c r="Z154" s="230"/>
    </row>
    <row r="155" spans="1:26" ht="15.75" customHeight="1">
      <c r="A155" s="230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V155" s="230"/>
      <c r="W155" s="230"/>
      <c r="X155" s="230"/>
      <c r="Y155" s="230"/>
      <c r="Z155" s="230"/>
    </row>
    <row r="156" spans="1:26" ht="15.75" customHeight="1">
      <c r="A156" s="230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30"/>
      <c r="W156" s="230"/>
      <c r="X156" s="230"/>
      <c r="Y156" s="230"/>
      <c r="Z156" s="230"/>
    </row>
    <row r="157" spans="1:26" ht="15.75" customHeight="1">
      <c r="A157" s="230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V157" s="230"/>
      <c r="W157" s="230"/>
      <c r="X157" s="230"/>
      <c r="Y157" s="230"/>
      <c r="Z157" s="230"/>
    </row>
    <row r="158" spans="1:26" ht="15.75" customHeight="1">
      <c r="A158" s="230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V158" s="230"/>
      <c r="W158" s="230"/>
      <c r="X158" s="230"/>
      <c r="Y158" s="230"/>
      <c r="Z158" s="230"/>
    </row>
    <row r="159" spans="1:26" ht="15.75" customHeight="1">
      <c r="A159" s="230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/>
      <c r="Z159" s="230"/>
    </row>
    <row r="160" spans="1:26" ht="15.75" customHeight="1">
      <c r="A160" s="230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0"/>
      <c r="S160" s="230"/>
      <c r="T160" s="230"/>
      <c r="U160" s="230"/>
      <c r="V160" s="230"/>
      <c r="W160" s="230"/>
      <c r="X160" s="230"/>
      <c r="Y160" s="230"/>
      <c r="Z160" s="230"/>
    </row>
    <row r="161" spans="1:26" ht="15.75" customHeight="1">
      <c r="A161" s="230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0"/>
      <c r="S161" s="230"/>
      <c r="T161" s="230"/>
      <c r="U161" s="230"/>
      <c r="V161" s="230"/>
      <c r="W161" s="230"/>
      <c r="X161" s="230"/>
      <c r="Y161" s="230"/>
      <c r="Z161" s="230"/>
    </row>
    <row r="162" spans="1:26" ht="15.75" customHeight="1">
      <c r="A162" s="230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0"/>
      <c r="S162" s="230"/>
      <c r="T162" s="230"/>
      <c r="U162" s="230"/>
      <c r="V162" s="230"/>
      <c r="W162" s="230"/>
      <c r="X162" s="230"/>
      <c r="Y162" s="230"/>
      <c r="Z162" s="230"/>
    </row>
    <row r="163" spans="1:26" ht="15.75" customHeight="1">
      <c r="A163" s="230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</row>
    <row r="164" spans="1:26" ht="15.75" customHeight="1">
      <c r="A164" s="230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</row>
    <row r="165" spans="1:26" ht="15.75" customHeight="1">
      <c r="A165" s="230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</row>
    <row r="166" spans="1:26" ht="15.75" customHeight="1">
      <c r="A166" s="230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</row>
    <row r="167" spans="1:26" ht="15.75" customHeight="1">
      <c r="A167" s="230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</row>
    <row r="168" spans="1:26" ht="15.75" customHeight="1">
      <c r="A168" s="230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</row>
    <row r="169" spans="1:26" ht="15.75" customHeight="1">
      <c r="A169" s="230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V169" s="230"/>
      <c r="W169" s="230"/>
      <c r="X169" s="230"/>
      <c r="Y169" s="230"/>
      <c r="Z169" s="230"/>
    </row>
    <row r="170" spans="1:26" ht="15.75" customHeight="1">
      <c r="A170" s="230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V170" s="230"/>
      <c r="W170" s="230"/>
      <c r="X170" s="230"/>
      <c r="Y170" s="230"/>
      <c r="Z170" s="230"/>
    </row>
    <row r="171" spans="1:26" ht="15.75" customHeight="1">
      <c r="A171" s="230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</row>
    <row r="172" spans="1:26" ht="15.75" customHeight="1">
      <c r="A172" s="230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30"/>
      <c r="S172" s="230"/>
      <c r="T172" s="230"/>
      <c r="U172" s="230"/>
      <c r="V172" s="230"/>
      <c r="W172" s="230"/>
      <c r="X172" s="230"/>
      <c r="Y172" s="230"/>
      <c r="Z172" s="230"/>
    </row>
    <row r="173" spans="1:26" ht="15.75" customHeight="1">
      <c r="A173" s="230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</row>
    <row r="174" spans="1:26" ht="15.75" customHeight="1">
      <c r="A174" s="230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0"/>
      <c r="S174" s="230"/>
      <c r="T174" s="230"/>
      <c r="U174" s="230"/>
      <c r="V174" s="230"/>
      <c r="W174" s="230"/>
      <c r="X174" s="230"/>
      <c r="Y174" s="230"/>
      <c r="Z174" s="230"/>
    </row>
    <row r="175" spans="1:26" ht="15.75" customHeight="1">
      <c r="A175" s="230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0"/>
      <c r="V175" s="230"/>
      <c r="W175" s="230"/>
      <c r="X175" s="230"/>
      <c r="Y175" s="230"/>
      <c r="Z175" s="230"/>
    </row>
    <row r="176" spans="1:26" ht="15.75" customHeight="1">
      <c r="A176" s="230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0"/>
      <c r="Y176" s="230"/>
      <c r="Z176" s="230"/>
    </row>
    <row r="177" spans="1:26" ht="15.75" customHeight="1">
      <c r="A177" s="230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</row>
    <row r="178" spans="1:26" ht="15.75" customHeight="1">
      <c r="A178" s="230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</row>
    <row r="179" spans="1:26" ht="15.75" customHeight="1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V179" s="230"/>
      <c r="W179" s="230"/>
      <c r="X179" s="230"/>
      <c r="Y179" s="230"/>
      <c r="Z179" s="230"/>
    </row>
    <row r="180" spans="1:26" ht="15.75" customHeight="1">
      <c r="A180" s="230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V180" s="230"/>
      <c r="W180" s="230"/>
      <c r="X180" s="230"/>
      <c r="Y180" s="230"/>
      <c r="Z180" s="230"/>
    </row>
    <row r="181" spans="1:26" ht="15.75" customHeight="1">
      <c r="A181" s="230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V181" s="230"/>
      <c r="W181" s="230"/>
      <c r="X181" s="230"/>
      <c r="Y181" s="230"/>
      <c r="Z181" s="230"/>
    </row>
    <row r="182" spans="1:26" ht="15.75" customHeight="1">
      <c r="A182" s="230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</row>
    <row r="183" spans="1:26" ht="15.75" customHeight="1">
      <c r="A183" s="230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</row>
    <row r="184" spans="1:26" ht="15.75" customHeight="1">
      <c r="A184" s="230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</row>
    <row r="185" spans="1:26" ht="15.75" customHeight="1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</row>
    <row r="186" spans="1:26" ht="15.75" customHeight="1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</row>
    <row r="187" spans="1:26" ht="15.75" customHeight="1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</row>
    <row r="188" spans="1:26" ht="15.75" customHeight="1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</row>
    <row r="189" spans="1:26" ht="15.75" customHeight="1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</row>
    <row r="190" spans="1:26" ht="15.75" customHeight="1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</row>
    <row r="191" spans="1:26" ht="15.75" customHeight="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</row>
    <row r="192" spans="1:26" ht="15.75" customHeight="1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</row>
    <row r="193" spans="1:26" ht="15.75" customHeight="1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</row>
    <row r="194" spans="1:26" ht="15.75" customHeight="1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</row>
    <row r="195" spans="1:26" ht="15.75" customHeight="1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</row>
    <row r="196" spans="1:26" ht="15.75" customHeight="1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</row>
    <row r="197" spans="1:26" ht="15.75" customHeight="1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</row>
    <row r="198" spans="1:26" ht="15.75" customHeight="1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</row>
    <row r="199" spans="1:26" ht="15.75" customHeight="1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</row>
    <row r="200" spans="1:26" ht="15.75" customHeight="1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</row>
    <row r="201" spans="1:26" ht="15.75" customHeight="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</row>
    <row r="202" spans="1:26" ht="15.75" customHeight="1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</row>
    <row r="203" spans="1:26" ht="15.75" customHeight="1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</row>
    <row r="204" spans="1:26" ht="15.75" customHeight="1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</row>
    <row r="205" spans="1:26" ht="15.75" customHeight="1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</row>
    <row r="206" spans="1:26" ht="15.75" customHeight="1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</row>
    <row r="207" spans="1:26" ht="15.75" customHeight="1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</row>
    <row r="208" spans="1:26" ht="15.75" customHeight="1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</row>
    <row r="209" spans="1:26" ht="15.75" customHeight="1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</row>
    <row r="210" spans="1:26" ht="15.75" customHeight="1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</row>
    <row r="211" spans="1:26" ht="15.75" customHeight="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</row>
    <row r="212" spans="1:26" ht="15.75" customHeight="1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</row>
    <row r="213" spans="1:26" ht="15.75" customHeight="1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</row>
    <row r="214" spans="1:26" ht="15.75" customHeight="1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</row>
    <row r="215" spans="1:26" ht="15.75" customHeight="1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</row>
    <row r="216" spans="1:26" ht="15.75" customHeight="1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</row>
    <row r="217" spans="1:26" ht="15.75" customHeight="1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</row>
    <row r="218" spans="1:26" ht="15.75" customHeight="1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</row>
    <row r="219" spans="1:26" ht="15.75" customHeight="1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</row>
    <row r="220" spans="1:26" ht="15.75" customHeight="1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</row>
    <row r="221" spans="1:26" ht="15.75" customHeight="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</row>
    <row r="222" spans="1:26" ht="15.75" customHeight="1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</row>
    <row r="223" spans="1:26" ht="15.75" customHeight="1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</row>
    <row r="224" spans="1:26" ht="15.75" customHeight="1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</row>
    <row r="225" spans="1:26" ht="15.75" customHeight="1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</row>
    <row r="226" spans="1:26" ht="15.75" customHeight="1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</row>
    <row r="227" spans="1:26" ht="15.75" customHeight="1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</row>
    <row r="228" spans="1:26" ht="15.75" customHeight="1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</row>
    <row r="229" spans="1:26" ht="15.75" customHeight="1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</row>
    <row r="230" spans="1:26" ht="15.75" customHeight="1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</row>
    <row r="231" spans="1:26" ht="15.75" customHeight="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</row>
    <row r="232" spans="1:26" ht="15.75" customHeight="1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</row>
    <row r="233" spans="1:26" ht="15.75" customHeight="1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</row>
    <row r="234" spans="1:26" ht="15.75" customHeight="1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</row>
    <row r="235" spans="1:26" ht="15.75" customHeight="1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</row>
    <row r="236" spans="1:26" ht="15.75" customHeight="1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</row>
    <row r="237" spans="1:26" ht="15.75" customHeight="1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</row>
    <row r="238" spans="1:26" ht="15.75" customHeight="1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</row>
    <row r="239" spans="1:26" ht="15.75" customHeight="1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</row>
    <row r="240" spans="1:26" ht="15.75" customHeight="1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</row>
    <row r="241" spans="1:26" ht="15.75" customHeight="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</row>
    <row r="242" spans="1:26" ht="15.75" customHeight="1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</row>
    <row r="243" spans="1:26" ht="15.75" customHeight="1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</row>
    <row r="244" spans="1:26" ht="15.75" customHeight="1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</row>
    <row r="245" spans="1:26" ht="15.75" customHeight="1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</row>
    <row r="246" spans="1:26" ht="15.75" customHeight="1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</row>
    <row r="247" spans="1:26" ht="15.75" customHeight="1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</row>
    <row r="248" spans="1:26" ht="15.75" customHeight="1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</row>
    <row r="249" spans="1:26" ht="15.75" customHeight="1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</row>
    <row r="250" spans="1:26" ht="15.75" customHeight="1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</row>
    <row r="251" spans="1:26" ht="15.75" customHeight="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</row>
    <row r="252" spans="1:26" ht="15.75" customHeight="1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</row>
    <row r="253" spans="1:26" ht="15.75" customHeight="1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</row>
    <row r="254" spans="1:26" ht="15.75" customHeight="1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</row>
    <row r="255" spans="1:26" ht="15.75" customHeight="1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</row>
    <row r="256" spans="1:26" ht="15.75" customHeight="1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</row>
    <row r="257" spans="1:26" ht="15.75" customHeight="1">
      <c r="A257" s="230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0"/>
      <c r="S257" s="230"/>
      <c r="T257" s="230"/>
      <c r="U257" s="230"/>
      <c r="V257" s="230"/>
      <c r="W257" s="230"/>
      <c r="X257" s="230"/>
      <c r="Y257" s="230"/>
      <c r="Z257" s="230"/>
    </row>
    <row r="258" spans="1:26" ht="15.75" customHeight="1">
      <c r="A258" s="230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0"/>
      <c r="S258" s="230"/>
      <c r="T258" s="230"/>
      <c r="U258" s="230"/>
      <c r="V258" s="230"/>
      <c r="W258" s="230"/>
      <c r="X258" s="230"/>
      <c r="Y258" s="230"/>
      <c r="Z258" s="230"/>
    </row>
    <row r="259" spans="1:26" ht="15.75" customHeight="1">
      <c r="A259" s="230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0"/>
      <c r="P259" s="230"/>
      <c r="Q259" s="230"/>
      <c r="R259" s="230"/>
      <c r="S259" s="230"/>
      <c r="T259" s="230"/>
      <c r="U259" s="230"/>
      <c r="V259" s="230"/>
      <c r="W259" s="230"/>
      <c r="X259" s="230"/>
      <c r="Y259" s="230"/>
      <c r="Z259" s="230"/>
    </row>
    <row r="260" spans="1:26" ht="15.75" customHeight="1">
      <c r="A260" s="230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0"/>
      <c r="P260" s="230"/>
      <c r="Q260" s="230"/>
      <c r="R260" s="230"/>
      <c r="S260" s="230"/>
      <c r="T260" s="230"/>
      <c r="U260" s="230"/>
      <c r="V260" s="230"/>
      <c r="W260" s="230"/>
      <c r="X260" s="230"/>
      <c r="Y260" s="230"/>
      <c r="Z260" s="230"/>
    </row>
    <row r="261" spans="1:26" ht="15.75" customHeight="1">
      <c r="A261" s="230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0"/>
      <c r="P261" s="230"/>
      <c r="Q261" s="230"/>
      <c r="R261" s="230"/>
      <c r="S261" s="230"/>
      <c r="T261" s="230"/>
      <c r="U261" s="230"/>
      <c r="V261" s="230"/>
      <c r="W261" s="230"/>
      <c r="X261" s="230"/>
      <c r="Y261" s="230"/>
      <c r="Z261" s="230"/>
    </row>
    <row r="262" spans="1:26" ht="15.75" customHeight="1">
      <c r="A262" s="230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0"/>
      <c r="P262" s="230"/>
      <c r="Q262" s="230"/>
      <c r="R262" s="230"/>
      <c r="S262" s="230"/>
      <c r="T262" s="230"/>
      <c r="U262" s="230"/>
      <c r="V262" s="230"/>
      <c r="W262" s="230"/>
      <c r="X262" s="230"/>
      <c r="Y262" s="230"/>
      <c r="Z262" s="230"/>
    </row>
    <row r="263" spans="1:26" ht="15.75" customHeight="1">
      <c r="A263" s="230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0"/>
      <c r="P263" s="230"/>
      <c r="Q263" s="230"/>
      <c r="R263" s="230"/>
      <c r="S263" s="230"/>
      <c r="T263" s="230"/>
      <c r="U263" s="230"/>
      <c r="V263" s="230"/>
      <c r="W263" s="230"/>
      <c r="X263" s="230"/>
      <c r="Y263" s="230"/>
      <c r="Z263" s="230"/>
    </row>
    <row r="264" spans="1:26" ht="15.75" customHeight="1">
      <c r="A264" s="230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0"/>
      <c r="V264" s="230"/>
      <c r="W264" s="230"/>
      <c r="X264" s="230"/>
      <c r="Y264" s="230"/>
      <c r="Z264" s="230"/>
    </row>
    <row r="265" spans="1:26" ht="15.75" customHeight="1">
      <c r="A265" s="230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0"/>
      <c r="P265" s="230"/>
      <c r="Q265" s="230"/>
      <c r="R265" s="230"/>
      <c r="S265" s="230"/>
      <c r="T265" s="230"/>
      <c r="U265" s="230"/>
      <c r="V265" s="230"/>
      <c r="W265" s="230"/>
      <c r="X265" s="230"/>
      <c r="Y265" s="230"/>
      <c r="Z265" s="230"/>
    </row>
    <row r="266" spans="1:26" ht="15.75" customHeight="1">
      <c r="A266" s="230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0"/>
      <c r="P266" s="230"/>
      <c r="Q266" s="230"/>
      <c r="R266" s="230"/>
      <c r="S266" s="230"/>
      <c r="T266" s="230"/>
      <c r="U266" s="230"/>
      <c r="V266" s="230"/>
      <c r="W266" s="230"/>
      <c r="X266" s="230"/>
      <c r="Y266" s="230"/>
      <c r="Z266" s="230"/>
    </row>
    <row r="267" spans="1:26" ht="15.75" customHeight="1">
      <c r="A267" s="230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0"/>
      <c r="P267" s="230"/>
      <c r="Q267" s="230"/>
      <c r="R267" s="230"/>
      <c r="S267" s="230"/>
      <c r="T267" s="230"/>
      <c r="U267" s="230"/>
      <c r="V267" s="230"/>
      <c r="W267" s="230"/>
      <c r="X267" s="230"/>
      <c r="Y267" s="230"/>
      <c r="Z267" s="230"/>
    </row>
    <row r="268" spans="1:26" ht="15.75" customHeight="1">
      <c r="A268" s="230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0"/>
      <c r="P268" s="230"/>
      <c r="Q268" s="230"/>
      <c r="R268" s="230"/>
      <c r="S268" s="230"/>
      <c r="T268" s="230"/>
      <c r="U268" s="230"/>
      <c r="V268" s="230"/>
      <c r="W268" s="230"/>
      <c r="X268" s="230"/>
      <c r="Y268" s="230"/>
      <c r="Z268" s="230"/>
    </row>
    <row r="269" spans="1:26" ht="15.75" customHeight="1">
      <c r="A269" s="230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0"/>
      <c r="S269" s="230"/>
      <c r="T269" s="230"/>
      <c r="U269" s="230"/>
      <c r="V269" s="230"/>
      <c r="W269" s="230"/>
      <c r="X269" s="230"/>
      <c r="Y269" s="230"/>
      <c r="Z269" s="230"/>
    </row>
    <row r="270" spans="1:26" ht="15.75" customHeight="1">
      <c r="A270" s="230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0"/>
      <c r="S270" s="230"/>
      <c r="T270" s="230"/>
      <c r="U270" s="230"/>
      <c r="V270" s="230"/>
      <c r="W270" s="230"/>
      <c r="X270" s="230"/>
      <c r="Y270" s="230"/>
      <c r="Z270" s="230"/>
    </row>
    <row r="271" spans="1:26" ht="15.75" customHeight="1">
      <c r="A271" s="230"/>
      <c r="B271" s="230"/>
      <c r="C271" s="230"/>
      <c r="D271" s="230"/>
      <c r="E271" s="230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0"/>
      <c r="S271" s="230"/>
      <c r="T271" s="230"/>
      <c r="U271" s="230"/>
      <c r="V271" s="230"/>
      <c r="W271" s="230"/>
      <c r="X271" s="230"/>
      <c r="Y271" s="230"/>
      <c r="Z271" s="230"/>
    </row>
    <row r="272" spans="1:26" ht="15.75" customHeight="1">
      <c r="A272" s="230"/>
      <c r="B272" s="230"/>
      <c r="C272" s="230"/>
      <c r="D272" s="230"/>
      <c r="E272" s="230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0"/>
      <c r="S272" s="230"/>
      <c r="T272" s="230"/>
      <c r="U272" s="230"/>
      <c r="V272" s="230"/>
      <c r="W272" s="230"/>
      <c r="X272" s="230"/>
      <c r="Y272" s="230"/>
      <c r="Z272" s="230"/>
    </row>
    <row r="273" spans="1:26" ht="15.75" customHeight="1">
      <c r="A273" s="230"/>
      <c r="B273" s="230"/>
      <c r="C273" s="230"/>
      <c r="D273" s="230"/>
      <c r="E273" s="230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0"/>
      <c r="S273" s="230"/>
      <c r="T273" s="230"/>
      <c r="U273" s="230"/>
      <c r="V273" s="230"/>
      <c r="W273" s="230"/>
      <c r="X273" s="230"/>
      <c r="Y273" s="230"/>
      <c r="Z273" s="230"/>
    </row>
    <row r="274" spans="1:26" ht="15.75" customHeight="1">
      <c r="A274" s="230"/>
      <c r="B274" s="230"/>
      <c r="C274" s="230"/>
      <c r="D274" s="230"/>
      <c r="E274" s="230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0"/>
      <c r="S274" s="230"/>
      <c r="T274" s="230"/>
      <c r="U274" s="230"/>
      <c r="V274" s="230"/>
      <c r="W274" s="230"/>
      <c r="X274" s="230"/>
      <c r="Y274" s="230"/>
      <c r="Z274" s="230"/>
    </row>
    <row r="275" spans="1:26" ht="15.75" customHeight="1">
      <c r="A275" s="230"/>
      <c r="B275" s="230"/>
      <c r="C275" s="230"/>
      <c r="D275" s="230"/>
      <c r="E275" s="230"/>
      <c r="F275" s="230"/>
      <c r="G275" s="230"/>
      <c r="H275" s="230"/>
      <c r="I275" s="230"/>
      <c r="J275" s="230"/>
      <c r="K275" s="230"/>
      <c r="L275" s="230"/>
      <c r="M275" s="230"/>
      <c r="N275" s="230"/>
      <c r="O275" s="230"/>
      <c r="P275" s="230"/>
      <c r="Q275" s="230"/>
      <c r="R275" s="230"/>
      <c r="S275" s="230"/>
      <c r="T275" s="230"/>
      <c r="U275" s="230"/>
      <c r="V275" s="230"/>
      <c r="W275" s="230"/>
      <c r="X275" s="230"/>
      <c r="Y275" s="230"/>
      <c r="Z275" s="230"/>
    </row>
    <row r="276" spans="1:26" ht="15.75" customHeight="1">
      <c r="A276" s="230"/>
      <c r="B276" s="230"/>
      <c r="C276" s="230"/>
      <c r="D276" s="230"/>
      <c r="E276" s="230"/>
      <c r="F276" s="230"/>
      <c r="G276" s="230"/>
      <c r="H276" s="230"/>
      <c r="I276" s="230"/>
      <c r="J276" s="230"/>
      <c r="K276" s="230"/>
      <c r="L276" s="230"/>
      <c r="M276" s="230"/>
      <c r="N276" s="230"/>
      <c r="O276" s="230"/>
      <c r="P276" s="230"/>
      <c r="Q276" s="230"/>
      <c r="R276" s="230"/>
      <c r="S276" s="230"/>
      <c r="T276" s="230"/>
      <c r="U276" s="230"/>
      <c r="V276" s="230"/>
      <c r="W276" s="230"/>
      <c r="X276" s="230"/>
      <c r="Y276" s="230"/>
      <c r="Z276" s="230"/>
    </row>
    <row r="277" spans="1:26" ht="15.75" customHeight="1">
      <c r="A277" s="230"/>
      <c r="B277" s="230"/>
      <c r="C277" s="230"/>
      <c r="D277" s="230"/>
      <c r="E277" s="230"/>
      <c r="F277" s="230"/>
      <c r="G277" s="230"/>
      <c r="H277" s="230"/>
      <c r="I277" s="230"/>
      <c r="J277" s="230"/>
      <c r="K277" s="230"/>
      <c r="L277" s="230"/>
      <c r="M277" s="230"/>
      <c r="N277" s="230"/>
      <c r="O277" s="230"/>
      <c r="P277" s="230"/>
      <c r="Q277" s="230"/>
      <c r="R277" s="230"/>
      <c r="S277" s="230"/>
      <c r="T277" s="230"/>
      <c r="U277" s="230"/>
      <c r="V277" s="230"/>
      <c r="W277" s="230"/>
      <c r="X277" s="230"/>
      <c r="Y277" s="230"/>
      <c r="Z277" s="230"/>
    </row>
    <row r="278" spans="1:26" ht="15.75" customHeight="1">
      <c r="A278" s="230"/>
      <c r="B278" s="230"/>
      <c r="C278" s="230"/>
      <c r="D278" s="230"/>
      <c r="E278" s="230"/>
      <c r="F278" s="230"/>
      <c r="G278" s="230"/>
      <c r="H278" s="230"/>
      <c r="I278" s="230"/>
      <c r="J278" s="230"/>
      <c r="K278" s="230"/>
      <c r="L278" s="230"/>
      <c r="M278" s="230"/>
      <c r="N278" s="230"/>
      <c r="O278" s="230"/>
      <c r="P278" s="230"/>
      <c r="Q278" s="230"/>
      <c r="R278" s="230"/>
      <c r="S278" s="230"/>
      <c r="T278" s="230"/>
      <c r="U278" s="230"/>
      <c r="V278" s="230"/>
      <c r="W278" s="230"/>
      <c r="X278" s="230"/>
      <c r="Y278" s="230"/>
      <c r="Z278" s="230"/>
    </row>
    <row r="279" spans="1:26" ht="15.75" customHeight="1">
      <c r="A279" s="230"/>
      <c r="B279" s="230"/>
      <c r="C279" s="230"/>
      <c r="D279" s="230"/>
      <c r="E279" s="230"/>
      <c r="F279" s="230"/>
      <c r="G279" s="230"/>
      <c r="H279" s="230"/>
      <c r="I279" s="230"/>
      <c r="J279" s="230"/>
      <c r="K279" s="230"/>
      <c r="L279" s="230"/>
      <c r="M279" s="230"/>
      <c r="N279" s="230"/>
      <c r="O279" s="230"/>
      <c r="P279" s="230"/>
      <c r="Q279" s="230"/>
      <c r="R279" s="230"/>
      <c r="S279" s="230"/>
      <c r="T279" s="230"/>
      <c r="U279" s="230"/>
      <c r="V279" s="230"/>
      <c r="W279" s="230"/>
      <c r="X279" s="230"/>
      <c r="Y279" s="230"/>
      <c r="Z279" s="230"/>
    </row>
    <row r="280" spans="1:26" ht="15.75" customHeight="1">
      <c r="A280" s="230"/>
      <c r="B280" s="230"/>
      <c r="C280" s="230"/>
      <c r="D280" s="230"/>
      <c r="E280" s="230"/>
      <c r="F280" s="230"/>
      <c r="G280" s="230"/>
      <c r="H280" s="230"/>
      <c r="I280" s="230"/>
      <c r="J280" s="230"/>
      <c r="K280" s="230"/>
      <c r="L280" s="230"/>
      <c r="M280" s="230"/>
      <c r="N280" s="230"/>
      <c r="O280" s="230"/>
      <c r="P280" s="230"/>
      <c r="Q280" s="230"/>
      <c r="R280" s="230"/>
      <c r="S280" s="230"/>
      <c r="T280" s="230"/>
      <c r="U280" s="230"/>
      <c r="V280" s="230"/>
      <c r="W280" s="230"/>
      <c r="X280" s="230"/>
      <c r="Y280" s="230"/>
      <c r="Z280" s="230"/>
    </row>
    <row r="281" spans="1:26" ht="15.75" customHeight="1">
      <c r="A281" s="230"/>
      <c r="B281" s="230"/>
      <c r="C281" s="230"/>
      <c r="D281" s="230"/>
      <c r="E281" s="230"/>
      <c r="F281" s="230"/>
      <c r="G281" s="230"/>
      <c r="H281" s="230"/>
      <c r="I281" s="230"/>
      <c r="J281" s="230"/>
      <c r="K281" s="230"/>
      <c r="L281" s="230"/>
      <c r="M281" s="230"/>
      <c r="N281" s="230"/>
      <c r="O281" s="230"/>
      <c r="P281" s="230"/>
      <c r="Q281" s="230"/>
      <c r="R281" s="230"/>
      <c r="S281" s="230"/>
      <c r="T281" s="230"/>
      <c r="U281" s="230"/>
      <c r="V281" s="230"/>
      <c r="W281" s="230"/>
      <c r="X281" s="230"/>
      <c r="Y281" s="230"/>
      <c r="Z281" s="230"/>
    </row>
    <row r="282" spans="1:26" ht="15.75" customHeight="1">
      <c r="A282" s="230"/>
      <c r="B282" s="230"/>
      <c r="C282" s="230"/>
      <c r="D282" s="230"/>
      <c r="E282" s="230"/>
      <c r="F282" s="230"/>
      <c r="G282" s="230"/>
      <c r="H282" s="230"/>
      <c r="I282" s="230"/>
      <c r="J282" s="230"/>
      <c r="K282" s="230"/>
      <c r="L282" s="230"/>
      <c r="M282" s="230"/>
      <c r="N282" s="230"/>
      <c r="O282" s="230"/>
      <c r="P282" s="230"/>
      <c r="Q282" s="230"/>
      <c r="R282" s="230"/>
      <c r="S282" s="230"/>
      <c r="T282" s="230"/>
      <c r="U282" s="230"/>
      <c r="V282" s="230"/>
      <c r="W282" s="230"/>
      <c r="X282" s="230"/>
      <c r="Y282" s="230"/>
      <c r="Z282" s="230"/>
    </row>
    <row r="283" spans="1:26" ht="15.75" customHeight="1">
      <c r="A283" s="230"/>
      <c r="B283" s="230"/>
      <c r="C283" s="230"/>
      <c r="D283" s="230"/>
      <c r="E283" s="230"/>
      <c r="F283" s="230"/>
      <c r="G283" s="230"/>
      <c r="H283" s="230"/>
      <c r="I283" s="230"/>
      <c r="J283" s="230"/>
      <c r="K283" s="230"/>
      <c r="L283" s="230"/>
      <c r="M283" s="230"/>
      <c r="N283" s="230"/>
      <c r="O283" s="230"/>
      <c r="P283" s="230"/>
      <c r="Q283" s="230"/>
      <c r="R283" s="230"/>
      <c r="S283" s="230"/>
      <c r="T283" s="230"/>
      <c r="U283" s="230"/>
      <c r="V283" s="230"/>
      <c r="W283" s="230"/>
      <c r="X283" s="230"/>
      <c r="Y283" s="230"/>
      <c r="Z283" s="230"/>
    </row>
    <row r="284" spans="1:26" ht="15.75" customHeight="1">
      <c r="A284" s="230"/>
      <c r="B284" s="230"/>
      <c r="C284" s="230"/>
      <c r="D284" s="230"/>
      <c r="E284" s="230"/>
      <c r="F284" s="230"/>
      <c r="G284" s="230"/>
      <c r="H284" s="230"/>
      <c r="I284" s="230"/>
      <c r="J284" s="230"/>
      <c r="K284" s="230"/>
      <c r="L284" s="230"/>
      <c r="M284" s="230"/>
      <c r="N284" s="230"/>
      <c r="O284" s="230"/>
      <c r="P284" s="230"/>
      <c r="Q284" s="230"/>
      <c r="R284" s="230"/>
      <c r="S284" s="230"/>
      <c r="T284" s="230"/>
      <c r="U284" s="230"/>
      <c r="V284" s="230"/>
      <c r="W284" s="230"/>
      <c r="X284" s="230"/>
      <c r="Y284" s="230"/>
      <c r="Z284" s="230"/>
    </row>
    <row r="285" spans="1:26" ht="15.75" customHeight="1">
      <c r="A285" s="230"/>
      <c r="B285" s="230"/>
      <c r="C285" s="230"/>
      <c r="D285" s="230"/>
      <c r="E285" s="230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0"/>
      <c r="S285" s="230"/>
      <c r="T285" s="230"/>
      <c r="U285" s="230"/>
      <c r="V285" s="230"/>
      <c r="W285" s="230"/>
      <c r="X285" s="230"/>
      <c r="Y285" s="230"/>
      <c r="Z285" s="230"/>
    </row>
    <row r="286" spans="1:26" ht="15.75" customHeight="1">
      <c r="A286" s="230"/>
      <c r="B286" s="230"/>
      <c r="C286" s="230"/>
      <c r="D286" s="230"/>
      <c r="E286" s="230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0"/>
      <c r="S286" s="230"/>
      <c r="T286" s="230"/>
      <c r="U286" s="230"/>
      <c r="V286" s="230"/>
      <c r="W286" s="230"/>
      <c r="X286" s="230"/>
      <c r="Y286" s="230"/>
      <c r="Z286" s="230"/>
    </row>
    <row r="287" spans="1:26" ht="15.75" customHeight="1">
      <c r="A287" s="230"/>
      <c r="B287" s="230"/>
      <c r="C287" s="230"/>
      <c r="D287" s="230"/>
      <c r="E287" s="230"/>
      <c r="F287" s="230"/>
      <c r="G287" s="230"/>
      <c r="H287" s="230"/>
      <c r="I287" s="230"/>
      <c r="J287" s="230"/>
      <c r="K287" s="230"/>
      <c r="L287" s="230"/>
      <c r="M287" s="230"/>
      <c r="N287" s="230"/>
      <c r="O287" s="230"/>
      <c r="P287" s="230"/>
      <c r="Q287" s="230"/>
      <c r="R287" s="230"/>
      <c r="S287" s="230"/>
      <c r="T287" s="230"/>
      <c r="U287" s="230"/>
      <c r="V287" s="230"/>
      <c r="W287" s="230"/>
      <c r="X287" s="230"/>
      <c r="Y287" s="230"/>
      <c r="Z287" s="230"/>
    </row>
    <row r="288" spans="1:26" ht="15.75" customHeight="1">
      <c r="A288" s="230"/>
      <c r="B288" s="230"/>
      <c r="C288" s="230"/>
      <c r="D288" s="230"/>
      <c r="E288" s="230"/>
      <c r="F288" s="230"/>
      <c r="G288" s="230"/>
      <c r="H288" s="230"/>
      <c r="I288" s="230"/>
      <c r="J288" s="230"/>
      <c r="K288" s="230"/>
      <c r="L288" s="230"/>
      <c r="M288" s="230"/>
      <c r="N288" s="230"/>
      <c r="O288" s="230"/>
      <c r="P288" s="230"/>
      <c r="Q288" s="230"/>
      <c r="R288" s="230"/>
      <c r="S288" s="230"/>
      <c r="T288" s="230"/>
      <c r="U288" s="230"/>
      <c r="V288" s="230"/>
      <c r="W288" s="230"/>
      <c r="X288" s="230"/>
      <c r="Y288" s="230"/>
      <c r="Z288" s="230"/>
    </row>
    <row r="289" spans="1:26" ht="15.75" customHeight="1">
      <c r="A289" s="230"/>
      <c r="B289" s="230"/>
      <c r="C289" s="230"/>
      <c r="D289" s="230"/>
      <c r="E289" s="230"/>
      <c r="F289" s="230"/>
      <c r="G289" s="230"/>
      <c r="H289" s="230"/>
      <c r="I289" s="230"/>
      <c r="J289" s="230"/>
      <c r="K289" s="230"/>
      <c r="L289" s="230"/>
      <c r="M289" s="230"/>
      <c r="N289" s="230"/>
      <c r="O289" s="230"/>
      <c r="P289" s="230"/>
      <c r="Q289" s="230"/>
      <c r="R289" s="230"/>
      <c r="S289" s="230"/>
      <c r="T289" s="230"/>
      <c r="U289" s="230"/>
      <c r="V289" s="230"/>
      <c r="W289" s="230"/>
      <c r="X289" s="230"/>
      <c r="Y289" s="230"/>
      <c r="Z289" s="230"/>
    </row>
    <row r="290" spans="1:26" ht="15.75" customHeight="1">
      <c r="A290" s="230"/>
      <c r="B290" s="230"/>
      <c r="C290" s="230"/>
      <c r="D290" s="230"/>
      <c r="E290" s="230"/>
      <c r="F290" s="230"/>
      <c r="G290" s="230"/>
      <c r="H290" s="230"/>
      <c r="I290" s="230"/>
      <c r="J290" s="230"/>
      <c r="K290" s="230"/>
      <c r="L290" s="230"/>
      <c r="M290" s="230"/>
      <c r="N290" s="230"/>
      <c r="O290" s="230"/>
      <c r="P290" s="230"/>
      <c r="Q290" s="230"/>
      <c r="R290" s="230"/>
      <c r="S290" s="230"/>
      <c r="T290" s="230"/>
      <c r="U290" s="230"/>
      <c r="V290" s="230"/>
      <c r="W290" s="230"/>
      <c r="X290" s="230"/>
      <c r="Y290" s="230"/>
      <c r="Z290" s="230"/>
    </row>
    <row r="291" spans="1:26" ht="15.75" customHeight="1">
      <c r="A291" s="230"/>
      <c r="B291" s="230"/>
      <c r="C291" s="230"/>
      <c r="D291" s="230"/>
      <c r="E291" s="230"/>
      <c r="F291" s="230"/>
      <c r="G291" s="230"/>
      <c r="H291" s="230"/>
      <c r="I291" s="230"/>
      <c r="J291" s="230"/>
      <c r="K291" s="230"/>
      <c r="L291" s="230"/>
      <c r="M291" s="230"/>
      <c r="N291" s="230"/>
      <c r="O291" s="230"/>
      <c r="P291" s="230"/>
      <c r="Q291" s="230"/>
      <c r="R291" s="230"/>
      <c r="S291" s="230"/>
      <c r="T291" s="230"/>
      <c r="U291" s="230"/>
      <c r="V291" s="230"/>
      <c r="W291" s="230"/>
      <c r="X291" s="230"/>
      <c r="Y291" s="230"/>
      <c r="Z291" s="230"/>
    </row>
    <row r="292" spans="1:26" ht="15.75" customHeight="1">
      <c r="A292" s="230"/>
      <c r="B292" s="230"/>
      <c r="C292" s="230"/>
      <c r="D292" s="230"/>
      <c r="E292" s="230"/>
      <c r="F292" s="230"/>
      <c r="G292" s="230"/>
      <c r="H292" s="230"/>
      <c r="I292" s="230"/>
      <c r="J292" s="230"/>
      <c r="K292" s="230"/>
      <c r="L292" s="230"/>
      <c r="M292" s="230"/>
      <c r="N292" s="230"/>
      <c r="O292" s="230"/>
      <c r="P292" s="230"/>
      <c r="Q292" s="230"/>
      <c r="R292" s="230"/>
      <c r="S292" s="230"/>
      <c r="T292" s="230"/>
      <c r="U292" s="230"/>
      <c r="V292" s="230"/>
      <c r="W292" s="230"/>
      <c r="X292" s="230"/>
      <c r="Y292" s="230"/>
      <c r="Z292" s="230"/>
    </row>
    <row r="293" spans="1:26" ht="15.75" customHeight="1">
      <c r="A293" s="230"/>
      <c r="B293" s="230"/>
      <c r="C293" s="230"/>
      <c r="D293" s="230"/>
      <c r="E293" s="230"/>
      <c r="F293" s="230"/>
      <c r="G293" s="230"/>
      <c r="H293" s="230"/>
      <c r="I293" s="230"/>
      <c r="J293" s="230"/>
      <c r="K293" s="230"/>
      <c r="L293" s="230"/>
      <c r="M293" s="230"/>
      <c r="N293" s="230"/>
      <c r="O293" s="230"/>
      <c r="P293" s="230"/>
      <c r="Q293" s="230"/>
      <c r="R293" s="230"/>
      <c r="S293" s="230"/>
      <c r="T293" s="230"/>
      <c r="U293" s="230"/>
      <c r="V293" s="230"/>
      <c r="W293" s="230"/>
      <c r="X293" s="230"/>
      <c r="Y293" s="230"/>
      <c r="Z293" s="230"/>
    </row>
    <row r="294" spans="1:26" ht="15.75" customHeight="1">
      <c r="A294" s="230"/>
      <c r="B294" s="230"/>
      <c r="C294" s="230"/>
      <c r="D294" s="230"/>
      <c r="E294" s="230"/>
      <c r="F294" s="230"/>
      <c r="G294" s="230"/>
      <c r="H294" s="230"/>
      <c r="I294" s="230"/>
      <c r="J294" s="230"/>
      <c r="K294" s="230"/>
      <c r="L294" s="230"/>
      <c r="M294" s="230"/>
      <c r="N294" s="230"/>
      <c r="O294" s="230"/>
      <c r="P294" s="230"/>
      <c r="Q294" s="230"/>
      <c r="R294" s="230"/>
      <c r="S294" s="230"/>
      <c r="T294" s="230"/>
      <c r="U294" s="230"/>
      <c r="V294" s="230"/>
      <c r="W294" s="230"/>
      <c r="X294" s="230"/>
      <c r="Y294" s="230"/>
      <c r="Z294" s="230"/>
    </row>
    <row r="295" spans="1:26" ht="15.75" customHeight="1">
      <c r="A295" s="230"/>
      <c r="B295" s="230"/>
      <c r="C295" s="230"/>
      <c r="D295" s="230"/>
      <c r="E295" s="230"/>
      <c r="F295" s="230"/>
      <c r="G295" s="230"/>
      <c r="H295" s="230"/>
      <c r="I295" s="230"/>
      <c r="J295" s="230"/>
      <c r="K295" s="230"/>
      <c r="L295" s="230"/>
      <c r="M295" s="230"/>
      <c r="N295" s="230"/>
      <c r="O295" s="230"/>
      <c r="P295" s="230"/>
      <c r="Q295" s="230"/>
      <c r="R295" s="230"/>
      <c r="S295" s="230"/>
      <c r="T295" s="230"/>
      <c r="U295" s="230"/>
      <c r="V295" s="230"/>
      <c r="W295" s="230"/>
      <c r="X295" s="230"/>
      <c r="Y295" s="230"/>
      <c r="Z295" s="230"/>
    </row>
    <row r="296" spans="1:26" ht="15.75" customHeight="1">
      <c r="A296" s="230"/>
      <c r="B296" s="230"/>
      <c r="C296" s="230"/>
      <c r="D296" s="230"/>
      <c r="E296" s="230"/>
      <c r="F296" s="230"/>
      <c r="G296" s="230"/>
      <c r="H296" s="230"/>
      <c r="I296" s="230"/>
      <c r="J296" s="230"/>
      <c r="K296" s="230"/>
      <c r="L296" s="230"/>
      <c r="M296" s="230"/>
      <c r="N296" s="230"/>
      <c r="O296" s="230"/>
      <c r="P296" s="230"/>
      <c r="Q296" s="230"/>
      <c r="R296" s="230"/>
      <c r="S296" s="230"/>
      <c r="T296" s="230"/>
      <c r="U296" s="230"/>
      <c r="V296" s="230"/>
      <c r="W296" s="230"/>
      <c r="X296" s="230"/>
      <c r="Y296" s="230"/>
      <c r="Z296" s="230"/>
    </row>
    <row r="297" spans="1:26" ht="15.75" customHeight="1">
      <c r="A297" s="230"/>
      <c r="B297" s="230"/>
      <c r="C297" s="230"/>
      <c r="D297" s="230"/>
      <c r="E297" s="230"/>
      <c r="F297" s="230"/>
      <c r="G297" s="230"/>
      <c r="H297" s="230"/>
      <c r="I297" s="230"/>
      <c r="J297" s="230"/>
      <c r="K297" s="230"/>
      <c r="L297" s="230"/>
      <c r="M297" s="230"/>
      <c r="N297" s="230"/>
      <c r="O297" s="230"/>
      <c r="P297" s="230"/>
      <c r="Q297" s="230"/>
      <c r="R297" s="230"/>
      <c r="S297" s="230"/>
      <c r="T297" s="230"/>
      <c r="U297" s="230"/>
      <c r="V297" s="230"/>
      <c r="W297" s="230"/>
      <c r="X297" s="230"/>
      <c r="Y297" s="230"/>
      <c r="Z297" s="230"/>
    </row>
    <row r="298" spans="1:26" ht="15.75" customHeight="1">
      <c r="A298" s="230"/>
      <c r="B298" s="230"/>
      <c r="C298" s="230"/>
      <c r="D298" s="230"/>
      <c r="E298" s="230"/>
      <c r="F298" s="230"/>
      <c r="G298" s="230"/>
      <c r="H298" s="230"/>
      <c r="I298" s="230"/>
      <c r="J298" s="230"/>
      <c r="K298" s="230"/>
      <c r="L298" s="230"/>
      <c r="M298" s="230"/>
      <c r="N298" s="230"/>
      <c r="O298" s="230"/>
      <c r="P298" s="230"/>
      <c r="Q298" s="230"/>
      <c r="R298" s="230"/>
      <c r="S298" s="230"/>
      <c r="T298" s="230"/>
      <c r="U298" s="230"/>
      <c r="V298" s="230"/>
      <c r="W298" s="230"/>
      <c r="X298" s="230"/>
      <c r="Y298" s="230"/>
      <c r="Z298" s="230"/>
    </row>
    <row r="299" spans="1:26" ht="15.75" customHeight="1">
      <c r="A299" s="230"/>
      <c r="B299" s="230"/>
      <c r="C299" s="230"/>
      <c r="D299" s="230"/>
      <c r="E299" s="230"/>
      <c r="F299" s="230"/>
      <c r="G299" s="230"/>
      <c r="H299" s="230"/>
      <c r="I299" s="230"/>
      <c r="J299" s="230"/>
      <c r="K299" s="230"/>
      <c r="L299" s="230"/>
      <c r="M299" s="230"/>
      <c r="N299" s="230"/>
      <c r="O299" s="230"/>
      <c r="P299" s="230"/>
      <c r="Q299" s="230"/>
      <c r="R299" s="230"/>
      <c r="S299" s="230"/>
      <c r="T299" s="230"/>
      <c r="U299" s="230"/>
      <c r="V299" s="230"/>
      <c r="W299" s="230"/>
      <c r="X299" s="230"/>
      <c r="Y299" s="230"/>
      <c r="Z299" s="230"/>
    </row>
    <row r="300" spans="1:26" ht="15.75" customHeight="1">
      <c r="A300" s="230"/>
      <c r="B300" s="230"/>
      <c r="C300" s="230"/>
      <c r="D300" s="230"/>
      <c r="E300" s="230"/>
      <c r="F300" s="230"/>
      <c r="G300" s="230"/>
      <c r="H300" s="230"/>
      <c r="I300" s="230"/>
      <c r="J300" s="230"/>
      <c r="K300" s="230"/>
      <c r="L300" s="230"/>
      <c r="M300" s="230"/>
      <c r="N300" s="230"/>
      <c r="O300" s="230"/>
      <c r="P300" s="230"/>
      <c r="Q300" s="230"/>
      <c r="R300" s="230"/>
      <c r="S300" s="230"/>
      <c r="T300" s="230"/>
      <c r="U300" s="230"/>
      <c r="V300" s="230"/>
      <c r="W300" s="230"/>
      <c r="X300" s="230"/>
      <c r="Y300" s="230"/>
      <c r="Z300" s="230"/>
    </row>
    <row r="301" spans="1:26" ht="15.75" customHeight="1">
      <c r="A301" s="230"/>
      <c r="B301" s="230"/>
      <c r="C301" s="230"/>
      <c r="D301" s="230"/>
      <c r="E301" s="230"/>
      <c r="F301" s="230"/>
      <c r="G301" s="230"/>
      <c r="H301" s="230"/>
      <c r="I301" s="230"/>
      <c r="J301" s="230"/>
      <c r="K301" s="230"/>
      <c r="L301" s="230"/>
      <c r="M301" s="230"/>
      <c r="N301" s="230"/>
      <c r="O301" s="230"/>
      <c r="P301" s="230"/>
      <c r="Q301" s="230"/>
      <c r="R301" s="230"/>
      <c r="S301" s="230"/>
      <c r="T301" s="230"/>
      <c r="U301" s="230"/>
      <c r="V301" s="230"/>
      <c r="W301" s="230"/>
      <c r="X301" s="230"/>
      <c r="Y301" s="230"/>
      <c r="Z301" s="230"/>
    </row>
    <row r="302" spans="1:26" ht="15.75" customHeight="1">
      <c r="A302" s="230"/>
      <c r="B302" s="230"/>
      <c r="C302" s="230"/>
      <c r="D302" s="230"/>
      <c r="E302" s="230"/>
      <c r="F302" s="230"/>
      <c r="G302" s="230"/>
      <c r="H302" s="230"/>
      <c r="I302" s="230"/>
      <c r="J302" s="230"/>
      <c r="K302" s="230"/>
      <c r="L302" s="230"/>
      <c r="M302" s="230"/>
      <c r="N302" s="230"/>
      <c r="O302" s="230"/>
      <c r="P302" s="230"/>
      <c r="Q302" s="230"/>
      <c r="R302" s="230"/>
      <c r="S302" s="230"/>
      <c r="T302" s="230"/>
      <c r="U302" s="230"/>
      <c r="V302" s="230"/>
      <c r="W302" s="230"/>
      <c r="X302" s="230"/>
      <c r="Y302" s="230"/>
      <c r="Z302" s="230"/>
    </row>
    <row r="303" spans="1:26" ht="15.75" customHeight="1">
      <c r="A303" s="230"/>
      <c r="B303" s="230"/>
      <c r="C303" s="230"/>
      <c r="D303" s="230"/>
      <c r="E303" s="230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30"/>
      <c r="S303" s="230"/>
      <c r="T303" s="230"/>
      <c r="U303" s="230"/>
      <c r="V303" s="230"/>
      <c r="W303" s="230"/>
      <c r="X303" s="230"/>
      <c r="Y303" s="230"/>
      <c r="Z303" s="230"/>
    </row>
    <row r="304" spans="1:26" ht="15.75" customHeight="1">
      <c r="A304" s="230"/>
      <c r="B304" s="230"/>
      <c r="C304" s="230"/>
      <c r="D304" s="230"/>
      <c r="E304" s="230"/>
      <c r="F304" s="230"/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0"/>
      <c r="S304" s="230"/>
      <c r="T304" s="230"/>
      <c r="U304" s="230"/>
      <c r="V304" s="230"/>
      <c r="W304" s="230"/>
      <c r="X304" s="230"/>
      <c r="Y304" s="230"/>
      <c r="Z304" s="230"/>
    </row>
    <row r="305" spans="1:26" ht="15.75" customHeight="1">
      <c r="A305" s="230"/>
      <c r="B305" s="230"/>
      <c r="C305" s="230"/>
      <c r="D305" s="230"/>
      <c r="E305" s="230"/>
      <c r="F305" s="230"/>
      <c r="G305" s="230"/>
      <c r="H305" s="230"/>
      <c r="I305" s="230"/>
      <c r="J305" s="230"/>
      <c r="K305" s="230"/>
      <c r="L305" s="230"/>
      <c r="M305" s="230"/>
      <c r="N305" s="230"/>
      <c r="O305" s="230"/>
      <c r="P305" s="230"/>
      <c r="Q305" s="230"/>
      <c r="R305" s="230"/>
      <c r="S305" s="230"/>
      <c r="T305" s="230"/>
      <c r="U305" s="230"/>
      <c r="V305" s="230"/>
      <c r="W305" s="230"/>
      <c r="X305" s="230"/>
      <c r="Y305" s="230"/>
      <c r="Z305" s="230"/>
    </row>
    <row r="306" spans="1:26" ht="15.75" customHeight="1">
      <c r="A306" s="230"/>
      <c r="B306" s="230"/>
      <c r="C306" s="230"/>
      <c r="D306" s="230"/>
      <c r="E306" s="230"/>
      <c r="F306" s="230"/>
      <c r="G306" s="230"/>
      <c r="H306" s="230"/>
      <c r="I306" s="230"/>
      <c r="J306" s="230"/>
      <c r="K306" s="230"/>
      <c r="L306" s="230"/>
      <c r="M306" s="230"/>
      <c r="N306" s="230"/>
      <c r="O306" s="230"/>
      <c r="P306" s="230"/>
      <c r="Q306" s="230"/>
      <c r="R306" s="230"/>
      <c r="S306" s="230"/>
      <c r="T306" s="230"/>
      <c r="U306" s="230"/>
      <c r="V306" s="230"/>
      <c r="W306" s="230"/>
      <c r="X306" s="230"/>
      <c r="Y306" s="230"/>
      <c r="Z306" s="230"/>
    </row>
    <row r="307" spans="1:26" ht="15.75" customHeight="1">
      <c r="A307" s="230"/>
      <c r="B307" s="230"/>
      <c r="C307" s="230"/>
      <c r="D307" s="230"/>
      <c r="E307" s="230"/>
      <c r="F307" s="230"/>
      <c r="G307" s="230"/>
      <c r="H307" s="230"/>
      <c r="I307" s="230"/>
      <c r="J307" s="230"/>
      <c r="K307" s="230"/>
      <c r="L307" s="230"/>
      <c r="M307" s="230"/>
      <c r="N307" s="230"/>
      <c r="O307" s="230"/>
      <c r="P307" s="230"/>
      <c r="Q307" s="230"/>
      <c r="R307" s="230"/>
      <c r="S307" s="230"/>
      <c r="T307" s="230"/>
      <c r="U307" s="230"/>
      <c r="V307" s="230"/>
      <c r="W307" s="230"/>
      <c r="X307" s="230"/>
      <c r="Y307" s="230"/>
      <c r="Z307" s="230"/>
    </row>
    <row r="308" spans="1:26" ht="15.75" customHeight="1">
      <c r="A308" s="230"/>
      <c r="B308" s="230"/>
      <c r="C308" s="230"/>
      <c r="D308" s="230"/>
      <c r="E308" s="230"/>
      <c r="F308" s="230"/>
      <c r="G308" s="230"/>
      <c r="H308" s="230"/>
      <c r="I308" s="230"/>
      <c r="J308" s="230"/>
      <c r="K308" s="230"/>
      <c r="L308" s="230"/>
      <c r="M308" s="230"/>
      <c r="N308" s="230"/>
      <c r="O308" s="230"/>
      <c r="P308" s="230"/>
      <c r="Q308" s="230"/>
      <c r="R308" s="230"/>
      <c r="S308" s="230"/>
      <c r="T308" s="230"/>
      <c r="U308" s="230"/>
      <c r="V308" s="230"/>
      <c r="W308" s="230"/>
      <c r="X308" s="230"/>
      <c r="Y308" s="230"/>
      <c r="Z308" s="230"/>
    </row>
    <row r="309" spans="1:26" ht="15.75" customHeight="1">
      <c r="A309" s="230"/>
      <c r="B309" s="230"/>
      <c r="C309" s="230"/>
      <c r="D309" s="230"/>
      <c r="E309" s="230"/>
      <c r="F309" s="230"/>
      <c r="G309" s="230"/>
      <c r="H309" s="230"/>
      <c r="I309" s="230"/>
      <c r="J309" s="230"/>
      <c r="K309" s="230"/>
      <c r="L309" s="230"/>
      <c r="M309" s="230"/>
      <c r="N309" s="230"/>
      <c r="O309" s="230"/>
      <c r="P309" s="230"/>
      <c r="Q309" s="230"/>
      <c r="R309" s="230"/>
      <c r="S309" s="230"/>
      <c r="T309" s="230"/>
      <c r="U309" s="230"/>
      <c r="V309" s="230"/>
      <c r="W309" s="230"/>
      <c r="X309" s="230"/>
      <c r="Y309" s="230"/>
      <c r="Z309" s="230"/>
    </row>
    <row r="310" spans="1:26" ht="15.75" customHeight="1">
      <c r="A310" s="230"/>
      <c r="B310" s="230"/>
      <c r="C310" s="230"/>
      <c r="D310" s="230"/>
      <c r="E310" s="230"/>
      <c r="F310" s="230"/>
      <c r="G310" s="230"/>
      <c r="H310" s="230"/>
      <c r="I310" s="230"/>
      <c r="J310" s="230"/>
      <c r="K310" s="230"/>
      <c r="L310" s="230"/>
      <c r="M310" s="230"/>
      <c r="N310" s="230"/>
      <c r="O310" s="230"/>
      <c r="P310" s="230"/>
      <c r="Q310" s="230"/>
      <c r="R310" s="230"/>
      <c r="S310" s="230"/>
      <c r="T310" s="230"/>
      <c r="U310" s="230"/>
      <c r="V310" s="230"/>
      <c r="W310" s="230"/>
      <c r="X310" s="230"/>
      <c r="Y310" s="230"/>
      <c r="Z310" s="230"/>
    </row>
    <row r="311" spans="1:26" ht="15.75" customHeight="1">
      <c r="A311" s="230"/>
      <c r="B311" s="230"/>
      <c r="C311" s="230"/>
      <c r="D311" s="230"/>
      <c r="E311" s="230"/>
      <c r="F311" s="230"/>
      <c r="G311" s="230"/>
      <c r="H311" s="230"/>
      <c r="I311" s="230"/>
      <c r="J311" s="230"/>
      <c r="K311" s="230"/>
      <c r="L311" s="230"/>
      <c r="M311" s="230"/>
      <c r="N311" s="230"/>
      <c r="O311" s="230"/>
      <c r="P311" s="230"/>
      <c r="Q311" s="230"/>
      <c r="R311" s="230"/>
      <c r="S311" s="230"/>
      <c r="T311" s="230"/>
      <c r="U311" s="230"/>
      <c r="V311" s="230"/>
      <c r="W311" s="230"/>
      <c r="X311" s="230"/>
      <c r="Y311" s="230"/>
      <c r="Z311" s="230"/>
    </row>
    <row r="312" spans="1:26" ht="15.75" customHeight="1">
      <c r="A312" s="230"/>
      <c r="B312" s="230"/>
      <c r="C312" s="230"/>
      <c r="D312" s="230"/>
      <c r="E312" s="230"/>
      <c r="F312" s="230"/>
      <c r="G312" s="230"/>
      <c r="H312" s="230"/>
      <c r="I312" s="230"/>
      <c r="J312" s="230"/>
      <c r="K312" s="230"/>
      <c r="L312" s="230"/>
      <c r="M312" s="230"/>
      <c r="N312" s="230"/>
      <c r="O312" s="230"/>
      <c r="P312" s="230"/>
      <c r="Q312" s="230"/>
      <c r="R312" s="230"/>
      <c r="S312" s="230"/>
      <c r="T312" s="230"/>
      <c r="U312" s="230"/>
      <c r="V312" s="230"/>
      <c r="W312" s="230"/>
      <c r="X312" s="230"/>
      <c r="Y312" s="230"/>
      <c r="Z312" s="230"/>
    </row>
    <row r="313" spans="1:26" ht="15.75" customHeight="1">
      <c r="A313" s="230"/>
      <c r="B313" s="230"/>
      <c r="C313" s="230"/>
      <c r="D313" s="230"/>
      <c r="E313" s="230"/>
      <c r="F313" s="230"/>
      <c r="G313" s="230"/>
      <c r="H313" s="230"/>
      <c r="I313" s="230"/>
      <c r="J313" s="230"/>
      <c r="K313" s="230"/>
      <c r="L313" s="230"/>
      <c r="M313" s="230"/>
      <c r="N313" s="230"/>
      <c r="O313" s="230"/>
      <c r="P313" s="230"/>
      <c r="Q313" s="230"/>
      <c r="R313" s="230"/>
      <c r="S313" s="230"/>
      <c r="T313" s="230"/>
      <c r="U313" s="230"/>
      <c r="V313" s="230"/>
      <c r="W313" s="230"/>
      <c r="X313" s="230"/>
      <c r="Y313" s="230"/>
      <c r="Z313" s="230"/>
    </row>
    <row r="314" spans="1:26" ht="15.75" customHeight="1">
      <c r="A314" s="230"/>
      <c r="B314" s="230"/>
      <c r="C314" s="230"/>
      <c r="D314" s="230"/>
      <c r="E314" s="230"/>
      <c r="F314" s="230"/>
      <c r="G314" s="230"/>
      <c r="H314" s="230"/>
      <c r="I314" s="230"/>
      <c r="J314" s="230"/>
      <c r="K314" s="230"/>
      <c r="L314" s="230"/>
      <c r="M314" s="230"/>
      <c r="N314" s="230"/>
      <c r="O314" s="230"/>
      <c r="P314" s="230"/>
      <c r="Q314" s="230"/>
      <c r="R314" s="230"/>
      <c r="S314" s="230"/>
      <c r="T314" s="230"/>
      <c r="U314" s="230"/>
      <c r="V314" s="230"/>
      <c r="W314" s="230"/>
      <c r="X314" s="230"/>
      <c r="Y314" s="230"/>
      <c r="Z314" s="230"/>
    </row>
    <row r="315" spans="1:26" ht="15.75" customHeight="1">
      <c r="A315" s="230"/>
      <c r="B315" s="230"/>
      <c r="C315" s="230"/>
      <c r="D315" s="230"/>
      <c r="E315" s="230"/>
      <c r="F315" s="230"/>
      <c r="G315" s="230"/>
      <c r="H315" s="230"/>
      <c r="I315" s="230"/>
      <c r="J315" s="230"/>
      <c r="K315" s="230"/>
      <c r="L315" s="230"/>
      <c r="M315" s="230"/>
      <c r="N315" s="230"/>
      <c r="O315" s="230"/>
      <c r="P315" s="230"/>
      <c r="Q315" s="230"/>
      <c r="R315" s="230"/>
      <c r="S315" s="230"/>
      <c r="T315" s="230"/>
      <c r="U315" s="230"/>
      <c r="V315" s="230"/>
      <c r="W315" s="230"/>
      <c r="X315" s="230"/>
      <c r="Y315" s="230"/>
      <c r="Z315" s="230"/>
    </row>
    <row r="316" spans="1:26" ht="15.75" customHeight="1">
      <c r="A316" s="230"/>
      <c r="B316" s="230"/>
      <c r="C316" s="230"/>
      <c r="D316" s="230"/>
      <c r="E316" s="230"/>
      <c r="F316" s="230"/>
      <c r="G316" s="230"/>
      <c r="H316" s="230"/>
      <c r="I316" s="230"/>
      <c r="J316" s="230"/>
      <c r="K316" s="230"/>
      <c r="L316" s="230"/>
      <c r="M316" s="230"/>
      <c r="N316" s="230"/>
      <c r="O316" s="230"/>
      <c r="P316" s="230"/>
      <c r="Q316" s="230"/>
      <c r="R316" s="230"/>
      <c r="S316" s="230"/>
      <c r="T316" s="230"/>
      <c r="U316" s="230"/>
      <c r="V316" s="230"/>
      <c r="W316" s="230"/>
      <c r="X316" s="230"/>
      <c r="Y316" s="230"/>
      <c r="Z316" s="230"/>
    </row>
    <row r="317" spans="1:26" ht="15.75" customHeight="1">
      <c r="A317" s="230"/>
      <c r="B317" s="230"/>
      <c r="C317" s="230"/>
      <c r="D317" s="230"/>
      <c r="E317" s="230"/>
      <c r="F317" s="230"/>
      <c r="G317" s="230"/>
      <c r="H317" s="230"/>
      <c r="I317" s="230"/>
      <c r="J317" s="230"/>
      <c r="K317" s="230"/>
      <c r="L317" s="230"/>
      <c r="M317" s="230"/>
      <c r="N317" s="230"/>
      <c r="O317" s="230"/>
      <c r="P317" s="230"/>
      <c r="Q317" s="230"/>
      <c r="R317" s="230"/>
      <c r="S317" s="230"/>
      <c r="T317" s="230"/>
      <c r="U317" s="230"/>
      <c r="V317" s="230"/>
      <c r="W317" s="230"/>
      <c r="X317" s="230"/>
      <c r="Y317" s="230"/>
      <c r="Z317" s="230"/>
    </row>
    <row r="318" spans="1:26" ht="15.75" customHeight="1">
      <c r="A318" s="230"/>
      <c r="B318" s="230"/>
      <c r="C318" s="230"/>
      <c r="D318" s="230"/>
      <c r="E318" s="230"/>
      <c r="F318" s="230"/>
      <c r="G318" s="230"/>
      <c r="H318" s="230"/>
      <c r="I318" s="230"/>
      <c r="J318" s="230"/>
      <c r="K318" s="230"/>
      <c r="L318" s="230"/>
      <c r="M318" s="230"/>
      <c r="N318" s="230"/>
      <c r="O318" s="230"/>
      <c r="P318" s="230"/>
      <c r="Q318" s="230"/>
      <c r="R318" s="230"/>
      <c r="S318" s="230"/>
      <c r="T318" s="230"/>
      <c r="U318" s="230"/>
      <c r="V318" s="230"/>
      <c r="W318" s="230"/>
      <c r="X318" s="230"/>
      <c r="Y318" s="230"/>
      <c r="Z318" s="230"/>
    </row>
    <row r="319" spans="1:26" ht="15.75" customHeight="1">
      <c r="A319" s="230"/>
      <c r="B319" s="230"/>
      <c r="C319" s="230"/>
      <c r="D319" s="230"/>
      <c r="E319" s="230"/>
      <c r="F319" s="230"/>
      <c r="G319" s="230"/>
      <c r="H319" s="230"/>
      <c r="I319" s="230"/>
      <c r="J319" s="230"/>
      <c r="K319" s="230"/>
      <c r="L319" s="230"/>
      <c r="M319" s="230"/>
      <c r="N319" s="230"/>
      <c r="O319" s="230"/>
      <c r="P319" s="230"/>
      <c r="Q319" s="230"/>
      <c r="R319" s="230"/>
      <c r="S319" s="230"/>
      <c r="T319" s="230"/>
      <c r="U319" s="230"/>
      <c r="V319" s="230"/>
      <c r="W319" s="230"/>
      <c r="X319" s="230"/>
      <c r="Y319" s="230"/>
      <c r="Z319" s="230"/>
    </row>
    <row r="320" spans="1:26" ht="15.75" customHeight="1">
      <c r="A320" s="230"/>
      <c r="B320" s="230"/>
      <c r="C320" s="230"/>
      <c r="D320" s="230"/>
      <c r="E320" s="230"/>
      <c r="F320" s="230"/>
      <c r="G320" s="230"/>
      <c r="H320" s="230"/>
      <c r="I320" s="230"/>
      <c r="J320" s="230"/>
      <c r="K320" s="230"/>
      <c r="L320" s="230"/>
      <c r="M320" s="230"/>
      <c r="N320" s="230"/>
      <c r="O320" s="230"/>
      <c r="P320" s="230"/>
      <c r="Q320" s="230"/>
      <c r="R320" s="230"/>
      <c r="S320" s="230"/>
      <c r="T320" s="230"/>
      <c r="U320" s="230"/>
      <c r="V320" s="230"/>
      <c r="W320" s="230"/>
      <c r="X320" s="230"/>
      <c r="Y320" s="230"/>
      <c r="Z320" s="230"/>
    </row>
    <row r="321" spans="1:26" ht="15.75" customHeight="1">
      <c r="A321" s="230"/>
      <c r="B321" s="230"/>
      <c r="C321" s="230"/>
      <c r="D321" s="230"/>
      <c r="E321" s="230"/>
      <c r="F321" s="230"/>
      <c r="G321" s="230"/>
      <c r="H321" s="230"/>
      <c r="I321" s="230"/>
      <c r="J321" s="230"/>
      <c r="K321" s="230"/>
      <c r="L321" s="230"/>
      <c r="M321" s="230"/>
      <c r="N321" s="230"/>
      <c r="O321" s="230"/>
      <c r="P321" s="230"/>
      <c r="Q321" s="230"/>
      <c r="R321" s="230"/>
      <c r="S321" s="230"/>
      <c r="T321" s="230"/>
      <c r="U321" s="230"/>
      <c r="V321" s="230"/>
      <c r="W321" s="230"/>
      <c r="X321" s="230"/>
      <c r="Y321" s="230"/>
      <c r="Z321" s="230"/>
    </row>
    <row r="322" spans="1:26" ht="15.75" customHeight="1">
      <c r="A322" s="230"/>
      <c r="B322" s="230"/>
      <c r="C322" s="230"/>
      <c r="D322" s="230"/>
      <c r="E322" s="230"/>
      <c r="F322" s="230"/>
      <c r="G322" s="230"/>
      <c r="H322" s="230"/>
      <c r="I322" s="230"/>
      <c r="J322" s="230"/>
      <c r="K322" s="230"/>
      <c r="L322" s="230"/>
      <c r="M322" s="230"/>
      <c r="N322" s="230"/>
      <c r="O322" s="230"/>
      <c r="P322" s="230"/>
      <c r="Q322" s="230"/>
      <c r="R322" s="230"/>
      <c r="S322" s="230"/>
      <c r="T322" s="230"/>
      <c r="U322" s="230"/>
      <c r="V322" s="230"/>
      <c r="W322" s="230"/>
      <c r="X322" s="230"/>
      <c r="Y322" s="230"/>
      <c r="Z322" s="230"/>
    </row>
    <row r="323" spans="1:26" ht="15.75" customHeight="1">
      <c r="A323" s="230"/>
      <c r="B323" s="230"/>
      <c r="C323" s="230"/>
      <c r="D323" s="230"/>
      <c r="E323" s="230"/>
      <c r="F323" s="230"/>
      <c r="G323" s="230"/>
      <c r="H323" s="230"/>
      <c r="I323" s="230"/>
      <c r="J323" s="230"/>
      <c r="K323" s="230"/>
      <c r="L323" s="230"/>
      <c r="M323" s="230"/>
      <c r="N323" s="230"/>
      <c r="O323" s="230"/>
      <c r="P323" s="230"/>
      <c r="Q323" s="230"/>
      <c r="R323" s="230"/>
      <c r="S323" s="230"/>
      <c r="T323" s="230"/>
      <c r="U323" s="230"/>
      <c r="V323" s="230"/>
      <c r="W323" s="230"/>
      <c r="X323" s="230"/>
      <c r="Y323" s="230"/>
      <c r="Z323" s="230"/>
    </row>
    <row r="324" spans="1:26" ht="15.75" customHeight="1">
      <c r="A324" s="230"/>
      <c r="B324" s="230"/>
      <c r="C324" s="230"/>
      <c r="D324" s="230"/>
      <c r="E324" s="230"/>
      <c r="F324" s="230"/>
      <c r="G324" s="230"/>
      <c r="H324" s="230"/>
      <c r="I324" s="230"/>
      <c r="J324" s="230"/>
      <c r="K324" s="230"/>
      <c r="L324" s="230"/>
      <c r="M324" s="230"/>
      <c r="N324" s="230"/>
      <c r="O324" s="230"/>
      <c r="P324" s="230"/>
      <c r="Q324" s="230"/>
      <c r="R324" s="230"/>
      <c r="S324" s="230"/>
      <c r="T324" s="230"/>
      <c r="U324" s="230"/>
      <c r="V324" s="230"/>
      <c r="W324" s="230"/>
      <c r="X324" s="230"/>
      <c r="Y324" s="230"/>
      <c r="Z324" s="230"/>
    </row>
    <row r="325" spans="1:26" ht="15.75" customHeight="1">
      <c r="A325" s="230"/>
      <c r="B325" s="230"/>
      <c r="C325" s="230"/>
      <c r="D325" s="230"/>
      <c r="E325" s="230"/>
      <c r="F325" s="230"/>
      <c r="G325" s="230"/>
      <c r="H325" s="230"/>
      <c r="I325" s="230"/>
      <c r="J325" s="230"/>
      <c r="K325" s="230"/>
      <c r="L325" s="230"/>
      <c r="M325" s="230"/>
      <c r="N325" s="230"/>
      <c r="O325" s="230"/>
      <c r="P325" s="230"/>
      <c r="Q325" s="230"/>
      <c r="R325" s="230"/>
      <c r="S325" s="230"/>
      <c r="T325" s="230"/>
      <c r="U325" s="230"/>
      <c r="V325" s="230"/>
      <c r="W325" s="230"/>
      <c r="X325" s="230"/>
      <c r="Y325" s="230"/>
      <c r="Z325" s="230"/>
    </row>
    <row r="326" spans="1:26" ht="15.75" customHeight="1">
      <c r="A326" s="230"/>
      <c r="B326" s="230"/>
      <c r="C326" s="230"/>
      <c r="D326" s="230"/>
      <c r="E326" s="230"/>
      <c r="F326" s="230"/>
      <c r="G326" s="230"/>
      <c r="H326" s="230"/>
      <c r="I326" s="230"/>
      <c r="J326" s="230"/>
      <c r="K326" s="230"/>
      <c r="L326" s="230"/>
      <c r="M326" s="230"/>
      <c r="N326" s="230"/>
      <c r="O326" s="230"/>
      <c r="P326" s="230"/>
      <c r="Q326" s="230"/>
      <c r="R326" s="230"/>
      <c r="S326" s="230"/>
      <c r="T326" s="230"/>
      <c r="U326" s="230"/>
      <c r="V326" s="230"/>
      <c r="W326" s="230"/>
      <c r="X326" s="230"/>
      <c r="Y326" s="230"/>
      <c r="Z326" s="230"/>
    </row>
    <row r="327" spans="1:26" ht="15.75" customHeight="1">
      <c r="A327" s="230"/>
      <c r="B327" s="230"/>
      <c r="C327" s="230"/>
      <c r="D327" s="230"/>
      <c r="E327" s="230"/>
      <c r="F327" s="230"/>
      <c r="G327" s="230"/>
      <c r="H327" s="230"/>
      <c r="I327" s="230"/>
      <c r="J327" s="230"/>
      <c r="K327" s="230"/>
      <c r="L327" s="230"/>
      <c r="M327" s="230"/>
      <c r="N327" s="230"/>
      <c r="O327" s="230"/>
      <c r="P327" s="230"/>
      <c r="Q327" s="230"/>
      <c r="R327" s="230"/>
      <c r="S327" s="230"/>
      <c r="T327" s="230"/>
      <c r="U327" s="230"/>
      <c r="V327" s="230"/>
      <c r="W327" s="230"/>
      <c r="X327" s="230"/>
      <c r="Y327" s="230"/>
      <c r="Z327" s="230"/>
    </row>
    <row r="328" spans="1:26" ht="15.75" customHeight="1">
      <c r="A328" s="230"/>
      <c r="B328" s="230"/>
      <c r="C328" s="230"/>
      <c r="D328" s="230"/>
      <c r="E328" s="230"/>
      <c r="F328" s="230"/>
      <c r="G328" s="230"/>
      <c r="H328" s="230"/>
      <c r="I328" s="230"/>
      <c r="J328" s="230"/>
      <c r="K328" s="230"/>
      <c r="L328" s="230"/>
      <c r="M328" s="230"/>
      <c r="N328" s="230"/>
      <c r="O328" s="230"/>
      <c r="P328" s="230"/>
      <c r="Q328" s="230"/>
      <c r="R328" s="230"/>
      <c r="S328" s="230"/>
      <c r="T328" s="230"/>
      <c r="U328" s="230"/>
      <c r="V328" s="230"/>
      <c r="W328" s="230"/>
      <c r="X328" s="230"/>
      <c r="Y328" s="230"/>
      <c r="Z328" s="230"/>
    </row>
    <row r="329" spans="1:26" ht="15.75" customHeight="1">
      <c r="A329" s="230"/>
      <c r="B329" s="230"/>
      <c r="C329" s="230"/>
      <c r="D329" s="230"/>
      <c r="E329" s="230"/>
      <c r="F329" s="230"/>
      <c r="G329" s="230"/>
      <c r="H329" s="230"/>
      <c r="I329" s="230"/>
      <c r="J329" s="230"/>
      <c r="K329" s="230"/>
      <c r="L329" s="230"/>
      <c r="M329" s="230"/>
      <c r="N329" s="230"/>
      <c r="O329" s="230"/>
      <c r="P329" s="230"/>
      <c r="Q329" s="230"/>
      <c r="R329" s="230"/>
      <c r="S329" s="230"/>
      <c r="T329" s="230"/>
      <c r="U329" s="230"/>
      <c r="V329" s="230"/>
      <c r="W329" s="230"/>
      <c r="X329" s="230"/>
      <c r="Y329" s="230"/>
      <c r="Z329" s="230"/>
    </row>
    <row r="330" spans="1:26" ht="15.75" customHeight="1">
      <c r="A330" s="230"/>
      <c r="B330" s="230"/>
      <c r="C330" s="230"/>
      <c r="D330" s="230"/>
      <c r="E330" s="230"/>
      <c r="F330" s="230"/>
      <c r="G330" s="230"/>
      <c r="H330" s="230"/>
      <c r="I330" s="230"/>
      <c r="J330" s="230"/>
      <c r="K330" s="230"/>
      <c r="L330" s="230"/>
      <c r="M330" s="230"/>
      <c r="N330" s="230"/>
      <c r="O330" s="230"/>
      <c r="P330" s="230"/>
      <c r="Q330" s="230"/>
      <c r="R330" s="230"/>
      <c r="S330" s="230"/>
      <c r="T330" s="230"/>
      <c r="U330" s="230"/>
      <c r="V330" s="230"/>
      <c r="W330" s="230"/>
      <c r="X330" s="230"/>
      <c r="Y330" s="230"/>
      <c r="Z330" s="230"/>
    </row>
    <row r="331" spans="1:26" ht="15.75" customHeight="1">
      <c r="A331" s="230"/>
      <c r="B331" s="230"/>
      <c r="C331" s="230"/>
      <c r="D331" s="230"/>
      <c r="E331" s="230"/>
      <c r="F331" s="230"/>
      <c r="G331" s="230"/>
      <c r="H331" s="230"/>
      <c r="I331" s="230"/>
      <c r="J331" s="230"/>
      <c r="K331" s="230"/>
      <c r="L331" s="230"/>
      <c r="M331" s="230"/>
      <c r="N331" s="230"/>
      <c r="O331" s="230"/>
      <c r="P331" s="230"/>
      <c r="Q331" s="230"/>
      <c r="R331" s="230"/>
      <c r="S331" s="230"/>
      <c r="T331" s="230"/>
      <c r="U331" s="230"/>
      <c r="V331" s="230"/>
      <c r="W331" s="230"/>
      <c r="X331" s="230"/>
      <c r="Y331" s="230"/>
      <c r="Z331" s="230"/>
    </row>
    <row r="332" spans="1:26" ht="15.75" customHeight="1">
      <c r="A332" s="230"/>
      <c r="B332" s="230"/>
      <c r="C332" s="230"/>
      <c r="D332" s="230"/>
      <c r="E332" s="230"/>
      <c r="F332" s="230"/>
      <c r="G332" s="230"/>
      <c r="H332" s="230"/>
      <c r="I332" s="230"/>
      <c r="J332" s="230"/>
      <c r="K332" s="230"/>
      <c r="L332" s="230"/>
      <c r="M332" s="230"/>
      <c r="N332" s="230"/>
      <c r="O332" s="230"/>
      <c r="P332" s="230"/>
      <c r="Q332" s="230"/>
      <c r="R332" s="230"/>
      <c r="S332" s="230"/>
      <c r="T332" s="230"/>
      <c r="U332" s="230"/>
      <c r="V332" s="230"/>
      <c r="W332" s="230"/>
      <c r="X332" s="230"/>
      <c r="Y332" s="230"/>
      <c r="Z332" s="230"/>
    </row>
    <row r="333" spans="1:26" ht="15.75" customHeight="1">
      <c r="A333" s="230"/>
      <c r="B333" s="230"/>
      <c r="C333" s="230"/>
      <c r="D333" s="230"/>
      <c r="E333" s="230"/>
      <c r="F333" s="230"/>
      <c r="G333" s="230"/>
      <c r="H333" s="230"/>
      <c r="I333" s="230"/>
      <c r="J333" s="230"/>
      <c r="K333" s="230"/>
      <c r="L333" s="230"/>
      <c r="M333" s="230"/>
      <c r="N333" s="230"/>
      <c r="O333" s="230"/>
      <c r="P333" s="230"/>
      <c r="Q333" s="230"/>
      <c r="R333" s="230"/>
      <c r="S333" s="230"/>
      <c r="T333" s="230"/>
      <c r="U333" s="230"/>
      <c r="V333" s="230"/>
      <c r="W333" s="230"/>
      <c r="X333" s="230"/>
      <c r="Y333" s="230"/>
      <c r="Z333" s="230"/>
    </row>
    <row r="334" spans="1:26" ht="15.75" customHeight="1">
      <c r="A334" s="230"/>
      <c r="B334" s="230"/>
      <c r="C334" s="230"/>
      <c r="D334" s="230"/>
      <c r="E334" s="230"/>
      <c r="F334" s="230"/>
      <c r="G334" s="230"/>
      <c r="H334" s="230"/>
      <c r="I334" s="230"/>
      <c r="J334" s="230"/>
      <c r="K334" s="230"/>
      <c r="L334" s="230"/>
      <c r="M334" s="230"/>
      <c r="N334" s="230"/>
      <c r="O334" s="230"/>
      <c r="P334" s="230"/>
      <c r="Q334" s="230"/>
      <c r="R334" s="230"/>
      <c r="S334" s="230"/>
      <c r="T334" s="230"/>
      <c r="U334" s="230"/>
      <c r="V334" s="230"/>
      <c r="W334" s="230"/>
      <c r="X334" s="230"/>
      <c r="Y334" s="230"/>
      <c r="Z334" s="230"/>
    </row>
    <row r="335" spans="1:26" ht="15.75" customHeight="1">
      <c r="A335" s="230"/>
      <c r="B335" s="230"/>
      <c r="C335" s="230"/>
      <c r="D335" s="230"/>
      <c r="E335" s="230"/>
      <c r="F335" s="230"/>
      <c r="G335" s="230"/>
      <c r="H335" s="230"/>
      <c r="I335" s="230"/>
      <c r="J335" s="230"/>
      <c r="K335" s="230"/>
      <c r="L335" s="230"/>
      <c r="M335" s="230"/>
      <c r="N335" s="230"/>
      <c r="O335" s="230"/>
      <c r="P335" s="230"/>
      <c r="Q335" s="230"/>
      <c r="R335" s="230"/>
      <c r="S335" s="230"/>
      <c r="T335" s="230"/>
      <c r="U335" s="230"/>
      <c r="V335" s="230"/>
      <c r="W335" s="230"/>
      <c r="X335" s="230"/>
      <c r="Y335" s="230"/>
      <c r="Z335" s="230"/>
    </row>
    <row r="336" spans="1:26" ht="15.75" customHeight="1">
      <c r="A336" s="230"/>
      <c r="B336" s="230"/>
      <c r="C336" s="230"/>
      <c r="D336" s="230"/>
      <c r="E336" s="230"/>
      <c r="F336" s="230"/>
      <c r="G336" s="230"/>
      <c r="H336" s="230"/>
      <c r="I336" s="230"/>
      <c r="J336" s="230"/>
      <c r="K336" s="230"/>
      <c r="L336" s="230"/>
      <c r="M336" s="230"/>
      <c r="N336" s="230"/>
      <c r="O336" s="230"/>
      <c r="P336" s="230"/>
      <c r="Q336" s="230"/>
      <c r="R336" s="230"/>
      <c r="S336" s="230"/>
      <c r="T336" s="230"/>
      <c r="U336" s="230"/>
      <c r="V336" s="230"/>
      <c r="W336" s="230"/>
      <c r="X336" s="230"/>
      <c r="Y336" s="230"/>
      <c r="Z336" s="230"/>
    </row>
    <row r="337" spans="1:26" ht="15.75" customHeight="1">
      <c r="A337" s="230"/>
      <c r="B337" s="230"/>
      <c r="C337" s="230"/>
      <c r="D337" s="230"/>
      <c r="E337" s="230"/>
      <c r="F337" s="230"/>
      <c r="G337" s="230"/>
      <c r="H337" s="230"/>
      <c r="I337" s="230"/>
      <c r="J337" s="230"/>
      <c r="K337" s="230"/>
      <c r="L337" s="230"/>
      <c r="M337" s="230"/>
      <c r="N337" s="230"/>
      <c r="O337" s="230"/>
      <c r="P337" s="230"/>
      <c r="Q337" s="230"/>
      <c r="R337" s="230"/>
      <c r="S337" s="230"/>
      <c r="T337" s="230"/>
      <c r="U337" s="230"/>
      <c r="V337" s="230"/>
      <c r="W337" s="230"/>
      <c r="X337" s="230"/>
      <c r="Y337" s="230"/>
      <c r="Z337" s="230"/>
    </row>
    <row r="338" spans="1:26" ht="15.75" customHeight="1">
      <c r="A338" s="230"/>
      <c r="B338" s="230"/>
      <c r="C338" s="230"/>
      <c r="D338" s="230"/>
      <c r="E338" s="230"/>
      <c r="F338" s="230"/>
      <c r="G338" s="230"/>
      <c r="H338" s="230"/>
      <c r="I338" s="230"/>
      <c r="J338" s="230"/>
      <c r="K338" s="230"/>
      <c r="L338" s="230"/>
      <c r="M338" s="230"/>
      <c r="N338" s="230"/>
      <c r="O338" s="230"/>
      <c r="P338" s="230"/>
      <c r="Q338" s="230"/>
      <c r="R338" s="230"/>
      <c r="S338" s="230"/>
      <c r="T338" s="230"/>
      <c r="U338" s="230"/>
      <c r="V338" s="230"/>
      <c r="W338" s="230"/>
      <c r="X338" s="230"/>
      <c r="Y338" s="230"/>
      <c r="Z338" s="230"/>
    </row>
    <row r="339" spans="1:26" ht="15.75" customHeight="1">
      <c r="A339" s="230"/>
      <c r="B339" s="230"/>
      <c r="C339" s="230"/>
      <c r="D339" s="230"/>
      <c r="E339" s="230"/>
      <c r="F339" s="230"/>
      <c r="G339" s="230"/>
      <c r="H339" s="230"/>
      <c r="I339" s="230"/>
      <c r="J339" s="230"/>
      <c r="K339" s="230"/>
      <c r="L339" s="230"/>
      <c r="M339" s="230"/>
      <c r="N339" s="230"/>
      <c r="O339" s="230"/>
      <c r="P339" s="230"/>
      <c r="Q339" s="230"/>
      <c r="R339" s="230"/>
      <c r="S339" s="230"/>
      <c r="T339" s="230"/>
      <c r="U339" s="230"/>
      <c r="V339" s="230"/>
      <c r="W339" s="230"/>
      <c r="X339" s="230"/>
      <c r="Y339" s="230"/>
      <c r="Z339" s="230"/>
    </row>
    <row r="340" spans="1:26" ht="15.75" customHeight="1">
      <c r="A340" s="230"/>
      <c r="B340" s="230"/>
      <c r="C340" s="230"/>
      <c r="D340" s="230"/>
      <c r="E340" s="230"/>
      <c r="F340" s="230"/>
      <c r="G340" s="230"/>
      <c r="H340" s="230"/>
      <c r="I340" s="230"/>
      <c r="J340" s="230"/>
      <c r="K340" s="230"/>
      <c r="L340" s="230"/>
      <c r="M340" s="230"/>
      <c r="N340" s="230"/>
      <c r="O340" s="230"/>
      <c r="P340" s="230"/>
      <c r="Q340" s="230"/>
      <c r="R340" s="230"/>
      <c r="S340" s="230"/>
      <c r="T340" s="230"/>
      <c r="U340" s="230"/>
      <c r="V340" s="230"/>
      <c r="W340" s="230"/>
      <c r="X340" s="230"/>
      <c r="Y340" s="230"/>
      <c r="Z340" s="230"/>
    </row>
    <row r="341" spans="1:26" ht="15.75" customHeight="1">
      <c r="A341" s="230"/>
      <c r="B341" s="230"/>
      <c r="C341" s="230"/>
      <c r="D341" s="230"/>
      <c r="E341" s="230"/>
      <c r="F341" s="230"/>
      <c r="G341" s="230"/>
      <c r="H341" s="230"/>
      <c r="I341" s="230"/>
      <c r="J341" s="230"/>
      <c r="K341" s="230"/>
      <c r="L341" s="230"/>
      <c r="M341" s="230"/>
      <c r="N341" s="230"/>
      <c r="O341" s="230"/>
      <c r="P341" s="230"/>
      <c r="Q341" s="230"/>
      <c r="R341" s="230"/>
      <c r="S341" s="230"/>
      <c r="T341" s="230"/>
      <c r="U341" s="230"/>
      <c r="V341" s="230"/>
      <c r="W341" s="230"/>
      <c r="X341" s="230"/>
      <c r="Y341" s="230"/>
      <c r="Z341" s="230"/>
    </row>
    <row r="342" spans="1:26" ht="15.75" customHeight="1">
      <c r="A342" s="230"/>
      <c r="B342" s="230"/>
      <c r="C342" s="230"/>
      <c r="D342" s="230"/>
      <c r="E342" s="230"/>
      <c r="F342" s="230"/>
      <c r="G342" s="230"/>
      <c r="H342" s="230"/>
      <c r="I342" s="230"/>
      <c r="J342" s="230"/>
      <c r="K342" s="230"/>
      <c r="L342" s="230"/>
      <c r="M342" s="230"/>
      <c r="N342" s="230"/>
      <c r="O342" s="230"/>
      <c r="P342" s="230"/>
      <c r="Q342" s="230"/>
      <c r="R342" s="230"/>
      <c r="S342" s="230"/>
      <c r="T342" s="230"/>
      <c r="U342" s="230"/>
      <c r="V342" s="230"/>
      <c r="W342" s="230"/>
      <c r="X342" s="230"/>
      <c r="Y342" s="230"/>
      <c r="Z342" s="230"/>
    </row>
    <row r="343" spans="1:26" ht="15.75" customHeight="1">
      <c r="A343" s="230"/>
      <c r="B343" s="230"/>
      <c r="C343" s="230"/>
      <c r="D343" s="230"/>
      <c r="E343" s="230"/>
      <c r="F343" s="230"/>
      <c r="G343" s="230"/>
      <c r="H343" s="230"/>
      <c r="I343" s="230"/>
      <c r="J343" s="230"/>
      <c r="K343" s="230"/>
      <c r="L343" s="230"/>
      <c r="M343" s="230"/>
      <c r="N343" s="230"/>
      <c r="O343" s="230"/>
      <c r="P343" s="230"/>
      <c r="Q343" s="230"/>
      <c r="R343" s="230"/>
      <c r="S343" s="230"/>
      <c r="T343" s="230"/>
      <c r="U343" s="230"/>
      <c r="V343" s="230"/>
      <c r="W343" s="230"/>
      <c r="X343" s="230"/>
      <c r="Y343" s="230"/>
      <c r="Z343" s="230"/>
    </row>
    <row r="344" spans="1:26" ht="15.75" customHeight="1">
      <c r="A344" s="230"/>
      <c r="B344" s="230"/>
      <c r="C344" s="230"/>
      <c r="D344" s="230"/>
      <c r="E344" s="230"/>
      <c r="F344" s="230"/>
      <c r="G344" s="230"/>
      <c r="H344" s="230"/>
      <c r="I344" s="230"/>
      <c r="J344" s="230"/>
      <c r="K344" s="230"/>
      <c r="L344" s="230"/>
      <c r="M344" s="230"/>
      <c r="N344" s="230"/>
      <c r="O344" s="230"/>
      <c r="P344" s="230"/>
      <c r="Q344" s="230"/>
      <c r="R344" s="230"/>
      <c r="S344" s="230"/>
      <c r="T344" s="230"/>
      <c r="U344" s="230"/>
      <c r="V344" s="230"/>
      <c r="W344" s="230"/>
      <c r="X344" s="230"/>
      <c r="Y344" s="230"/>
      <c r="Z344" s="230"/>
    </row>
    <row r="345" spans="1:26" ht="15.75" customHeight="1">
      <c r="A345" s="230"/>
      <c r="B345" s="230"/>
      <c r="C345" s="230"/>
      <c r="D345" s="230"/>
      <c r="E345" s="230"/>
      <c r="F345" s="230"/>
      <c r="G345" s="230"/>
      <c r="H345" s="230"/>
      <c r="I345" s="230"/>
      <c r="J345" s="230"/>
      <c r="K345" s="230"/>
      <c r="L345" s="230"/>
      <c r="M345" s="230"/>
      <c r="N345" s="230"/>
      <c r="O345" s="230"/>
      <c r="P345" s="230"/>
      <c r="Q345" s="230"/>
      <c r="R345" s="230"/>
      <c r="S345" s="230"/>
      <c r="T345" s="230"/>
      <c r="U345" s="230"/>
      <c r="V345" s="230"/>
      <c r="W345" s="230"/>
      <c r="X345" s="230"/>
      <c r="Y345" s="230"/>
      <c r="Z345" s="230"/>
    </row>
    <row r="346" spans="1:26" ht="15.75" customHeight="1">
      <c r="A346" s="230"/>
      <c r="B346" s="230"/>
      <c r="C346" s="230"/>
      <c r="D346" s="230"/>
      <c r="E346" s="230"/>
      <c r="F346" s="230"/>
      <c r="G346" s="230"/>
      <c r="H346" s="230"/>
      <c r="I346" s="230"/>
      <c r="J346" s="230"/>
      <c r="K346" s="230"/>
      <c r="L346" s="230"/>
      <c r="M346" s="230"/>
      <c r="N346" s="230"/>
      <c r="O346" s="230"/>
      <c r="P346" s="230"/>
      <c r="Q346" s="230"/>
      <c r="R346" s="230"/>
      <c r="S346" s="230"/>
      <c r="T346" s="230"/>
      <c r="U346" s="230"/>
      <c r="V346" s="230"/>
      <c r="W346" s="230"/>
      <c r="X346" s="230"/>
      <c r="Y346" s="230"/>
      <c r="Z346" s="230"/>
    </row>
    <row r="347" spans="1:26" ht="15.75" customHeight="1">
      <c r="A347" s="230"/>
      <c r="B347" s="230"/>
      <c r="C347" s="230"/>
      <c r="D347" s="230"/>
      <c r="E347" s="230"/>
      <c r="F347" s="230"/>
      <c r="G347" s="230"/>
      <c r="H347" s="230"/>
      <c r="I347" s="230"/>
      <c r="J347" s="230"/>
      <c r="K347" s="230"/>
      <c r="L347" s="230"/>
      <c r="M347" s="230"/>
      <c r="N347" s="230"/>
      <c r="O347" s="230"/>
      <c r="P347" s="230"/>
      <c r="Q347" s="230"/>
      <c r="R347" s="230"/>
      <c r="S347" s="230"/>
      <c r="T347" s="230"/>
      <c r="U347" s="230"/>
      <c r="V347" s="230"/>
      <c r="W347" s="230"/>
      <c r="X347" s="230"/>
      <c r="Y347" s="230"/>
      <c r="Z347" s="230"/>
    </row>
    <row r="348" spans="1:26" ht="15.75" customHeight="1">
      <c r="A348" s="230"/>
      <c r="B348" s="230"/>
      <c r="C348" s="230"/>
      <c r="D348" s="230"/>
      <c r="E348" s="230"/>
      <c r="F348" s="230"/>
      <c r="G348" s="230"/>
      <c r="H348" s="230"/>
      <c r="I348" s="230"/>
      <c r="J348" s="230"/>
      <c r="K348" s="230"/>
      <c r="L348" s="230"/>
      <c r="M348" s="230"/>
      <c r="N348" s="230"/>
      <c r="O348" s="230"/>
      <c r="P348" s="230"/>
      <c r="Q348" s="230"/>
      <c r="R348" s="230"/>
      <c r="S348" s="230"/>
      <c r="T348" s="230"/>
      <c r="U348" s="230"/>
      <c r="V348" s="230"/>
      <c r="W348" s="230"/>
      <c r="X348" s="230"/>
      <c r="Y348" s="230"/>
      <c r="Z348" s="230"/>
    </row>
    <row r="349" spans="1:26" ht="15.75" customHeight="1">
      <c r="A349" s="230"/>
      <c r="B349" s="230"/>
      <c r="C349" s="230"/>
      <c r="D349" s="230"/>
      <c r="E349" s="230"/>
      <c r="F349" s="230"/>
      <c r="G349" s="230"/>
      <c r="H349" s="230"/>
      <c r="I349" s="230"/>
      <c r="J349" s="230"/>
      <c r="K349" s="230"/>
      <c r="L349" s="230"/>
      <c r="M349" s="230"/>
      <c r="N349" s="230"/>
      <c r="O349" s="230"/>
      <c r="P349" s="230"/>
      <c r="Q349" s="230"/>
      <c r="R349" s="230"/>
      <c r="S349" s="230"/>
      <c r="T349" s="230"/>
      <c r="U349" s="230"/>
      <c r="V349" s="230"/>
      <c r="W349" s="230"/>
      <c r="X349" s="230"/>
      <c r="Y349" s="230"/>
      <c r="Z349" s="230"/>
    </row>
    <row r="350" spans="1:26" ht="15.75" customHeight="1">
      <c r="A350" s="230"/>
      <c r="B350" s="230"/>
      <c r="C350" s="230"/>
      <c r="D350" s="230"/>
      <c r="E350" s="230"/>
      <c r="F350" s="230"/>
      <c r="G350" s="230"/>
      <c r="H350" s="230"/>
      <c r="I350" s="230"/>
      <c r="J350" s="230"/>
      <c r="K350" s="230"/>
      <c r="L350" s="230"/>
      <c r="M350" s="230"/>
      <c r="N350" s="230"/>
      <c r="O350" s="230"/>
      <c r="P350" s="230"/>
      <c r="Q350" s="230"/>
      <c r="R350" s="230"/>
      <c r="S350" s="230"/>
      <c r="T350" s="230"/>
      <c r="U350" s="230"/>
      <c r="V350" s="230"/>
      <c r="W350" s="230"/>
      <c r="X350" s="230"/>
      <c r="Y350" s="230"/>
      <c r="Z350" s="230"/>
    </row>
    <row r="351" spans="1:26" ht="15.75" customHeight="1">
      <c r="A351" s="230"/>
      <c r="B351" s="230"/>
      <c r="C351" s="230"/>
      <c r="D351" s="230"/>
      <c r="E351" s="230"/>
      <c r="F351" s="230"/>
      <c r="G351" s="230"/>
      <c r="H351" s="230"/>
      <c r="I351" s="230"/>
      <c r="J351" s="230"/>
      <c r="K351" s="230"/>
      <c r="L351" s="230"/>
      <c r="M351" s="230"/>
      <c r="N351" s="230"/>
      <c r="O351" s="230"/>
      <c r="P351" s="230"/>
      <c r="Q351" s="230"/>
      <c r="R351" s="230"/>
      <c r="S351" s="230"/>
      <c r="T351" s="230"/>
      <c r="U351" s="230"/>
      <c r="V351" s="230"/>
      <c r="W351" s="230"/>
      <c r="X351" s="230"/>
      <c r="Y351" s="230"/>
      <c r="Z351" s="230"/>
    </row>
    <row r="352" spans="1:26" ht="15.75" customHeight="1">
      <c r="A352" s="230"/>
      <c r="B352" s="230"/>
      <c r="C352" s="230"/>
      <c r="D352" s="230"/>
      <c r="E352" s="230"/>
      <c r="F352" s="230"/>
      <c r="G352" s="230"/>
      <c r="H352" s="230"/>
      <c r="I352" s="230"/>
      <c r="J352" s="230"/>
      <c r="K352" s="230"/>
      <c r="L352" s="230"/>
      <c r="M352" s="230"/>
      <c r="N352" s="230"/>
      <c r="O352" s="230"/>
      <c r="P352" s="230"/>
      <c r="Q352" s="230"/>
      <c r="R352" s="230"/>
      <c r="S352" s="230"/>
      <c r="T352" s="230"/>
      <c r="U352" s="230"/>
      <c r="V352" s="230"/>
      <c r="W352" s="230"/>
      <c r="X352" s="230"/>
      <c r="Y352" s="230"/>
      <c r="Z352" s="230"/>
    </row>
    <row r="353" spans="1:26" ht="15.75" customHeight="1">
      <c r="A353" s="230"/>
      <c r="B353" s="230"/>
      <c r="C353" s="230"/>
      <c r="D353" s="230"/>
      <c r="E353" s="230"/>
      <c r="F353" s="230"/>
      <c r="G353" s="230"/>
      <c r="H353" s="230"/>
      <c r="I353" s="230"/>
      <c r="J353" s="230"/>
      <c r="K353" s="230"/>
      <c r="L353" s="230"/>
      <c r="M353" s="230"/>
      <c r="N353" s="230"/>
      <c r="O353" s="230"/>
      <c r="P353" s="230"/>
      <c r="Q353" s="230"/>
      <c r="R353" s="230"/>
      <c r="S353" s="230"/>
      <c r="T353" s="230"/>
      <c r="U353" s="230"/>
      <c r="V353" s="230"/>
      <c r="W353" s="230"/>
      <c r="X353" s="230"/>
      <c r="Y353" s="230"/>
      <c r="Z353" s="230"/>
    </row>
    <row r="354" spans="1:26" ht="15.75" customHeight="1">
      <c r="A354" s="230"/>
      <c r="B354" s="230"/>
      <c r="C354" s="230"/>
      <c r="D354" s="230"/>
      <c r="E354" s="230"/>
      <c r="F354" s="230"/>
      <c r="G354" s="230"/>
      <c r="H354" s="230"/>
      <c r="I354" s="230"/>
      <c r="J354" s="230"/>
      <c r="K354" s="230"/>
      <c r="L354" s="230"/>
      <c r="M354" s="230"/>
      <c r="N354" s="230"/>
      <c r="O354" s="230"/>
      <c r="P354" s="230"/>
      <c r="Q354" s="230"/>
      <c r="R354" s="230"/>
      <c r="S354" s="230"/>
      <c r="T354" s="230"/>
      <c r="U354" s="230"/>
      <c r="V354" s="230"/>
      <c r="W354" s="230"/>
      <c r="X354" s="230"/>
      <c r="Y354" s="230"/>
      <c r="Z354" s="230"/>
    </row>
    <row r="355" spans="1:26" ht="15.75" customHeight="1">
      <c r="A355" s="230"/>
      <c r="B355" s="230"/>
      <c r="C355" s="230"/>
      <c r="D355" s="230"/>
      <c r="E355" s="230"/>
      <c r="F355" s="230"/>
      <c r="G355" s="230"/>
      <c r="H355" s="230"/>
      <c r="I355" s="230"/>
      <c r="J355" s="230"/>
      <c r="K355" s="230"/>
      <c r="L355" s="230"/>
      <c r="M355" s="230"/>
      <c r="N355" s="230"/>
      <c r="O355" s="230"/>
      <c r="P355" s="230"/>
      <c r="Q355" s="230"/>
      <c r="R355" s="230"/>
      <c r="S355" s="230"/>
      <c r="T355" s="230"/>
      <c r="U355" s="230"/>
      <c r="V355" s="230"/>
      <c r="W355" s="230"/>
      <c r="X355" s="230"/>
      <c r="Y355" s="230"/>
      <c r="Z355" s="230"/>
    </row>
    <row r="356" spans="1:26" ht="15.75" customHeight="1">
      <c r="A356" s="230"/>
      <c r="B356" s="230"/>
      <c r="C356" s="230"/>
      <c r="D356" s="230"/>
      <c r="E356" s="230"/>
      <c r="F356" s="230"/>
      <c r="G356" s="230"/>
      <c r="H356" s="230"/>
      <c r="I356" s="230"/>
      <c r="J356" s="230"/>
      <c r="K356" s="230"/>
      <c r="L356" s="230"/>
      <c r="M356" s="230"/>
      <c r="N356" s="230"/>
      <c r="O356" s="230"/>
      <c r="P356" s="230"/>
      <c r="Q356" s="230"/>
      <c r="R356" s="230"/>
      <c r="S356" s="230"/>
      <c r="T356" s="230"/>
      <c r="U356" s="230"/>
      <c r="V356" s="230"/>
      <c r="W356" s="230"/>
      <c r="X356" s="230"/>
      <c r="Y356" s="230"/>
      <c r="Z356" s="230"/>
    </row>
    <row r="357" spans="1:26" ht="15.75" customHeight="1">
      <c r="A357" s="230"/>
      <c r="B357" s="230"/>
      <c r="C357" s="230"/>
      <c r="D357" s="230"/>
      <c r="E357" s="230"/>
      <c r="F357" s="230"/>
      <c r="G357" s="230"/>
      <c r="H357" s="230"/>
      <c r="I357" s="230"/>
      <c r="J357" s="230"/>
      <c r="K357" s="230"/>
      <c r="L357" s="230"/>
      <c r="M357" s="230"/>
      <c r="N357" s="230"/>
      <c r="O357" s="230"/>
      <c r="P357" s="230"/>
      <c r="Q357" s="230"/>
      <c r="R357" s="230"/>
      <c r="S357" s="230"/>
      <c r="T357" s="230"/>
      <c r="U357" s="230"/>
      <c r="V357" s="230"/>
      <c r="W357" s="230"/>
      <c r="X357" s="230"/>
      <c r="Y357" s="230"/>
      <c r="Z357" s="230"/>
    </row>
    <row r="358" spans="1:26" ht="15.75" customHeight="1">
      <c r="A358" s="230"/>
      <c r="B358" s="230"/>
      <c r="C358" s="230"/>
      <c r="D358" s="230"/>
      <c r="E358" s="230"/>
      <c r="F358" s="230"/>
      <c r="G358" s="230"/>
      <c r="H358" s="230"/>
      <c r="I358" s="230"/>
      <c r="J358" s="230"/>
      <c r="K358" s="230"/>
      <c r="L358" s="230"/>
      <c r="M358" s="230"/>
      <c r="N358" s="230"/>
      <c r="O358" s="230"/>
      <c r="P358" s="230"/>
      <c r="Q358" s="230"/>
      <c r="R358" s="230"/>
      <c r="S358" s="230"/>
      <c r="T358" s="230"/>
      <c r="U358" s="230"/>
      <c r="V358" s="230"/>
      <c r="W358" s="230"/>
      <c r="X358" s="230"/>
      <c r="Y358" s="230"/>
      <c r="Z358" s="230"/>
    </row>
    <row r="359" spans="1:26" ht="15.75" customHeight="1">
      <c r="A359" s="230"/>
      <c r="B359" s="230"/>
      <c r="C359" s="230"/>
      <c r="D359" s="230"/>
      <c r="E359" s="230"/>
      <c r="F359" s="230"/>
      <c r="G359" s="230"/>
      <c r="H359" s="230"/>
      <c r="I359" s="230"/>
      <c r="J359" s="230"/>
      <c r="K359" s="230"/>
      <c r="L359" s="230"/>
      <c r="M359" s="230"/>
      <c r="N359" s="230"/>
      <c r="O359" s="230"/>
      <c r="P359" s="230"/>
      <c r="Q359" s="230"/>
      <c r="R359" s="230"/>
      <c r="S359" s="230"/>
      <c r="T359" s="230"/>
      <c r="U359" s="230"/>
      <c r="V359" s="230"/>
      <c r="W359" s="230"/>
      <c r="X359" s="230"/>
      <c r="Y359" s="230"/>
      <c r="Z359" s="230"/>
    </row>
    <row r="360" spans="1:26" ht="15.75" customHeight="1">
      <c r="A360" s="230"/>
      <c r="B360" s="230"/>
      <c r="C360" s="230"/>
      <c r="D360" s="230"/>
      <c r="E360" s="230"/>
      <c r="F360" s="230"/>
      <c r="G360" s="230"/>
      <c r="H360" s="230"/>
      <c r="I360" s="230"/>
      <c r="J360" s="230"/>
      <c r="K360" s="230"/>
      <c r="L360" s="230"/>
      <c r="M360" s="230"/>
      <c r="N360" s="230"/>
      <c r="O360" s="230"/>
      <c r="P360" s="230"/>
      <c r="Q360" s="230"/>
      <c r="R360" s="230"/>
      <c r="S360" s="230"/>
      <c r="T360" s="230"/>
      <c r="U360" s="230"/>
      <c r="V360" s="230"/>
      <c r="W360" s="230"/>
      <c r="X360" s="230"/>
      <c r="Y360" s="230"/>
      <c r="Z360" s="230"/>
    </row>
    <row r="361" spans="1:26" ht="15.75" customHeight="1">
      <c r="A361" s="230"/>
      <c r="B361" s="230"/>
      <c r="C361" s="230"/>
      <c r="D361" s="230"/>
      <c r="E361" s="230"/>
      <c r="F361" s="230"/>
      <c r="G361" s="230"/>
      <c r="H361" s="230"/>
      <c r="I361" s="230"/>
      <c r="J361" s="230"/>
      <c r="K361" s="230"/>
      <c r="L361" s="230"/>
      <c r="M361" s="230"/>
      <c r="N361" s="230"/>
      <c r="O361" s="230"/>
      <c r="P361" s="230"/>
      <c r="Q361" s="230"/>
      <c r="R361" s="230"/>
      <c r="S361" s="230"/>
      <c r="T361" s="230"/>
      <c r="U361" s="230"/>
      <c r="V361" s="230"/>
      <c r="W361" s="230"/>
      <c r="X361" s="230"/>
      <c r="Y361" s="230"/>
      <c r="Z361" s="230"/>
    </row>
    <row r="362" spans="1:26" ht="15.75" customHeight="1">
      <c r="A362" s="230"/>
      <c r="B362" s="230"/>
      <c r="C362" s="230"/>
      <c r="D362" s="230"/>
      <c r="E362" s="230"/>
      <c r="F362" s="230"/>
      <c r="G362" s="230"/>
      <c r="H362" s="230"/>
      <c r="I362" s="230"/>
      <c r="J362" s="230"/>
      <c r="K362" s="230"/>
      <c r="L362" s="230"/>
      <c r="M362" s="230"/>
      <c r="N362" s="230"/>
      <c r="O362" s="230"/>
      <c r="P362" s="230"/>
      <c r="Q362" s="230"/>
      <c r="R362" s="230"/>
      <c r="S362" s="230"/>
      <c r="T362" s="230"/>
      <c r="U362" s="230"/>
      <c r="V362" s="230"/>
      <c r="W362" s="230"/>
      <c r="X362" s="230"/>
      <c r="Y362" s="230"/>
      <c r="Z362" s="230"/>
    </row>
    <row r="363" spans="1:26" ht="15.75" customHeight="1">
      <c r="A363" s="230"/>
      <c r="B363" s="230"/>
      <c r="C363" s="230"/>
      <c r="D363" s="230"/>
      <c r="E363" s="230"/>
      <c r="F363" s="230"/>
      <c r="G363" s="230"/>
      <c r="H363" s="230"/>
      <c r="I363" s="230"/>
      <c r="J363" s="230"/>
      <c r="K363" s="230"/>
      <c r="L363" s="230"/>
      <c r="M363" s="230"/>
      <c r="N363" s="230"/>
      <c r="O363" s="230"/>
      <c r="P363" s="230"/>
      <c r="Q363" s="230"/>
      <c r="R363" s="230"/>
      <c r="S363" s="230"/>
      <c r="T363" s="230"/>
      <c r="U363" s="230"/>
      <c r="V363" s="230"/>
      <c r="W363" s="230"/>
      <c r="X363" s="230"/>
      <c r="Y363" s="230"/>
      <c r="Z363" s="230"/>
    </row>
    <row r="364" spans="1:26" ht="15.75" customHeight="1">
      <c r="A364" s="230"/>
      <c r="B364" s="230"/>
      <c r="C364" s="230"/>
      <c r="D364" s="230"/>
      <c r="E364" s="230"/>
      <c r="F364" s="230"/>
      <c r="G364" s="230"/>
      <c r="H364" s="230"/>
      <c r="I364" s="230"/>
      <c r="J364" s="230"/>
      <c r="K364" s="230"/>
      <c r="L364" s="230"/>
      <c r="M364" s="230"/>
      <c r="N364" s="230"/>
      <c r="O364" s="230"/>
      <c r="P364" s="230"/>
      <c r="Q364" s="230"/>
      <c r="R364" s="230"/>
      <c r="S364" s="230"/>
      <c r="T364" s="230"/>
      <c r="U364" s="230"/>
      <c r="V364" s="230"/>
      <c r="W364" s="230"/>
      <c r="X364" s="230"/>
      <c r="Y364" s="230"/>
      <c r="Z364" s="230"/>
    </row>
    <row r="365" spans="1:26" ht="15.75" customHeight="1">
      <c r="A365" s="230"/>
      <c r="B365" s="230"/>
      <c r="C365" s="230"/>
      <c r="D365" s="230"/>
      <c r="E365" s="230"/>
      <c r="F365" s="230"/>
      <c r="G365" s="230"/>
      <c r="H365" s="230"/>
      <c r="I365" s="230"/>
      <c r="J365" s="230"/>
      <c r="K365" s="230"/>
      <c r="L365" s="230"/>
      <c r="M365" s="230"/>
      <c r="N365" s="230"/>
      <c r="O365" s="230"/>
      <c r="P365" s="230"/>
      <c r="Q365" s="230"/>
      <c r="R365" s="230"/>
      <c r="S365" s="230"/>
      <c r="T365" s="230"/>
      <c r="U365" s="230"/>
      <c r="V365" s="230"/>
      <c r="W365" s="230"/>
      <c r="X365" s="230"/>
      <c r="Y365" s="230"/>
      <c r="Z365" s="230"/>
    </row>
    <row r="366" spans="1:26" ht="15.75" customHeight="1">
      <c r="A366" s="230"/>
      <c r="B366" s="230"/>
      <c r="C366" s="230"/>
      <c r="D366" s="230"/>
      <c r="E366" s="230"/>
      <c r="F366" s="230"/>
      <c r="G366" s="230"/>
      <c r="H366" s="230"/>
      <c r="I366" s="230"/>
      <c r="J366" s="230"/>
      <c r="K366" s="230"/>
      <c r="L366" s="230"/>
      <c r="M366" s="230"/>
      <c r="N366" s="230"/>
      <c r="O366" s="230"/>
      <c r="P366" s="230"/>
      <c r="Q366" s="230"/>
      <c r="R366" s="230"/>
      <c r="S366" s="230"/>
      <c r="T366" s="230"/>
      <c r="U366" s="230"/>
      <c r="V366" s="230"/>
      <c r="W366" s="230"/>
      <c r="X366" s="230"/>
      <c r="Y366" s="230"/>
      <c r="Z366" s="230"/>
    </row>
    <row r="367" spans="1:26" ht="15.75" customHeight="1">
      <c r="A367" s="230"/>
      <c r="B367" s="230"/>
      <c r="C367" s="230"/>
      <c r="D367" s="230"/>
      <c r="E367" s="230"/>
      <c r="F367" s="230"/>
      <c r="G367" s="230"/>
      <c r="H367" s="230"/>
      <c r="I367" s="230"/>
      <c r="J367" s="230"/>
      <c r="K367" s="230"/>
      <c r="L367" s="230"/>
      <c r="M367" s="230"/>
      <c r="N367" s="230"/>
      <c r="O367" s="230"/>
      <c r="P367" s="230"/>
      <c r="Q367" s="230"/>
      <c r="R367" s="230"/>
      <c r="S367" s="230"/>
      <c r="T367" s="230"/>
      <c r="U367" s="230"/>
      <c r="V367" s="230"/>
      <c r="W367" s="230"/>
      <c r="X367" s="230"/>
      <c r="Y367" s="230"/>
      <c r="Z367" s="230"/>
    </row>
    <row r="368" spans="1:26" ht="15.75" customHeight="1">
      <c r="A368" s="230"/>
      <c r="B368" s="230"/>
      <c r="C368" s="230"/>
      <c r="D368" s="230"/>
      <c r="E368" s="230"/>
      <c r="F368" s="230"/>
      <c r="G368" s="230"/>
      <c r="H368" s="230"/>
      <c r="I368" s="230"/>
      <c r="J368" s="230"/>
      <c r="K368" s="230"/>
      <c r="L368" s="230"/>
      <c r="M368" s="230"/>
      <c r="N368" s="230"/>
      <c r="O368" s="230"/>
      <c r="P368" s="230"/>
      <c r="Q368" s="230"/>
      <c r="R368" s="230"/>
      <c r="S368" s="230"/>
      <c r="T368" s="230"/>
      <c r="U368" s="230"/>
      <c r="V368" s="230"/>
      <c r="W368" s="230"/>
      <c r="X368" s="230"/>
      <c r="Y368" s="230"/>
      <c r="Z368" s="230"/>
    </row>
    <row r="369" spans="1:26" ht="15.75" customHeight="1">
      <c r="A369" s="230"/>
      <c r="B369" s="230"/>
      <c r="C369" s="230"/>
      <c r="D369" s="230"/>
      <c r="E369" s="230"/>
      <c r="F369" s="230"/>
      <c r="G369" s="230"/>
      <c r="H369" s="230"/>
      <c r="I369" s="230"/>
      <c r="J369" s="230"/>
      <c r="K369" s="230"/>
      <c r="L369" s="230"/>
      <c r="M369" s="230"/>
      <c r="N369" s="230"/>
      <c r="O369" s="230"/>
      <c r="P369" s="230"/>
      <c r="Q369" s="230"/>
      <c r="R369" s="230"/>
      <c r="S369" s="230"/>
      <c r="T369" s="230"/>
      <c r="U369" s="230"/>
      <c r="V369" s="230"/>
      <c r="W369" s="230"/>
      <c r="X369" s="230"/>
      <c r="Y369" s="230"/>
      <c r="Z369" s="230"/>
    </row>
    <row r="370" spans="1:26" ht="15.75" customHeight="1">
      <c r="A370" s="230"/>
      <c r="B370" s="230"/>
      <c r="C370" s="230"/>
      <c r="D370" s="230"/>
      <c r="E370" s="230"/>
      <c r="F370" s="230"/>
      <c r="G370" s="230"/>
      <c r="H370" s="230"/>
      <c r="I370" s="230"/>
      <c r="J370" s="230"/>
      <c r="K370" s="230"/>
      <c r="L370" s="230"/>
      <c r="M370" s="230"/>
      <c r="N370" s="230"/>
      <c r="O370" s="230"/>
      <c r="P370" s="230"/>
      <c r="Q370" s="230"/>
      <c r="R370" s="230"/>
      <c r="S370" s="230"/>
      <c r="T370" s="230"/>
      <c r="U370" s="230"/>
      <c r="V370" s="230"/>
      <c r="W370" s="230"/>
      <c r="X370" s="230"/>
      <c r="Y370" s="230"/>
      <c r="Z370" s="230"/>
    </row>
    <row r="371" spans="1:26" ht="15.75" customHeight="1">
      <c r="A371" s="230"/>
      <c r="B371" s="230"/>
      <c r="C371" s="230"/>
      <c r="D371" s="230"/>
      <c r="E371" s="230"/>
      <c r="F371" s="230"/>
      <c r="G371" s="230"/>
      <c r="H371" s="230"/>
      <c r="I371" s="230"/>
      <c r="J371" s="230"/>
      <c r="K371" s="230"/>
      <c r="L371" s="230"/>
      <c r="M371" s="230"/>
      <c r="N371" s="230"/>
      <c r="O371" s="230"/>
      <c r="P371" s="230"/>
      <c r="Q371" s="230"/>
      <c r="R371" s="230"/>
      <c r="S371" s="230"/>
      <c r="T371" s="230"/>
      <c r="U371" s="230"/>
      <c r="V371" s="230"/>
      <c r="W371" s="230"/>
      <c r="X371" s="230"/>
      <c r="Y371" s="230"/>
      <c r="Z371" s="230"/>
    </row>
    <row r="372" spans="1:26" ht="15.75" customHeight="1">
      <c r="A372" s="230"/>
      <c r="B372" s="230"/>
      <c r="C372" s="230"/>
      <c r="D372" s="230"/>
      <c r="E372" s="230"/>
      <c r="F372" s="230"/>
      <c r="G372" s="230"/>
      <c r="H372" s="230"/>
      <c r="I372" s="230"/>
      <c r="J372" s="230"/>
      <c r="K372" s="230"/>
      <c r="L372" s="230"/>
      <c r="M372" s="230"/>
      <c r="N372" s="230"/>
      <c r="O372" s="230"/>
      <c r="P372" s="230"/>
      <c r="Q372" s="230"/>
      <c r="R372" s="230"/>
      <c r="S372" s="230"/>
      <c r="T372" s="230"/>
      <c r="U372" s="230"/>
      <c r="V372" s="230"/>
      <c r="W372" s="230"/>
      <c r="X372" s="230"/>
      <c r="Y372" s="230"/>
      <c r="Z372" s="230"/>
    </row>
    <row r="373" spans="1:26" ht="15.75" customHeight="1">
      <c r="A373" s="230"/>
      <c r="B373" s="230"/>
      <c r="C373" s="230"/>
      <c r="D373" s="230"/>
      <c r="E373" s="230"/>
      <c r="F373" s="230"/>
      <c r="G373" s="230"/>
      <c r="H373" s="230"/>
      <c r="I373" s="230"/>
      <c r="J373" s="230"/>
      <c r="K373" s="230"/>
      <c r="L373" s="230"/>
      <c r="M373" s="230"/>
      <c r="N373" s="230"/>
      <c r="O373" s="230"/>
      <c r="P373" s="230"/>
      <c r="Q373" s="230"/>
      <c r="R373" s="230"/>
      <c r="S373" s="230"/>
      <c r="T373" s="230"/>
      <c r="U373" s="230"/>
      <c r="V373" s="230"/>
      <c r="W373" s="230"/>
      <c r="X373" s="230"/>
      <c r="Y373" s="230"/>
      <c r="Z373" s="230"/>
    </row>
    <row r="374" spans="1:26" ht="15.75" customHeight="1">
      <c r="A374" s="230"/>
      <c r="B374" s="230"/>
      <c r="C374" s="230"/>
      <c r="D374" s="230"/>
      <c r="E374" s="230"/>
      <c r="F374" s="230"/>
      <c r="G374" s="230"/>
      <c r="H374" s="230"/>
      <c r="I374" s="230"/>
      <c r="J374" s="230"/>
      <c r="K374" s="230"/>
      <c r="L374" s="230"/>
      <c r="M374" s="230"/>
      <c r="N374" s="230"/>
      <c r="O374" s="230"/>
      <c r="P374" s="230"/>
      <c r="Q374" s="230"/>
      <c r="R374" s="230"/>
      <c r="S374" s="230"/>
      <c r="T374" s="230"/>
      <c r="U374" s="230"/>
      <c r="V374" s="230"/>
      <c r="W374" s="230"/>
      <c r="X374" s="230"/>
      <c r="Y374" s="230"/>
      <c r="Z374" s="230"/>
    </row>
    <row r="375" spans="1:26" ht="15.75" customHeight="1">
      <c r="A375" s="230"/>
      <c r="B375" s="230"/>
      <c r="C375" s="230"/>
      <c r="D375" s="230"/>
      <c r="E375" s="230"/>
      <c r="F375" s="230"/>
      <c r="G375" s="230"/>
      <c r="H375" s="230"/>
      <c r="I375" s="230"/>
      <c r="J375" s="230"/>
      <c r="K375" s="230"/>
      <c r="L375" s="230"/>
      <c r="M375" s="230"/>
      <c r="N375" s="230"/>
      <c r="O375" s="230"/>
      <c r="P375" s="230"/>
      <c r="Q375" s="230"/>
      <c r="R375" s="230"/>
      <c r="S375" s="230"/>
      <c r="T375" s="230"/>
      <c r="U375" s="230"/>
      <c r="V375" s="230"/>
      <c r="W375" s="230"/>
      <c r="X375" s="230"/>
      <c r="Y375" s="230"/>
      <c r="Z375" s="230"/>
    </row>
    <row r="376" spans="1:26" ht="15.75" customHeight="1">
      <c r="A376" s="230"/>
      <c r="B376" s="230"/>
      <c r="C376" s="230"/>
      <c r="D376" s="230"/>
      <c r="E376" s="230"/>
      <c r="F376" s="230"/>
      <c r="G376" s="230"/>
      <c r="H376" s="230"/>
      <c r="I376" s="230"/>
      <c r="J376" s="230"/>
      <c r="K376" s="230"/>
      <c r="L376" s="230"/>
      <c r="M376" s="230"/>
      <c r="N376" s="230"/>
      <c r="O376" s="230"/>
      <c r="P376" s="230"/>
      <c r="Q376" s="230"/>
      <c r="R376" s="230"/>
      <c r="S376" s="230"/>
      <c r="T376" s="230"/>
      <c r="U376" s="230"/>
      <c r="V376" s="230"/>
      <c r="W376" s="230"/>
      <c r="X376" s="230"/>
      <c r="Y376" s="230"/>
      <c r="Z376" s="230"/>
    </row>
    <row r="377" spans="1:26" ht="15.75" customHeight="1">
      <c r="A377" s="230"/>
      <c r="B377" s="230"/>
      <c r="C377" s="230"/>
      <c r="D377" s="230"/>
      <c r="E377" s="230"/>
      <c r="F377" s="230"/>
      <c r="G377" s="230"/>
      <c r="H377" s="230"/>
      <c r="I377" s="230"/>
      <c r="J377" s="230"/>
      <c r="K377" s="230"/>
      <c r="L377" s="230"/>
      <c r="M377" s="230"/>
      <c r="N377" s="230"/>
      <c r="O377" s="230"/>
      <c r="P377" s="230"/>
      <c r="Q377" s="230"/>
      <c r="R377" s="230"/>
      <c r="S377" s="230"/>
      <c r="T377" s="230"/>
      <c r="U377" s="230"/>
      <c r="V377" s="230"/>
      <c r="W377" s="230"/>
      <c r="X377" s="230"/>
      <c r="Y377" s="230"/>
      <c r="Z377" s="230"/>
    </row>
    <row r="378" spans="1:26" ht="15.75" customHeight="1">
      <c r="A378" s="230"/>
      <c r="B378" s="230"/>
      <c r="C378" s="230"/>
      <c r="D378" s="230"/>
      <c r="E378" s="230"/>
      <c r="F378" s="230"/>
      <c r="G378" s="230"/>
      <c r="H378" s="230"/>
      <c r="I378" s="230"/>
      <c r="J378" s="230"/>
      <c r="K378" s="230"/>
      <c r="L378" s="230"/>
      <c r="M378" s="230"/>
      <c r="N378" s="230"/>
      <c r="O378" s="230"/>
      <c r="P378" s="230"/>
      <c r="Q378" s="230"/>
      <c r="R378" s="230"/>
      <c r="S378" s="230"/>
      <c r="T378" s="230"/>
      <c r="U378" s="230"/>
      <c r="V378" s="230"/>
      <c r="W378" s="230"/>
      <c r="X378" s="230"/>
      <c r="Y378" s="230"/>
      <c r="Z378" s="230"/>
    </row>
    <row r="379" spans="1:26" ht="15.75" customHeight="1">
      <c r="A379" s="230"/>
      <c r="B379" s="230"/>
      <c r="C379" s="230"/>
      <c r="D379" s="230"/>
      <c r="E379" s="230"/>
      <c r="F379" s="230"/>
      <c r="G379" s="230"/>
      <c r="H379" s="230"/>
      <c r="I379" s="230"/>
      <c r="J379" s="230"/>
      <c r="K379" s="230"/>
      <c r="L379" s="230"/>
      <c r="M379" s="230"/>
      <c r="N379" s="230"/>
      <c r="O379" s="230"/>
      <c r="P379" s="230"/>
      <c r="Q379" s="230"/>
      <c r="R379" s="230"/>
      <c r="S379" s="230"/>
      <c r="T379" s="230"/>
      <c r="U379" s="230"/>
      <c r="V379" s="230"/>
      <c r="W379" s="230"/>
      <c r="X379" s="230"/>
      <c r="Y379" s="230"/>
      <c r="Z379" s="230"/>
    </row>
    <row r="380" spans="1:26" ht="15.75" customHeight="1">
      <c r="A380" s="230"/>
      <c r="B380" s="230"/>
      <c r="C380" s="230"/>
      <c r="D380" s="230"/>
      <c r="E380" s="230"/>
      <c r="F380" s="230"/>
      <c r="G380" s="230"/>
      <c r="H380" s="230"/>
      <c r="I380" s="230"/>
      <c r="J380" s="230"/>
      <c r="K380" s="230"/>
      <c r="L380" s="230"/>
      <c r="M380" s="230"/>
      <c r="N380" s="230"/>
      <c r="O380" s="230"/>
      <c r="P380" s="230"/>
      <c r="Q380" s="230"/>
      <c r="R380" s="230"/>
      <c r="S380" s="230"/>
      <c r="T380" s="230"/>
      <c r="U380" s="230"/>
      <c r="V380" s="230"/>
      <c r="W380" s="230"/>
      <c r="X380" s="230"/>
      <c r="Y380" s="230"/>
      <c r="Z380" s="230"/>
    </row>
    <row r="381" spans="1:26" ht="15.75" customHeight="1">
      <c r="A381" s="230"/>
      <c r="B381" s="230"/>
      <c r="C381" s="230"/>
      <c r="D381" s="230"/>
      <c r="E381" s="230"/>
      <c r="F381" s="230"/>
      <c r="G381" s="230"/>
      <c r="H381" s="230"/>
      <c r="I381" s="230"/>
      <c r="J381" s="230"/>
      <c r="K381" s="230"/>
      <c r="L381" s="230"/>
      <c r="M381" s="230"/>
      <c r="N381" s="230"/>
      <c r="O381" s="230"/>
      <c r="P381" s="230"/>
      <c r="Q381" s="230"/>
      <c r="R381" s="230"/>
      <c r="S381" s="230"/>
      <c r="T381" s="230"/>
      <c r="U381" s="230"/>
      <c r="V381" s="230"/>
      <c r="W381" s="230"/>
      <c r="X381" s="230"/>
      <c r="Y381" s="230"/>
      <c r="Z381" s="230"/>
    </row>
    <row r="382" spans="1:26" ht="15.75" customHeight="1">
      <c r="A382" s="230"/>
      <c r="B382" s="230"/>
      <c r="C382" s="230"/>
      <c r="D382" s="230"/>
      <c r="E382" s="230"/>
      <c r="F382" s="230"/>
      <c r="G382" s="230"/>
      <c r="H382" s="230"/>
      <c r="I382" s="230"/>
      <c r="J382" s="230"/>
      <c r="K382" s="230"/>
      <c r="L382" s="230"/>
      <c r="M382" s="230"/>
      <c r="N382" s="230"/>
      <c r="O382" s="230"/>
      <c r="P382" s="230"/>
      <c r="Q382" s="230"/>
      <c r="R382" s="230"/>
      <c r="S382" s="230"/>
      <c r="T382" s="230"/>
      <c r="U382" s="230"/>
      <c r="V382" s="230"/>
      <c r="W382" s="230"/>
      <c r="X382" s="230"/>
      <c r="Y382" s="230"/>
      <c r="Z382" s="230"/>
    </row>
    <row r="383" spans="1:26" ht="15.75" customHeight="1">
      <c r="A383" s="230"/>
      <c r="B383" s="230"/>
      <c r="C383" s="230"/>
      <c r="D383" s="230"/>
      <c r="E383" s="230"/>
      <c r="F383" s="230"/>
      <c r="G383" s="230"/>
      <c r="H383" s="230"/>
      <c r="I383" s="230"/>
      <c r="J383" s="230"/>
      <c r="K383" s="230"/>
      <c r="L383" s="230"/>
      <c r="M383" s="230"/>
      <c r="N383" s="230"/>
      <c r="O383" s="230"/>
      <c r="P383" s="230"/>
      <c r="Q383" s="230"/>
      <c r="R383" s="230"/>
      <c r="S383" s="230"/>
      <c r="T383" s="230"/>
      <c r="U383" s="230"/>
      <c r="V383" s="230"/>
      <c r="W383" s="230"/>
      <c r="X383" s="230"/>
      <c r="Y383" s="230"/>
      <c r="Z383" s="230"/>
    </row>
    <row r="384" spans="1:26" ht="15.75" customHeight="1">
      <c r="A384" s="230"/>
      <c r="B384" s="230"/>
      <c r="C384" s="230"/>
      <c r="D384" s="230"/>
      <c r="E384" s="230"/>
      <c r="F384" s="230"/>
      <c r="G384" s="230"/>
      <c r="H384" s="230"/>
      <c r="I384" s="230"/>
      <c r="J384" s="230"/>
      <c r="K384" s="230"/>
      <c r="L384" s="230"/>
      <c r="M384" s="230"/>
      <c r="N384" s="230"/>
      <c r="O384" s="230"/>
      <c r="P384" s="230"/>
      <c r="Q384" s="230"/>
      <c r="R384" s="230"/>
      <c r="S384" s="230"/>
      <c r="T384" s="230"/>
      <c r="U384" s="230"/>
      <c r="V384" s="230"/>
      <c r="W384" s="230"/>
      <c r="X384" s="230"/>
      <c r="Y384" s="230"/>
      <c r="Z384" s="230"/>
    </row>
    <row r="385" spans="1:26" ht="15.75" customHeight="1">
      <c r="A385" s="230"/>
      <c r="B385" s="230"/>
      <c r="C385" s="230"/>
      <c r="D385" s="230"/>
      <c r="E385" s="230"/>
      <c r="F385" s="230"/>
      <c r="G385" s="230"/>
      <c r="H385" s="230"/>
      <c r="I385" s="230"/>
      <c r="J385" s="230"/>
      <c r="K385" s="230"/>
      <c r="L385" s="230"/>
      <c r="M385" s="230"/>
      <c r="N385" s="230"/>
      <c r="O385" s="230"/>
      <c r="P385" s="230"/>
      <c r="Q385" s="230"/>
      <c r="R385" s="230"/>
      <c r="S385" s="230"/>
      <c r="T385" s="230"/>
      <c r="U385" s="230"/>
      <c r="V385" s="230"/>
      <c r="W385" s="230"/>
      <c r="X385" s="230"/>
      <c r="Y385" s="230"/>
      <c r="Z385" s="230"/>
    </row>
    <row r="386" spans="1:26" ht="15.75" customHeight="1">
      <c r="A386" s="230"/>
      <c r="B386" s="230"/>
      <c r="C386" s="230"/>
      <c r="D386" s="230"/>
      <c r="E386" s="230"/>
      <c r="F386" s="230"/>
      <c r="G386" s="230"/>
      <c r="H386" s="230"/>
      <c r="I386" s="230"/>
      <c r="J386" s="230"/>
      <c r="K386" s="230"/>
      <c r="L386" s="230"/>
      <c r="M386" s="230"/>
      <c r="N386" s="230"/>
      <c r="O386" s="230"/>
      <c r="P386" s="230"/>
      <c r="Q386" s="230"/>
      <c r="R386" s="230"/>
      <c r="S386" s="230"/>
      <c r="T386" s="230"/>
      <c r="U386" s="230"/>
      <c r="V386" s="230"/>
      <c r="W386" s="230"/>
      <c r="X386" s="230"/>
      <c r="Y386" s="230"/>
      <c r="Z386" s="230"/>
    </row>
    <row r="387" spans="1:26" ht="15.75" customHeight="1">
      <c r="A387" s="230"/>
      <c r="B387" s="230"/>
      <c r="C387" s="230"/>
      <c r="D387" s="230"/>
      <c r="E387" s="230"/>
      <c r="F387" s="230"/>
      <c r="G387" s="230"/>
      <c r="H387" s="230"/>
      <c r="I387" s="230"/>
      <c r="J387" s="230"/>
      <c r="K387" s="230"/>
      <c r="L387" s="230"/>
      <c r="M387" s="230"/>
      <c r="N387" s="230"/>
      <c r="O387" s="230"/>
      <c r="P387" s="230"/>
      <c r="Q387" s="230"/>
      <c r="R387" s="230"/>
      <c r="S387" s="230"/>
      <c r="T387" s="230"/>
      <c r="U387" s="230"/>
      <c r="V387" s="230"/>
      <c r="W387" s="230"/>
      <c r="X387" s="230"/>
      <c r="Y387" s="230"/>
      <c r="Z387" s="230"/>
    </row>
    <row r="388" spans="1:26" ht="15.75" customHeight="1">
      <c r="A388" s="230"/>
      <c r="B388" s="230"/>
      <c r="C388" s="230"/>
      <c r="D388" s="230"/>
      <c r="E388" s="230"/>
      <c r="F388" s="230"/>
      <c r="G388" s="230"/>
      <c r="H388" s="230"/>
      <c r="I388" s="230"/>
      <c r="J388" s="230"/>
      <c r="K388" s="230"/>
      <c r="L388" s="230"/>
      <c r="M388" s="230"/>
      <c r="N388" s="230"/>
      <c r="O388" s="230"/>
      <c r="P388" s="230"/>
      <c r="Q388" s="230"/>
      <c r="R388" s="230"/>
      <c r="S388" s="230"/>
      <c r="T388" s="230"/>
      <c r="U388" s="230"/>
      <c r="V388" s="230"/>
      <c r="W388" s="230"/>
      <c r="X388" s="230"/>
      <c r="Y388" s="230"/>
      <c r="Z388" s="230"/>
    </row>
    <row r="389" spans="1:26" ht="15.75" customHeight="1">
      <c r="A389" s="230"/>
      <c r="B389" s="230"/>
      <c r="C389" s="230"/>
      <c r="D389" s="230"/>
      <c r="E389" s="230"/>
      <c r="F389" s="230"/>
      <c r="G389" s="230"/>
      <c r="H389" s="230"/>
      <c r="I389" s="230"/>
      <c r="J389" s="230"/>
      <c r="K389" s="230"/>
      <c r="L389" s="230"/>
      <c r="M389" s="230"/>
      <c r="N389" s="230"/>
      <c r="O389" s="230"/>
      <c r="P389" s="230"/>
      <c r="Q389" s="230"/>
      <c r="R389" s="230"/>
      <c r="S389" s="230"/>
      <c r="T389" s="230"/>
      <c r="U389" s="230"/>
      <c r="V389" s="230"/>
      <c r="W389" s="230"/>
      <c r="X389" s="230"/>
      <c r="Y389" s="230"/>
      <c r="Z389" s="230"/>
    </row>
    <row r="390" spans="1:26" ht="15.75" customHeight="1">
      <c r="A390" s="230"/>
      <c r="B390" s="230"/>
      <c r="C390" s="230"/>
      <c r="D390" s="230"/>
      <c r="E390" s="230"/>
      <c r="F390" s="230"/>
      <c r="G390" s="230"/>
      <c r="H390" s="230"/>
      <c r="I390" s="230"/>
      <c r="J390" s="230"/>
      <c r="K390" s="230"/>
      <c r="L390" s="230"/>
      <c r="M390" s="230"/>
      <c r="N390" s="230"/>
      <c r="O390" s="230"/>
      <c r="P390" s="230"/>
      <c r="Q390" s="230"/>
      <c r="R390" s="230"/>
      <c r="S390" s="230"/>
      <c r="T390" s="230"/>
      <c r="U390" s="230"/>
      <c r="V390" s="230"/>
      <c r="W390" s="230"/>
      <c r="X390" s="230"/>
      <c r="Y390" s="230"/>
      <c r="Z390" s="230"/>
    </row>
    <row r="391" spans="1:26" ht="15.75" customHeight="1">
      <c r="A391" s="230"/>
      <c r="B391" s="230"/>
      <c r="C391" s="230"/>
      <c r="D391" s="230"/>
      <c r="E391" s="230"/>
      <c r="F391" s="230"/>
      <c r="G391" s="230"/>
      <c r="H391" s="230"/>
      <c r="I391" s="230"/>
      <c r="J391" s="230"/>
      <c r="K391" s="230"/>
      <c r="L391" s="230"/>
      <c r="M391" s="230"/>
      <c r="N391" s="230"/>
      <c r="O391" s="230"/>
      <c r="P391" s="230"/>
      <c r="Q391" s="230"/>
      <c r="R391" s="230"/>
      <c r="S391" s="230"/>
      <c r="T391" s="230"/>
      <c r="U391" s="230"/>
      <c r="V391" s="230"/>
      <c r="W391" s="230"/>
      <c r="X391" s="230"/>
      <c r="Y391" s="230"/>
      <c r="Z391" s="230"/>
    </row>
    <row r="392" spans="1:26" ht="15.75" customHeight="1">
      <c r="A392" s="230"/>
      <c r="B392" s="230"/>
      <c r="C392" s="230"/>
      <c r="D392" s="230"/>
      <c r="E392" s="230"/>
      <c r="F392" s="230"/>
      <c r="G392" s="230"/>
      <c r="H392" s="230"/>
      <c r="I392" s="230"/>
      <c r="J392" s="230"/>
      <c r="K392" s="230"/>
      <c r="L392" s="230"/>
      <c r="M392" s="230"/>
      <c r="N392" s="230"/>
      <c r="O392" s="230"/>
      <c r="P392" s="230"/>
      <c r="Q392" s="230"/>
      <c r="R392" s="230"/>
      <c r="S392" s="230"/>
      <c r="T392" s="230"/>
      <c r="U392" s="230"/>
      <c r="V392" s="230"/>
      <c r="W392" s="230"/>
      <c r="X392" s="230"/>
      <c r="Y392" s="230"/>
      <c r="Z392" s="230"/>
    </row>
    <row r="393" spans="1:26" ht="15.75" customHeight="1">
      <c r="A393" s="230"/>
      <c r="B393" s="230"/>
      <c r="C393" s="230"/>
      <c r="D393" s="230"/>
      <c r="E393" s="230"/>
      <c r="F393" s="230"/>
      <c r="G393" s="230"/>
      <c r="H393" s="230"/>
      <c r="I393" s="230"/>
      <c r="J393" s="230"/>
      <c r="K393" s="230"/>
      <c r="L393" s="230"/>
      <c r="M393" s="230"/>
      <c r="N393" s="230"/>
      <c r="O393" s="230"/>
      <c r="P393" s="230"/>
      <c r="Q393" s="230"/>
      <c r="R393" s="230"/>
      <c r="S393" s="230"/>
      <c r="T393" s="230"/>
      <c r="U393" s="230"/>
      <c r="V393" s="230"/>
      <c r="W393" s="230"/>
      <c r="X393" s="230"/>
      <c r="Y393" s="230"/>
      <c r="Z393" s="230"/>
    </row>
    <row r="394" spans="1:26" ht="15.75" customHeight="1">
      <c r="A394" s="230"/>
      <c r="B394" s="230"/>
      <c r="C394" s="230"/>
      <c r="D394" s="230"/>
      <c r="E394" s="230"/>
      <c r="F394" s="230"/>
      <c r="G394" s="230"/>
      <c r="H394" s="230"/>
      <c r="I394" s="230"/>
      <c r="J394" s="230"/>
      <c r="K394" s="230"/>
      <c r="L394" s="230"/>
      <c r="M394" s="230"/>
      <c r="N394" s="230"/>
      <c r="O394" s="230"/>
      <c r="P394" s="230"/>
      <c r="Q394" s="230"/>
      <c r="R394" s="230"/>
      <c r="S394" s="230"/>
      <c r="T394" s="230"/>
      <c r="U394" s="230"/>
      <c r="V394" s="230"/>
      <c r="W394" s="230"/>
      <c r="X394" s="230"/>
      <c r="Y394" s="230"/>
      <c r="Z394" s="230"/>
    </row>
    <row r="395" spans="1:26" ht="15.75" customHeight="1">
      <c r="A395" s="230"/>
      <c r="B395" s="230"/>
      <c r="C395" s="230"/>
      <c r="D395" s="230"/>
      <c r="E395" s="230"/>
      <c r="F395" s="230"/>
      <c r="G395" s="230"/>
      <c r="H395" s="230"/>
      <c r="I395" s="230"/>
      <c r="J395" s="230"/>
      <c r="K395" s="230"/>
      <c r="L395" s="230"/>
      <c r="M395" s="230"/>
      <c r="N395" s="230"/>
      <c r="O395" s="230"/>
      <c r="P395" s="230"/>
      <c r="Q395" s="230"/>
      <c r="R395" s="230"/>
      <c r="S395" s="230"/>
      <c r="T395" s="230"/>
      <c r="U395" s="230"/>
      <c r="V395" s="230"/>
      <c r="W395" s="230"/>
      <c r="X395" s="230"/>
      <c r="Y395" s="230"/>
      <c r="Z395" s="230"/>
    </row>
    <row r="396" spans="1:26" ht="15.75" customHeight="1">
      <c r="A396" s="230"/>
      <c r="B396" s="230"/>
      <c r="C396" s="230"/>
      <c r="D396" s="230"/>
      <c r="E396" s="230"/>
      <c r="F396" s="230"/>
      <c r="G396" s="230"/>
      <c r="H396" s="230"/>
      <c r="I396" s="230"/>
      <c r="J396" s="230"/>
      <c r="K396" s="230"/>
      <c r="L396" s="230"/>
      <c r="M396" s="230"/>
      <c r="N396" s="230"/>
      <c r="O396" s="230"/>
      <c r="P396" s="230"/>
      <c r="Q396" s="230"/>
      <c r="R396" s="230"/>
      <c r="S396" s="230"/>
      <c r="T396" s="230"/>
      <c r="U396" s="230"/>
      <c r="V396" s="230"/>
      <c r="W396" s="230"/>
      <c r="X396" s="230"/>
      <c r="Y396" s="230"/>
      <c r="Z396" s="230"/>
    </row>
    <row r="397" spans="1:26" ht="15.75" customHeight="1">
      <c r="A397" s="230"/>
      <c r="B397" s="230"/>
      <c r="C397" s="230"/>
      <c r="D397" s="230"/>
      <c r="E397" s="230"/>
      <c r="F397" s="230"/>
      <c r="G397" s="230"/>
      <c r="H397" s="230"/>
      <c r="I397" s="230"/>
      <c r="J397" s="230"/>
      <c r="K397" s="230"/>
      <c r="L397" s="230"/>
      <c r="M397" s="230"/>
      <c r="N397" s="230"/>
      <c r="O397" s="230"/>
      <c r="P397" s="230"/>
      <c r="Q397" s="230"/>
      <c r="R397" s="230"/>
      <c r="S397" s="230"/>
      <c r="T397" s="230"/>
      <c r="U397" s="230"/>
      <c r="V397" s="230"/>
      <c r="W397" s="230"/>
      <c r="X397" s="230"/>
      <c r="Y397" s="230"/>
      <c r="Z397" s="230"/>
    </row>
    <row r="398" spans="1:26" ht="15.75" customHeight="1">
      <c r="A398" s="230"/>
      <c r="B398" s="230"/>
      <c r="C398" s="230"/>
      <c r="D398" s="230"/>
      <c r="E398" s="230"/>
      <c r="F398" s="230"/>
      <c r="G398" s="230"/>
      <c r="H398" s="230"/>
      <c r="I398" s="230"/>
      <c r="J398" s="230"/>
      <c r="K398" s="230"/>
      <c r="L398" s="230"/>
      <c r="M398" s="230"/>
      <c r="N398" s="230"/>
      <c r="O398" s="230"/>
      <c r="P398" s="230"/>
      <c r="Q398" s="230"/>
      <c r="R398" s="230"/>
      <c r="S398" s="230"/>
      <c r="T398" s="230"/>
      <c r="U398" s="230"/>
      <c r="V398" s="230"/>
      <c r="W398" s="230"/>
      <c r="X398" s="230"/>
      <c r="Y398" s="230"/>
      <c r="Z398" s="230"/>
    </row>
    <row r="399" spans="1:26" ht="15.75" customHeight="1">
      <c r="A399" s="230"/>
      <c r="B399" s="230"/>
      <c r="C399" s="230"/>
      <c r="D399" s="230"/>
      <c r="E399" s="230"/>
      <c r="F399" s="230"/>
      <c r="G399" s="230"/>
      <c r="H399" s="230"/>
      <c r="I399" s="230"/>
      <c r="J399" s="230"/>
      <c r="K399" s="230"/>
      <c r="L399" s="230"/>
      <c r="M399" s="230"/>
      <c r="N399" s="230"/>
      <c r="O399" s="230"/>
      <c r="P399" s="230"/>
      <c r="Q399" s="230"/>
      <c r="R399" s="230"/>
      <c r="S399" s="230"/>
      <c r="T399" s="230"/>
      <c r="U399" s="230"/>
      <c r="V399" s="230"/>
      <c r="W399" s="230"/>
      <c r="X399" s="230"/>
      <c r="Y399" s="230"/>
      <c r="Z399" s="230"/>
    </row>
    <row r="400" spans="1:26" ht="15.75" customHeight="1">
      <c r="A400" s="230"/>
      <c r="B400" s="230"/>
      <c r="C400" s="230"/>
      <c r="D400" s="230"/>
      <c r="E400" s="230"/>
      <c r="F400" s="230"/>
      <c r="G400" s="230"/>
      <c r="H400" s="230"/>
      <c r="I400" s="230"/>
      <c r="J400" s="230"/>
      <c r="K400" s="230"/>
      <c r="L400" s="230"/>
      <c r="M400" s="230"/>
      <c r="N400" s="230"/>
      <c r="O400" s="230"/>
      <c r="P400" s="230"/>
      <c r="Q400" s="230"/>
      <c r="R400" s="230"/>
      <c r="S400" s="230"/>
      <c r="T400" s="230"/>
      <c r="U400" s="230"/>
      <c r="V400" s="230"/>
      <c r="W400" s="230"/>
      <c r="X400" s="230"/>
      <c r="Y400" s="230"/>
      <c r="Z400" s="230"/>
    </row>
    <row r="401" spans="1:26" ht="15.75" customHeight="1">
      <c r="A401" s="230"/>
      <c r="B401" s="230"/>
      <c r="C401" s="230"/>
      <c r="D401" s="230"/>
      <c r="E401" s="230"/>
      <c r="F401" s="230"/>
      <c r="G401" s="230"/>
      <c r="H401" s="230"/>
      <c r="I401" s="230"/>
      <c r="J401" s="230"/>
      <c r="K401" s="230"/>
      <c r="L401" s="230"/>
      <c r="M401" s="230"/>
      <c r="N401" s="230"/>
      <c r="O401" s="230"/>
      <c r="P401" s="230"/>
      <c r="Q401" s="230"/>
      <c r="R401" s="230"/>
      <c r="S401" s="230"/>
      <c r="T401" s="230"/>
      <c r="U401" s="230"/>
      <c r="V401" s="230"/>
      <c r="W401" s="230"/>
      <c r="X401" s="230"/>
      <c r="Y401" s="230"/>
      <c r="Z401" s="230"/>
    </row>
    <row r="402" spans="1:26" ht="15.75" customHeight="1">
      <c r="A402" s="230"/>
      <c r="B402" s="230"/>
      <c r="C402" s="230"/>
      <c r="D402" s="230"/>
      <c r="E402" s="230"/>
      <c r="F402" s="230"/>
      <c r="G402" s="230"/>
      <c r="H402" s="230"/>
      <c r="I402" s="230"/>
      <c r="J402" s="230"/>
      <c r="K402" s="230"/>
      <c r="L402" s="230"/>
      <c r="M402" s="230"/>
      <c r="N402" s="230"/>
      <c r="O402" s="230"/>
      <c r="P402" s="230"/>
      <c r="Q402" s="230"/>
      <c r="R402" s="230"/>
      <c r="S402" s="230"/>
      <c r="T402" s="230"/>
      <c r="U402" s="230"/>
      <c r="V402" s="230"/>
      <c r="W402" s="230"/>
      <c r="X402" s="230"/>
      <c r="Y402" s="230"/>
      <c r="Z402" s="230"/>
    </row>
    <row r="403" spans="1:26" ht="15.75" customHeight="1">
      <c r="A403" s="230"/>
      <c r="B403" s="230"/>
      <c r="C403" s="230"/>
      <c r="D403" s="230"/>
      <c r="E403" s="230"/>
      <c r="F403" s="230"/>
      <c r="G403" s="230"/>
      <c r="H403" s="230"/>
      <c r="I403" s="230"/>
      <c r="J403" s="230"/>
      <c r="K403" s="230"/>
      <c r="L403" s="230"/>
      <c r="M403" s="230"/>
      <c r="N403" s="230"/>
      <c r="O403" s="230"/>
      <c r="P403" s="230"/>
      <c r="Q403" s="230"/>
      <c r="R403" s="230"/>
      <c r="S403" s="230"/>
      <c r="T403" s="230"/>
      <c r="U403" s="230"/>
      <c r="V403" s="230"/>
      <c r="W403" s="230"/>
      <c r="X403" s="230"/>
      <c r="Y403" s="230"/>
      <c r="Z403" s="230"/>
    </row>
    <row r="404" spans="1:26" ht="15.75" customHeight="1">
      <c r="A404" s="230"/>
      <c r="B404" s="230"/>
      <c r="C404" s="230"/>
      <c r="D404" s="230"/>
      <c r="E404" s="230"/>
      <c r="F404" s="230"/>
      <c r="G404" s="230"/>
      <c r="H404" s="230"/>
      <c r="I404" s="230"/>
      <c r="J404" s="230"/>
      <c r="K404" s="230"/>
      <c r="L404" s="230"/>
      <c r="M404" s="230"/>
      <c r="N404" s="230"/>
      <c r="O404" s="230"/>
      <c r="P404" s="230"/>
      <c r="Q404" s="230"/>
      <c r="R404" s="230"/>
      <c r="S404" s="230"/>
      <c r="T404" s="230"/>
      <c r="U404" s="230"/>
      <c r="V404" s="230"/>
      <c r="W404" s="230"/>
      <c r="X404" s="230"/>
      <c r="Y404" s="230"/>
      <c r="Z404" s="230"/>
    </row>
    <row r="405" spans="1:26" ht="15.75" customHeight="1">
      <c r="A405" s="230"/>
      <c r="B405" s="230"/>
      <c r="C405" s="230"/>
      <c r="D405" s="230"/>
      <c r="E405" s="230"/>
      <c r="F405" s="230"/>
      <c r="G405" s="230"/>
      <c r="H405" s="230"/>
      <c r="I405" s="230"/>
      <c r="J405" s="230"/>
      <c r="K405" s="230"/>
      <c r="L405" s="230"/>
      <c r="M405" s="230"/>
      <c r="N405" s="230"/>
      <c r="O405" s="230"/>
      <c r="P405" s="230"/>
      <c r="Q405" s="230"/>
      <c r="R405" s="230"/>
      <c r="S405" s="230"/>
      <c r="T405" s="230"/>
      <c r="U405" s="230"/>
      <c r="V405" s="230"/>
      <c r="W405" s="230"/>
      <c r="X405" s="230"/>
      <c r="Y405" s="230"/>
      <c r="Z405" s="230"/>
    </row>
    <row r="406" spans="1:26" ht="15.75" customHeight="1">
      <c r="A406" s="230"/>
      <c r="B406" s="230"/>
      <c r="C406" s="230"/>
      <c r="D406" s="230"/>
      <c r="E406" s="230"/>
      <c r="F406" s="230"/>
      <c r="G406" s="230"/>
      <c r="H406" s="230"/>
      <c r="I406" s="230"/>
      <c r="J406" s="230"/>
      <c r="K406" s="230"/>
      <c r="L406" s="230"/>
      <c r="M406" s="230"/>
      <c r="N406" s="230"/>
      <c r="O406" s="230"/>
      <c r="P406" s="230"/>
      <c r="Q406" s="230"/>
      <c r="R406" s="230"/>
      <c r="S406" s="230"/>
      <c r="T406" s="230"/>
      <c r="U406" s="230"/>
      <c r="V406" s="230"/>
      <c r="W406" s="230"/>
      <c r="X406" s="230"/>
      <c r="Y406" s="230"/>
      <c r="Z406" s="230"/>
    </row>
    <row r="407" spans="1:26" ht="15.75" customHeight="1">
      <c r="A407" s="230"/>
      <c r="B407" s="230"/>
      <c r="C407" s="230"/>
      <c r="D407" s="230"/>
      <c r="E407" s="230"/>
      <c r="F407" s="230"/>
      <c r="G407" s="230"/>
      <c r="H407" s="230"/>
      <c r="I407" s="230"/>
      <c r="J407" s="230"/>
      <c r="K407" s="230"/>
      <c r="L407" s="230"/>
      <c r="M407" s="230"/>
      <c r="N407" s="230"/>
      <c r="O407" s="230"/>
      <c r="P407" s="230"/>
      <c r="Q407" s="230"/>
      <c r="R407" s="230"/>
      <c r="S407" s="230"/>
      <c r="T407" s="230"/>
      <c r="U407" s="230"/>
      <c r="V407" s="230"/>
      <c r="W407" s="230"/>
      <c r="X407" s="230"/>
      <c r="Y407" s="230"/>
      <c r="Z407" s="230"/>
    </row>
    <row r="408" spans="1:26" ht="15.75" customHeight="1">
      <c r="A408" s="230"/>
      <c r="B408" s="230"/>
      <c r="C408" s="230"/>
      <c r="D408" s="230"/>
      <c r="E408" s="230"/>
      <c r="F408" s="230"/>
      <c r="G408" s="230"/>
      <c r="H408" s="230"/>
      <c r="I408" s="230"/>
      <c r="J408" s="230"/>
      <c r="K408" s="230"/>
      <c r="L408" s="230"/>
      <c r="M408" s="230"/>
      <c r="N408" s="230"/>
      <c r="O408" s="230"/>
      <c r="P408" s="230"/>
      <c r="Q408" s="230"/>
      <c r="R408" s="230"/>
      <c r="S408" s="230"/>
      <c r="T408" s="230"/>
      <c r="U408" s="230"/>
      <c r="V408" s="230"/>
      <c r="W408" s="230"/>
      <c r="X408" s="230"/>
      <c r="Y408" s="230"/>
      <c r="Z408" s="230"/>
    </row>
    <row r="409" spans="1:26" ht="15.75" customHeight="1">
      <c r="A409" s="230"/>
      <c r="B409" s="230"/>
      <c r="C409" s="230"/>
      <c r="D409" s="230"/>
      <c r="E409" s="230"/>
      <c r="F409" s="230"/>
      <c r="G409" s="230"/>
      <c r="H409" s="230"/>
      <c r="I409" s="230"/>
      <c r="J409" s="230"/>
      <c r="K409" s="230"/>
      <c r="L409" s="230"/>
      <c r="M409" s="230"/>
      <c r="N409" s="230"/>
      <c r="O409" s="230"/>
      <c r="P409" s="230"/>
      <c r="Q409" s="230"/>
      <c r="R409" s="230"/>
      <c r="S409" s="230"/>
      <c r="T409" s="230"/>
      <c r="U409" s="230"/>
      <c r="V409" s="230"/>
      <c r="W409" s="230"/>
      <c r="X409" s="230"/>
      <c r="Y409" s="230"/>
      <c r="Z409" s="230"/>
    </row>
    <row r="410" spans="1:26" ht="15.75" customHeight="1">
      <c r="A410" s="230"/>
      <c r="B410" s="230"/>
      <c r="C410" s="230"/>
      <c r="D410" s="230"/>
      <c r="E410" s="230"/>
      <c r="F410" s="230"/>
      <c r="G410" s="230"/>
      <c r="H410" s="230"/>
      <c r="I410" s="230"/>
      <c r="J410" s="230"/>
      <c r="K410" s="230"/>
      <c r="L410" s="230"/>
      <c r="M410" s="230"/>
      <c r="N410" s="230"/>
      <c r="O410" s="230"/>
      <c r="P410" s="230"/>
      <c r="Q410" s="230"/>
      <c r="R410" s="230"/>
      <c r="S410" s="230"/>
      <c r="T410" s="230"/>
      <c r="U410" s="230"/>
      <c r="V410" s="230"/>
      <c r="W410" s="230"/>
      <c r="X410" s="230"/>
      <c r="Y410" s="230"/>
      <c r="Z410" s="230"/>
    </row>
    <row r="411" spans="1:26" ht="15.75" customHeight="1">
      <c r="A411" s="230"/>
      <c r="B411" s="230"/>
      <c r="C411" s="230"/>
      <c r="D411" s="230"/>
      <c r="E411" s="230"/>
      <c r="F411" s="230"/>
      <c r="G411" s="230"/>
      <c r="H411" s="230"/>
      <c r="I411" s="230"/>
      <c r="J411" s="230"/>
      <c r="K411" s="230"/>
      <c r="L411" s="230"/>
      <c r="M411" s="230"/>
      <c r="N411" s="230"/>
      <c r="O411" s="230"/>
      <c r="P411" s="230"/>
      <c r="Q411" s="230"/>
      <c r="R411" s="230"/>
      <c r="S411" s="230"/>
      <c r="T411" s="230"/>
      <c r="U411" s="230"/>
      <c r="V411" s="230"/>
      <c r="W411" s="230"/>
      <c r="X411" s="230"/>
      <c r="Y411" s="230"/>
      <c r="Z411" s="230"/>
    </row>
    <row r="412" spans="1:26" ht="15.75" customHeight="1">
      <c r="A412" s="230"/>
      <c r="B412" s="230"/>
      <c r="C412" s="230"/>
      <c r="D412" s="230"/>
      <c r="E412" s="230"/>
      <c r="F412" s="230"/>
      <c r="G412" s="230"/>
      <c r="H412" s="230"/>
      <c r="I412" s="230"/>
      <c r="J412" s="230"/>
      <c r="K412" s="230"/>
      <c r="L412" s="230"/>
      <c r="M412" s="230"/>
      <c r="N412" s="230"/>
      <c r="O412" s="230"/>
      <c r="P412" s="230"/>
      <c r="Q412" s="230"/>
      <c r="R412" s="230"/>
      <c r="S412" s="230"/>
      <c r="T412" s="230"/>
      <c r="U412" s="230"/>
      <c r="V412" s="230"/>
      <c r="W412" s="230"/>
      <c r="X412" s="230"/>
      <c r="Y412" s="230"/>
      <c r="Z412" s="230"/>
    </row>
    <row r="413" spans="1:26" ht="15.75" customHeight="1">
      <c r="A413" s="230"/>
      <c r="B413" s="230"/>
      <c r="C413" s="230"/>
      <c r="D413" s="230"/>
      <c r="E413" s="230"/>
      <c r="F413" s="230"/>
      <c r="G413" s="230"/>
      <c r="H413" s="230"/>
      <c r="I413" s="230"/>
      <c r="J413" s="230"/>
      <c r="K413" s="230"/>
      <c r="L413" s="230"/>
      <c r="M413" s="230"/>
      <c r="N413" s="230"/>
      <c r="O413" s="230"/>
      <c r="P413" s="230"/>
      <c r="Q413" s="230"/>
      <c r="R413" s="230"/>
      <c r="S413" s="230"/>
      <c r="T413" s="230"/>
      <c r="U413" s="230"/>
      <c r="V413" s="230"/>
      <c r="W413" s="230"/>
      <c r="X413" s="230"/>
      <c r="Y413" s="230"/>
      <c r="Z413" s="230"/>
    </row>
    <row r="414" spans="1:26" ht="15.75" customHeight="1">
      <c r="A414" s="230"/>
      <c r="B414" s="230"/>
      <c r="C414" s="230"/>
      <c r="D414" s="230"/>
      <c r="E414" s="230"/>
      <c r="F414" s="230"/>
      <c r="G414" s="230"/>
      <c r="H414" s="230"/>
      <c r="I414" s="230"/>
      <c r="J414" s="230"/>
      <c r="K414" s="230"/>
      <c r="L414" s="230"/>
      <c r="M414" s="230"/>
      <c r="N414" s="230"/>
      <c r="O414" s="230"/>
      <c r="P414" s="230"/>
      <c r="Q414" s="230"/>
      <c r="R414" s="230"/>
      <c r="S414" s="230"/>
      <c r="T414" s="230"/>
      <c r="U414" s="230"/>
      <c r="V414" s="230"/>
      <c r="W414" s="230"/>
      <c r="X414" s="230"/>
      <c r="Y414" s="230"/>
      <c r="Z414" s="230"/>
    </row>
    <row r="415" spans="1:26" ht="15.75" customHeight="1">
      <c r="A415" s="230"/>
      <c r="B415" s="230"/>
      <c r="C415" s="230"/>
      <c r="D415" s="230"/>
      <c r="E415" s="230"/>
      <c r="F415" s="230"/>
      <c r="G415" s="230"/>
      <c r="H415" s="230"/>
      <c r="I415" s="230"/>
      <c r="J415" s="230"/>
      <c r="K415" s="230"/>
      <c r="L415" s="230"/>
      <c r="M415" s="230"/>
      <c r="N415" s="230"/>
      <c r="O415" s="230"/>
      <c r="P415" s="230"/>
      <c r="Q415" s="230"/>
      <c r="R415" s="230"/>
      <c r="S415" s="230"/>
      <c r="T415" s="230"/>
      <c r="U415" s="230"/>
      <c r="V415" s="230"/>
      <c r="W415" s="230"/>
      <c r="X415" s="230"/>
      <c r="Y415" s="230"/>
      <c r="Z415" s="230"/>
    </row>
    <row r="416" spans="1:26" ht="15.75" customHeight="1">
      <c r="A416" s="230"/>
      <c r="B416" s="230"/>
      <c r="C416" s="230"/>
      <c r="D416" s="230"/>
      <c r="E416" s="230"/>
      <c r="F416" s="230"/>
      <c r="G416" s="230"/>
      <c r="H416" s="230"/>
      <c r="I416" s="230"/>
      <c r="J416" s="230"/>
      <c r="K416" s="230"/>
      <c r="L416" s="230"/>
      <c r="M416" s="230"/>
      <c r="N416" s="230"/>
      <c r="O416" s="230"/>
      <c r="P416" s="230"/>
      <c r="Q416" s="230"/>
      <c r="R416" s="230"/>
      <c r="S416" s="230"/>
      <c r="T416" s="230"/>
      <c r="U416" s="230"/>
      <c r="V416" s="230"/>
      <c r="W416" s="230"/>
      <c r="X416" s="230"/>
      <c r="Y416" s="230"/>
      <c r="Z416" s="230"/>
    </row>
    <row r="417" spans="1:26" ht="15.75" customHeight="1">
      <c r="A417" s="230"/>
      <c r="B417" s="230"/>
      <c r="C417" s="230"/>
      <c r="D417" s="230"/>
      <c r="E417" s="230"/>
      <c r="F417" s="230"/>
      <c r="G417" s="230"/>
      <c r="H417" s="230"/>
      <c r="I417" s="230"/>
      <c r="J417" s="230"/>
      <c r="K417" s="230"/>
      <c r="L417" s="230"/>
      <c r="M417" s="230"/>
      <c r="N417" s="230"/>
      <c r="O417" s="230"/>
      <c r="P417" s="230"/>
      <c r="Q417" s="230"/>
      <c r="R417" s="230"/>
      <c r="S417" s="230"/>
      <c r="T417" s="230"/>
      <c r="U417" s="230"/>
      <c r="V417" s="230"/>
      <c r="W417" s="230"/>
      <c r="X417" s="230"/>
      <c r="Y417" s="230"/>
      <c r="Z417" s="230"/>
    </row>
    <row r="418" spans="1:26" ht="15.75" customHeight="1">
      <c r="A418" s="230"/>
      <c r="B418" s="230"/>
      <c r="C418" s="230"/>
      <c r="D418" s="230"/>
      <c r="E418" s="230"/>
      <c r="F418" s="230"/>
      <c r="G418" s="230"/>
      <c r="H418" s="230"/>
      <c r="I418" s="230"/>
      <c r="J418" s="230"/>
      <c r="K418" s="230"/>
      <c r="L418" s="230"/>
      <c r="M418" s="230"/>
      <c r="N418" s="230"/>
      <c r="O418" s="230"/>
      <c r="P418" s="230"/>
      <c r="Q418" s="230"/>
      <c r="R418" s="230"/>
      <c r="S418" s="230"/>
      <c r="T418" s="230"/>
      <c r="U418" s="230"/>
      <c r="V418" s="230"/>
      <c r="W418" s="230"/>
      <c r="X418" s="230"/>
      <c r="Y418" s="230"/>
      <c r="Z418" s="230"/>
    </row>
    <row r="419" spans="1:26" ht="15.75" customHeight="1">
      <c r="A419" s="230"/>
      <c r="B419" s="230"/>
      <c r="C419" s="230"/>
      <c r="D419" s="230"/>
      <c r="E419" s="230"/>
      <c r="F419" s="230"/>
      <c r="G419" s="230"/>
      <c r="H419" s="230"/>
      <c r="I419" s="230"/>
      <c r="J419" s="230"/>
      <c r="K419" s="230"/>
      <c r="L419" s="230"/>
      <c r="M419" s="230"/>
      <c r="N419" s="230"/>
      <c r="O419" s="230"/>
      <c r="P419" s="230"/>
      <c r="Q419" s="230"/>
      <c r="R419" s="230"/>
      <c r="S419" s="230"/>
      <c r="T419" s="230"/>
      <c r="U419" s="230"/>
      <c r="V419" s="230"/>
      <c r="W419" s="230"/>
      <c r="X419" s="230"/>
      <c r="Y419" s="230"/>
      <c r="Z419" s="230"/>
    </row>
    <row r="420" spans="1:26" ht="15.75" customHeight="1">
      <c r="A420" s="230"/>
      <c r="B420" s="230"/>
      <c r="C420" s="230"/>
      <c r="D420" s="230"/>
      <c r="E420" s="230"/>
      <c r="F420" s="230"/>
      <c r="G420" s="230"/>
      <c r="H420" s="230"/>
      <c r="I420" s="230"/>
      <c r="J420" s="230"/>
      <c r="K420" s="230"/>
      <c r="L420" s="230"/>
      <c r="M420" s="230"/>
      <c r="N420" s="230"/>
      <c r="O420" s="230"/>
      <c r="P420" s="230"/>
      <c r="Q420" s="230"/>
      <c r="R420" s="230"/>
      <c r="S420" s="230"/>
      <c r="T420" s="230"/>
      <c r="U420" s="230"/>
      <c r="V420" s="230"/>
      <c r="W420" s="230"/>
      <c r="X420" s="230"/>
      <c r="Y420" s="230"/>
      <c r="Z420" s="230"/>
    </row>
    <row r="421" spans="1:26" ht="15.75" customHeight="1">
      <c r="A421" s="230"/>
      <c r="B421" s="230"/>
      <c r="C421" s="230"/>
      <c r="D421" s="230"/>
      <c r="E421" s="230"/>
      <c r="F421" s="230"/>
      <c r="G421" s="230"/>
      <c r="H421" s="230"/>
      <c r="I421" s="230"/>
      <c r="J421" s="230"/>
      <c r="K421" s="230"/>
      <c r="L421" s="230"/>
      <c r="M421" s="230"/>
      <c r="N421" s="230"/>
      <c r="O421" s="230"/>
      <c r="P421" s="230"/>
      <c r="Q421" s="230"/>
      <c r="R421" s="230"/>
      <c r="S421" s="230"/>
      <c r="T421" s="230"/>
      <c r="U421" s="230"/>
      <c r="V421" s="230"/>
      <c r="W421" s="230"/>
      <c r="X421" s="230"/>
      <c r="Y421" s="230"/>
      <c r="Z421" s="230"/>
    </row>
    <row r="422" spans="1:26" ht="15.75" customHeight="1">
      <c r="A422" s="230"/>
      <c r="B422" s="230"/>
      <c r="C422" s="230"/>
      <c r="D422" s="230"/>
      <c r="E422" s="230"/>
      <c r="F422" s="230"/>
      <c r="G422" s="230"/>
      <c r="H422" s="230"/>
      <c r="I422" s="230"/>
      <c r="J422" s="230"/>
      <c r="K422" s="230"/>
      <c r="L422" s="230"/>
      <c r="M422" s="230"/>
      <c r="N422" s="230"/>
      <c r="O422" s="230"/>
      <c r="P422" s="230"/>
      <c r="Q422" s="230"/>
      <c r="R422" s="230"/>
      <c r="S422" s="230"/>
      <c r="T422" s="230"/>
      <c r="U422" s="230"/>
      <c r="V422" s="230"/>
      <c r="W422" s="230"/>
      <c r="X422" s="230"/>
      <c r="Y422" s="230"/>
      <c r="Z422" s="230"/>
    </row>
    <row r="423" spans="1:26" ht="15.75" customHeight="1">
      <c r="A423" s="230"/>
      <c r="B423" s="230"/>
      <c r="C423" s="230"/>
      <c r="D423" s="230"/>
      <c r="E423" s="230"/>
      <c r="F423" s="230"/>
      <c r="G423" s="230"/>
      <c r="H423" s="230"/>
      <c r="I423" s="230"/>
      <c r="J423" s="230"/>
      <c r="K423" s="230"/>
      <c r="L423" s="230"/>
      <c r="M423" s="230"/>
      <c r="N423" s="230"/>
      <c r="O423" s="230"/>
      <c r="P423" s="230"/>
      <c r="Q423" s="230"/>
      <c r="R423" s="230"/>
      <c r="S423" s="230"/>
      <c r="T423" s="230"/>
      <c r="U423" s="230"/>
      <c r="V423" s="230"/>
      <c r="W423" s="230"/>
      <c r="X423" s="230"/>
      <c r="Y423" s="230"/>
      <c r="Z423" s="230"/>
    </row>
    <row r="424" spans="1:26" ht="15.75" customHeight="1">
      <c r="A424" s="230"/>
      <c r="B424" s="230"/>
      <c r="C424" s="230"/>
      <c r="D424" s="230"/>
      <c r="E424" s="230"/>
      <c r="F424" s="230"/>
      <c r="G424" s="230"/>
      <c r="H424" s="230"/>
      <c r="I424" s="230"/>
      <c r="J424" s="230"/>
      <c r="K424" s="230"/>
      <c r="L424" s="230"/>
      <c r="M424" s="230"/>
      <c r="N424" s="230"/>
      <c r="O424" s="230"/>
      <c r="P424" s="230"/>
      <c r="Q424" s="230"/>
      <c r="R424" s="230"/>
      <c r="S424" s="230"/>
      <c r="T424" s="230"/>
      <c r="U424" s="230"/>
      <c r="V424" s="230"/>
      <c r="W424" s="230"/>
      <c r="X424" s="230"/>
      <c r="Y424" s="230"/>
      <c r="Z424" s="230"/>
    </row>
    <row r="425" spans="1:26" ht="15.75" customHeight="1">
      <c r="A425" s="230"/>
      <c r="B425" s="230"/>
      <c r="C425" s="230"/>
      <c r="D425" s="230"/>
      <c r="E425" s="230"/>
      <c r="F425" s="230"/>
      <c r="G425" s="230"/>
      <c r="H425" s="230"/>
      <c r="I425" s="230"/>
      <c r="J425" s="230"/>
      <c r="K425" s="230"/>
      <c r="L425" s="230"/>
      <c r="M425" s="230"/>
      <c r="N425" s="230"/>
      <c r="O425" s="230"/>
      <c r="P425" s="230"/>
      <c r="Q425" s="230"/>
      <c r="R425" s="230"/>
      <c r="S425" s="230"/>
      <c r="T425" s="230"/>
      <c r="U425" s="230"/>
      <c r="V425" s="230"/>
      <c r="W425" s="230"/>
      <c r="X425" s="230"/>
      <c r="Y425" s="230"/>
      <c r="Z425" s="230"/>
    </row>
    <row r="426" spans="1:26" ht="15.75" customHeight="1">
      <c r="A426" s="230"/>
      <c r="B426" s="230"/>
      <c r="C426" s="230"/>
      <c r="D426" s="230"/>
      <c r="E426" s="230"/>
      <c r="F426" s="230"/>
      <c r="G426" s="230"/>
      <c r="H426" s="230"/>
      <c r="I426" s="230"/>
      <c r="J426" s="230"/>
      <c r="K426" s="230"/>
      <c r="L426" s="230"/>
      <c r="M426" s="230"/>
      <c r="N426" s="230"/>
      <c r="O426" s="230"/>
      <c r="P426" s="230"/>
      <c r="Q426" s="230"/>
      <c r="R426" s="230"/>
      <c r="S426" s="230"/>
      <c r="T426" s="230"/>
      <c r="U426" s="230"/>
      <c r="V426" s="230"/>
      <c r="W426" s="230"/>
      <c r="X426" s="230"/>
      <c r="Y426" s="230"/>
      <c r="Z426" s="230"/>
    </row>
    <row r="427" spans="1:26" ht="15.75" customHeight="1">
      <c r="A427" s="230"/>
      <c r="B427" s="230"/>
      <c r="C427" s="230"/>
      <c r="D427" s="230"/>
      <c r="E427" s="230"/>
      <c r="F427" s="230"/>
      <c r="G427" s="230"/>
      <c r="H427" s="230"/>
      <c r="I427" s="230"/>
      <c r="J427" s="230"/>
      <c r="K427" s="230"/>
      <c r="L427" s="230"/>
      <c r="M427" s="230"/>
      <c r="N427" s="230"/>
      <c r="O427" s="230"/>
      <c r="P427" s="230"/>
      <c r="Q427" s="230"/>
      <c r="R427" s="230"/>
      <c r="S427" s="230"/>
      <c r="T427" s="230"/>
      <c r="U427" s="230"/>
      <c r="V427" s="230"/>
      <c r="W427" s="230"/>
      <c r="X427" s="230"/>
      <c r="Y427" s="230"/>
      <c r="Z427" s="230"/>
    </row>
    <row r="428" spans="1:26" ht="15.75" customHeight="1">
      <c r="A428" s="230"/>
      <c r="B428" s="230"/>
      <c r="C428" s="230"/>
      <c r="D428" s="230"/>
      <c r="E428" s="230"/>
      <c r="F428" s="230"/>
      <c r="G428" s="230"/>
      <c r="H428" s="230"/>
      <c r="I428" s="230"/>
      <c r="J428" s="230"/>
      <c r="K428" s="230"/>
      <c r="L428" s="230"/>
      <c r="M428" s="230"/>
      <c r="N428" s="230"/>
      <c r="O428" s="230"/>
      <c r="P428" s="230"/>
      <c r="Q428" s="230"/>
      <c r="R428" s="230"/>
      <c r="S428" s="230"/>
      <c r="T428" s="230"/>
      <c r="U428" s="230"/>
      <c r="V428" s="230"/>
      <c r="W428" s="230"/>
      <c r="X428" s="230"/>
      <c r="Y428" s="230"/>
      <c r="Z428" s="230"/>
    </row>
    <row r="429" spans="1:26" ht="15.75" customHeight="1">
      <c r="A429" s="230"/>
      <c r="B429" s="230"/>
      <c r="C429" s="230"/>
      <c r="D429" s="230"/>
      <c r="E429" s="230"/>
      <c r="F429" s="230"/>
      <c r="G429" s="230"/>
      <c r="H429" s="230"/>
      <c r="I429" s="230"/>
      <c r="J429" s="230"/>
      <c r="K429" s="230"/>
      <c r="L429" s="230"/>
      <c r="M429" s="230"/>
      <c r="N429" s="230"/>
      <c r="O429" s="230"/>
      <c r="P429" s="230"/>
      <c r="Q429" s="230"/>
      <c r="R429" s="230"/>
      <c r="S429" s="230"/>
      <c r="T429" s="230"/>
      <c r="U429" s="230"/>
      <c r="V429" s="230"/>
      <c r="W429" s="230"/>
      <c r="X429" s="230"/>
      <c r="Y429" s="230"/>
      <c r="Z429" s="230"/>
    </row>
    <row r="430" spans="1:26" ht="15.75" customHeight="1">
      <c r="A430" s="230"/>
      <c r="B430" s="230"/>
      <c r="C430" s="230"/>
      <c r="D430" s="230"/>
      <c r="E430" s="230"/>
      <c r="F430" s="230"/>
      <c r="G430" s="230"/>
      <c r="H430" s="230"/>
      <c r="I430" s="230"/>
      <c r="J430" s="230"/>
      <c r="K430" s="230"/>
      <c r="L430" s="230"/>
      <c r="M430" s="230"/>
      <c r="N430" s="230"/>
      <c r="O430" s="230"/>
      <c r="P430" s="230"/>
      <c r="Q430" s="230"/>
      <c r="R430" s="230"/>
      <c r="S430" s="230"/>
      <c r="T430" s="230"/>
      <c r="U430" s="230"/>
      <c r="V430" s="230"/>
      <c r="W430" s="230"/>
      <c r="X430" s="230"/>
      <c r="Y430" s="230"/>
      <c r="Z430" s="230"/>
    </row>
    <row r="431" spans="1:26" ht="15.75" customHeight="1">
      <c r="A431" s="230"/>
      <c r="B431" s="230"/>
      <c r="C431" s="230"/>
      <c r="D431" s="230"/>
      <c r="E431" s="230"/>
      <c r="F431" s="230"/>
      <c r="G431" s="230"/>
      <c r="H431" s="230"/>
      <c r="I431" s="230"/>
      <c r="J431" s="230"/>
      <c r="K431" s="230"/>
      <c r="L431" s="230"/>
      <c r="M431" s="230"/>
      <c r="N431" s="230"/>
      <c r="O431" s="230"/>
      <c r="P431" s="230"/>
      <c r="Q431" s="230"/>
      <c r="R431" s="230"/>
      <c r="S431" s="230"/>
      <c r="T431" s="230"/>
      <c r="U431" s="230"/>
      <c r="V431" s="230"/>
      <c r="W431" s="230"/>
      <c r="X431" s="230"/>
      <c r="Y431" s="230"/>
      <c r="Z431" s="230"/>
    </row>
    <row r="432" spans="1:26" ht="15.75" customHeight="1">
      <c r="A432" s="230"/>
      <c r="B432" s="230"/>
      <c r="C432" s="230"/>
      <c r="D432" s="230"/>
      <c r="E432" s="230"/>
      <c r="F432" s="230"/>
      <c r="G432" s="230"/>
      <c r="H432" s="230"/>
      <c r="I432" s="230"/>
      <c r="J432" s="230"/>
      <c r="K432" s="230"/>
      <c r="L432" s="230"/>
      <c r="M432" s="230"/>
      <c r="N432" s="230"/>
      <c r="O432" s="230"/>
      <c r="P432" s="230"/>
      <c r="Q432" s="230"/>
      <c r="R432" s="230"/>
      <c r="S432" s="230"/>
      <c r="T432" s="230"/>
      <c r="U432" s="230"/>
      <c r="V432" s="230"/>
      <c r="W432" s="230"/>
      <c r="X432" s="230"/>
      <c r="Y432" s="230"/>
      <c r="Z432" s="230"/>
    </row>
    <row r="433" spans="1:26" ht="15.75" customHeight="1">
      <c r="A433" s="230"/>
      <c r="B433" s="230"/>
      <c r="C433" s="230"/>
      <c r="D433" s="230"/>
      <c r="E433" s="230"/>
      <c r="F433" s="230"/>
      <c r="G433" s="230"/>
      <c r="H433" s="230"/>
      <c r="I433" s="230"/>
      <c r="J433" s="230"/>
      <c r="K433" s="230"/>
      <c r="L433" s="230"/>
      <c r="M433" s="230"/>
      <c r="N433" s="230"/>
      <c r="O433" s="230"/>
      <c r="P433" s="230"/>
      <c r="Q433" s="230"/>
      <c r="R433" s="230"/>
      <c r="S433" s="230"/>
      <c r="T433" s="230"/>
      <c r="U433" s="230"/>
      <c r="V433" s="230"/>
      <c r="W433" s="230"/>
      <c r="X433" s="230"/>
      <c r="Y433" s="230"/>
      <c r="Z433" s="230"/>
    </row>
    <row r="434" spans="1:26" ht="15.75" customHeight="1">
      <c r="A434" s="230"/>
      <c r="B434" s="230"/>
      <c r="C434" s="230"/>
      <c r="D434" s="230"/>
      <c r="E434" s="230"/>
      <c r="F434" s="230"/>
      <c r="G434" s="230"/>
      <c r="H434" s="230"/>
      <c r="I434" s="230"/>
      <c r="J434" s="230"/>
      <c r="K434" s="230"/>
      <c r="L434" s="230"/>
      <c r="M434" s="230"/>
      <c r="N434" s="230"/>
      <c r="O434" s="230"/>
      <c r="P434" s="230"/>
      <c r="Q434" s="230"/>
      <c r="R434" s="230"/>
      <c r="S434" s="230"/>
      <c r="T434" s="230"/>
      <c r="U434" s="230"/>
      <c r="V434" s="230"/>
      <c r="W434" s="230"/>
      <c r="X434" s="230"/>
      <c r="Y434" s="230"/>
      <c r="Z434" s="230"/>
    </row>
    <row r="435" spans="1:26" ht="15.75" customHeight="1">
      <c r="A435" s="230"/>
      <c r="B435" s="230"/>
      <c r="C435" s="230"/>
      <c r="D435" s="230"/>
      <c r="E435" s="230"/>
      <c r="F435" s="230"/>
      <c r="G435" s="230"/>
      <c r="H435" s="230"/>
      <c r="I435" s="230"/>
      <c r="J435" s="230"/>
      <c r="K435" s="230"/>
      <c r="L435" s="230"/>
      <c r="M435" s="230"/>
      <c r="N435" s="230"/>
      <c r="O435" s="230"/>
      <c r="P435" s="230"/>
      <c r="Q435" s="230"/>
      <c r="R435" s="230"/>
      <c r="S435" s="230"/>
      <c r="T435" s="230"/>
      <c r="U435" s="230"/>
      <c r="V435" s="230"/>
      <c r="W435" s="230"/>
      <c r="X435" s="230"/>
      <c r="Y435" s="230"/>
      <c r="Z435" s="230"/>
    </row>
    <row r="436" spans="1:26" ht="15.75" customHeight="1">
      <c r="A436" s="230"/>
      <c r="B436" s="230"/>
      <c r="C436" s="230"/>
      <c r="D436" s="230"/>
      <c r="E436" s="230"/>
      <c r="F436" s="230"/>
      <c r="G436" s="230"/>
      <c r="H436" s="230"/>
      <c r="I436" s="230"/>
      <c r="J436" s="230"/>
      <c r="K436" s="230"/>
      <c r="L436" s="230"/>
      <c r="M436" s="230"/>
      <c r="N436" s="230"/>
      <c r="O436" s="230"/>
      <c r="P436" s="230"/>
      <c r="Q436" s="230"/>
      <c r="R436" s="230"/>
      <c r="S436" s="230"/>
      <c r="T436" s="230"/>
      <c r="U436" s="230"/>
      <c r="V436" s="230"/>
      <c r="W436" s="230"/>
      <c r="X436" s="230"/>
      <c r="Y436" s="230"/>
      <c r="Z436" s="230"/>
    </row>
    <row r="437" spans="1:26" ht="15.75" customHeight="1">
      <c r="A437" s="230"/>
      <c r="B437" s="230"/>
      <c r="C437" s="230"/>
      <c r="D437" s="230"/>
      <c r="E437" s="230"/>
      <c r="F437" s="230"/>
      <c r="G437" s="230"/>
      <c r="H437" s="230"/>
      <c r="I437" s="230"/>
      <c r="J437" s="230"/>
      <c r="K437" s="230"/>
      <c r="L437" s="230"/>
      <c r="M437" s="230"/>
      <c r="N437" s="230"/>
      <c r="O437" s="230"/>
      <c r="P437" s="230"/>
      <c r="Q437" s="230"/>
      <c r="R437" s="230"/>
      <c r="S437" s="230"/>
      <c r="T437" s="230"/>
      <c r="U437" s="230"/>
      <c r="V437" s="230"/>
      <c r="W437" s="230"/>
      <c r="X437" s="230"/>
      <c r="Y437" s="230"/>
      <c r="Z437" s="230"/>
    </row>
    <row r="438" spans="1:26" ht="15.75" customHeight="1">
      <c r="A438" s="230"/>
      <c r="B438" s="230"/>
      <c r="C438" s="230"/>
      <c r="D438" s="230"/>
      <c r="E438" s="230"/>
      <c r="F438" s="230"/>
      <c r="G438" s="230"/>
      <c r="H438" s="230"/>
      <c r="I438" s="230"/>
      <c r="J438" s="230"/>
      <c r="K438" s="230"/>
      <c r="L438" s="230"/>
      <c r="M438" s="230"/>
      <c r="N438" s="230"/>
      <c r="O438" s="230"/>
      <c r="P438" s="230"/>
      <c r="Q438" s="230"/>
      <c r="R438" s="230"/>
      <c r="S438" s="230"/>
      <c r="T438" s="230"/>
      <c r="U438" s="230"/>
      <c r="V438" s="230"/>
      <c r="W438" s="230"/>
      <c r="X438" s="230"/>
      <c r="Y438" s="230"/>
      <c r="Z438" s="230"/>
    </row>
    <row r="439" spans="1:26" ht="15.75" customHeight="1">
      <c r="A439" s="230"/>
      <c r="B439" s="230"/>
      <c r="C439" s="230"/>
      <c r="D439" s="230"/>
      <c r="E439" s="230"/>
      <c r="F439" s="230"/>
      <c r="G439" s="230"/>
      <c r="H439" s="230"/>
      <c r="I439" s="230"/>
      <c r="J439" s="230"/>
      <c r="K439" s="230"/>
      <c r="L439" s="230"/>
      <c r="M439" s="230"/>
      <c r="N439" s="230"/>
      <c r="O439" s="230"/>
      <c r="P439" s="230"/>
      <c r="Q439" s="230"/>
      <c r="R439" s="230"/>
      <c r="S439" s="230"/>
      <c r="T439" s="230"/>
      <c r="U439" s="230"/>
      <c r="V439" s="230"/>
      <c r="W439" s="230"/>
      <c r="X439" s="230"/>
      <c r="Y439" s="230"/>
      <c r="Z439" s="230"/>
    </row>
    <row r="440" spans="1:26" ht="15.75" customHeight="1">
      <c r="A440" s="230"/>
      <c r="B440" s="230"/>
      <c r="C440" s="230"/>
      <c r="D440" s="230"/>
      <c r="E440" s="230"/>
      <c r="F440" s="230"/>
      <c r="G440" s="230"/>
      <c r="H440" s="230"/>
      <c r="I440" s="230"/>
      <c r="J440" s="230"/>
      <c r="K440" s="230"/>
      <c r="L440" s="230"/>
      <c r="M440" s="230"/>
      <c r="N440" s="230"/>
      <c r="O440" s="230"/>
      <c r="P440" s="230"/>
      <c r="Q440" s="230"/>
      <c r="R440" s="230"/>
      <c r="S440" s="230"/>
      <c r="T440" s="230"/>
      <c r="U440" s="230"/>
      <c r="V440" s="230"/>
      <c r="W440" s="230"/>
      <c r="X440" s="230"/>
      <c r="Y440" s="230"/>
      <c r="Z440" s="230"/>
    </row>
    <row r="441" spans="1:26" ht="15.75" customHeight="1">
      <c r="A441" s="230"/>
      <c r="B441" s="230"/>
      <c r="C441" s="230"/>
      <c r="D441" s="230"/>
      <c r="E441" s="230"/>
      <c r="F441" s="230"/>
      <c r="G441" s="230"/>
      <c r="H441" s="230"/>
      <c r="I441" s="230"/>
      <c r="J441" s="230"/>
      <c r="K441" s="230"/>
      <c r="L441" s="230"/>
      <c r="M441" s="230"/>
      <c r="N441" s="230"/>
      <c r="O441" s="230"/>
      <c r="P441" s="230"/>
      <c r="Q441" s="230"/>
      <c r="R441" s="230"/>
      <c r="S441" s="230"/>
      <c r="T441" s="230"/>
      <c r="U441" s="230"/>
      <c r="V441" s="230"/>
      <c r="W441" s="230"/>
      <c r="X441" s="230"/>
      <c r="Y441" s="230"/>
      <c r="Z441" s="230"/>
    </row>
    <row r="442" spans="1:26" ht="15.75" customHeight="1">
      <c r="A442" s="230"/>
      <c r="B442" s="230"/>
      <c r="C442" s="230"/>
      <c r="D442" s="230"/>
      <c r="E442" s="230"/>
      <c r="F442" s="230"/>
      <c r="G442" s="230"/>
      <c r="H442" s="230"/>
      <c r="I442" s="230"/>
      <c r="J442" s="230"/>
      <c r="K442" s="230"/>
      <c r="L442" s="230"/>
      <c r="M442" s="230"/>
      <c r="N442" s="230"/>
      <c r="O442" s="230"/>
      <c r="P442" s="230"/>
      <c r="Q442" s="230"/>
      <c r="R442" s="230"/>
      <c r="S442" s="230"/>
      <c r="T442" s="230"/>
      <c r="U442" s="230"/>
      <c r="V442" s="230"/>
      <c r="W442" s="230"/>
      <c r="X442" s="230"/>
      <c r="Y442" s="230"/>
      <c r="Z442" s="230"/>
    </row>
    <row r="443" spans="1:26" ht="15.75" customHeight="1">
      <c r="A443" s="230"/>
      <c r="B443" s="230"/>
      <c r="C443" s="230"/>
      <c r="D443" s="230"/>
      <c r="E443" s="230"/>
      <c r="F443" s="230"/>
      <c r="G443" s="230"/>
      <c r="H443" s="230"/>
      <c r="I443" s="230"/>
      <c r="J443" s="230"/>
      <c r="K443" s="230"/>
      <c r="L443" s="230"/>
      <c r="M443" s="230"/>
      <c r="N443" s="230"/>
      <c r="O443" s="230"/>
      <c r="P443" s="230"/>
      <c r="Q443" s="230"/>
      <c r="R443" s="230"/>
      <c r="S443" s="230"/>
      <c r="T443" s="230"/>
      <c r="U443" s="230"/>
      <c r="V443" s="230"/>
      <c r="W443" s="230"/>
      <c r="X443" s="230"/>
      <c r="Y443" s="230"/>
      <c r="Z443" s="230"/>
    </row>
    <row r="444" spans="1:26" ht="15.75" customHeight="1">
      <c r="A444" s="230"/>
      <c r="B444" s="230"/>
      <c r="C444" s="230"/>
      <c r="D444" s="230"/>
      <c r="E444" s="230"/>
      <c r="F444" s="230"/>
      <c r="G444" s="230"/>
      <c r="H444" s="230"/>
      <c r="I444" s="230"/>
      <c r="J444" s="230"/>
      <c r="K444" s="230"/>
      <c r="L444" s="230"/>
      <c r="M444" s="230"/>
      <c r="N444" s="230"/>
      <c r="O444" s="230"/>
      <c r="P444" s="230"/>
      <c r="Q444" s="230"/>
      <c r="R444" s="230"/>
      <c r="S444" s="230"/>
      <c r="T444" s="230"/>
      <c r="U444" s="230"/>
      <c r="V444" s="230"/>
      <c r="W444" s="230"/>
      <c r="X444" s="230"/>
      <c r="Y444" s="230"/>
      <c r="Z444" s="230"/>
    </row>
    <row r="445" spans="1:26" ht="15.75" customHeight="1">
      <c r="A445" s="230"/>
      <c r="B445" s="230"/>
      <c r="C445" s="230"/>
      <c r="D445" s="230"/>
      <c r="E445" s="230"/>
      <c r="F445" s="230"/>
      <c r="G445" s="230"/>
      <c r="H445" s="230"/>
      <c r="I445" s="230"/>
      <c r="J445" s="230"/>
      <c r="K445" s="230"/>
      <c r="L445" s="230"/>
      <c r="M445" s="230"/>
      <c r="N445" s="230"/>
      <c r="O445" s="230"/>
      <c r="P445" s="230"/>
      <c r="Q445" s="230"/>
      <c r="R445" s="230"/>
      <c r="S445" s="230"/>
      <c r="T445" s="230"/>
      <c r="U445" s="230"/>
      <c r="V445" s="230"/>
      <c r="W445" s="230"/>
      <c r="X445" s="230"/>
      <c r="Y445" s="230"/>
      <c r="Z445" s="230"/>
    </row>
    <row r="446" spans="1:26" ht="15.75" customHeight="1">
      <c r="A446" s="230"/>
      <c r="B446" s="230"/>
      <c r="C446" s="230"/>
      <c r="D446" s="230"/>
      <c r="E446" s="230"/>
      <c r="F446" s="230"/>
      <c r="G446" s="230"/>
      <c r="H446" s="230"/>
      <c r="I446" s="230"/>
      <c r="J446" s="230"/>
      <c r="K446" s="230"/>
      <c r="L446" s="230"/>
      <c r="M446" s="230"/>
      <c r="N446" s="230"/>
      <c r="O446" s="230"/>
      <c r="P446" s="230"/>
      <c r="Q446" s="230"/>
      <c r="R446" s="230"/>
      <c r="S446" s="230"/>
      <c r="T446" s="230"/>
      <c r="U446" s="230"/>
      <c r="V446" s="230"/>
      <c r="W446" s="230"/>
      <c r="X446" s="230"/>
      <c r="Y446" s="230"/>
      <c r="Z446" s="230"/>
    </row>
    <row r="447" spans="1:26" ht="15.75" customHeight="1">
      <c r="A447" s="230"/>
      <c r="B447" s="230"/>
      <c r="C447" s="230"/>
      <c r="D447" s="230"/>
      <c r="E447" s="230"/>
      <c r="F447" s="230"/>
      <c r="G447" s="230"/>
      <c r="H447" s="230"/>
      <c r="I447" s="230"/>
      <c r="J447" s="230"/>
      <c r="K447" s="230"/>
      <c r="L447" s="230"/>
      <c r="M447" s="230"/>
      <c r="N447" s="230"/>
      <c r="O447" s="230"/>
      <c r="P447" s="230"/>
      <c r="Q447" s="230"/>
      <c r="R447" s="230"/>
      <c r="S447" s="230"/>
      <c r="T447" s="230"/>
      <c r="U447" s="230"/>
      <c r="V447" s="230"/>
      <c r="W447" s="230"/>
      <c r="X447" s="230"/>
      <c r="Y447" s="230"/>
      <c r="Z447" s="230"/>
    </row>
    <row r="448" spans="1:26" ht="15.75" customHeight="1">
      <c r="A448" s="230"/>
      <c r="B448" s="230"/>
      <c r="C448" s="230"/>
      <c r="D448" s="230"/>
      <c r="E448" s="230"/>
      <c r="F448" s="230"/>
      <c r="G448" s="230"/>
      <c r="H448" s="230"/>
      <c r="I448" s="230"/>
      <c r="J448" s="230"/>
      <c r="K448" s="230"/>
      <c r="L448" s="230"/>
      <c r="M448" s="230"/>
      <c r="N448" s="230"/>
      <c r="O448" s="230"/>
      <c r="P448" s="230"/>
      <c r="Q448" s="230"/>
      <c r="R448" s="230"/>
      <c r="S448" s="230"/>
      <c r="T448" s="230"/>
      <c r="U448" s="230"/>
      <c r="V448" s="230"/>
      <c r="W448" s="230"/>
      <c r="X448" s="230"/>
      <c r="Y448" s="230"/>
      <c r="Z448" s="230"/>
    </row>
    <row r="449" spans="1:26" ht="15.75" customHeight="1">
      <c r="A449" s="230"/>
      <c r="B449" s="230"/>
      <c r="C449" s="230"/>
      <c r="D449" s="230"/>
      <c r="E449" s="230"/>
      <c r="F449" s="230"/>
      <c r="G449" s="230"/>
      <c r="H449" s="230"/>
      <c r="I449" s="230"/>
      <c r="J449" s="230"/>
      <c r="K449" s="230"/>
      <c r="L449" s="230"/>
      <c r="M449" s="230"/>
      <c r="N449" s="230"/>
      <c r="O449" s="230"/>
      <c r="P449" s="230"/>
      <c r="Q449" s="230"/>
      <c r="R449" s="230"/>
      <c r="S449" s="230"/>
      <c r="T449" s="230"/>
      <c r="U449" s="230"/>
      <c r="V449" s="230"/>
      <c r="W449" s="230"/>
      <c r="X449" s="230"/>
      <c r="Y449" s="230"/>
      <c r="Z449" s="230"/>
    </row>
    <row r="450" spans="1:26" ht="15.75" customHeight="1">
      <c r="A450" s="230"/>
      <c r="B450" s="230"/>
      <c r="C450" s="230"/>
      <c r="D450" s="230"/>
      <c r="E450" s="230"/>
      <c r="F450" s="230"/>
      <c r="G450" s="230"/>
      <c r="H450" s="230"/>
      <c r="I450" s="230"/>
      <c r="J450" s="230"/>
      <c r="K450" s="230"/>
      <c r="L450" s="230"/>
      <c r="M450" s="230"/>
      <c r="N450" s="230"/>
      <c r="O450" s="230"/>
      <c r="P450" s="230"/>
      <c r="Q450" s="230"/>
      <c r="R450" s="230"/>
      <c r="S450" s="230"/>
      <c r="T450" s="230"/>
      <c r="U450" s="230"/>
      <c r="V450" s="230"/>
      <c r="W450" s="230"/>
      <c r="X450" s="230"/>
      <c r="Y450" s="230"/>
      <c r="Z450" s="230"/>
    </row>
    <row r="451" spans="1:26" ht="15.75" customHeight="1">
      <c r="A451" s="230"/>
      <c r="B451" s="230"/>
      <c r="C451" s="230"/>
      <c r="D451" s="230"/>
      <c r="E451" s="230"/>
      <c r="F451" s="230"/>
      <c r="G451" s="230"/>
      <c r="H451" s="230"/>
      <c r="I451" s="230"/>
      <c r="J451" s="230"/>
      <c r="K451" s="230"/>
      <c r="L451" s="230"/>
      <c r="M451" s="230"/>
      <c r="N451" s="230"/>
      <c r="O451" s="230"/>
      <c r="P451" s="230"/>
      <c r="Q451" s="230"/>
      <c r="R451" s="230"/>
      <c r="S451" s="230"/>
      <c r="T451" s="230"/>
      <c r="U451" s="230"/>
      <c r="V451" s="230"/>
      <c r="W451" s="230"/>
      <c r="X451" s="230"/>
      <c r="Y451" s="230"/>
      <c r="Z451" s="230"/>
    </row>
    <row r="452" spans="1:26" ht="15.75" customHeight="1">
      <c r="A452" s="230"/>
      <c r="B452" s="230"/>
      <c r="C452" s="230"/>
      <c r="D452" s="230"/>
      <c r="E452" s="230"/>
      <c r="F452" s="230"/>
      <c r="G452" s="230"/>
      <c r="H452" s="230"/>
      <c r="I452" s="230"/>
      <c r="J452" s="230"/>
      <c r="K452" s="230"/>
      <c r="L452" s="230"/>
      <c r="M452" s="230"/>
      <c r="N452" s="230"/>
      <c r="O452" s="230"/>
      <c r="P452" s="230"/>
      <c r="Q452" s="230"/>
      <c r="R452" s="230"/>
      <c r="S452" s="230"/>
      <c r="T452" s="230"/>
      <c r="U452" s="230"/>
      <c r="V452" s="230"/>
      <c r="W452" s="230"/>
      <c r="X452" s="230"/>
      <c r="Y452" s="230"/>
      <c r="Z452" s="230"/>
    </row>
    <row r="453" spans="1:26" ht="15.75" customHeight="1">
      <c r="A453" s="230"/>
      <c r="B453" s="230"/>
      <c r="C453" s="230"/>
      <c r="D453" s="230"/>
      <c r="E453" s="230"/>
      <c r="F453" s="230"/>
      <c r="G453" s="230"/>
      <c r="H453" s="230"/>
      <c r="I453" s="230"/>
      <c r="J453" s="230"/>
      <c r="K453" s="230"/>
      <c r="L453" s="230"/>
      <c r="M453" s="230"/>
      <c r="N453" s="230"/>
      <c r="O453" s="230"/>
      <c r="P453" s="230"/>
      <c r="Q453" s="230"/>
      <c r="R453" s="230"/>
      <c r="S453" s="230"/>
      <c r="T453" s="230"/>
      <c r="U453" s="230"/>
      <c r="V453" s="230"/>
      <c r="W453" s="230"/>
      <c r="X453" s="230"/>
      <c r="Y453" s="230"/>
      <c r="Z453" s="230"/>
    </row>
    <row r="454" spans="1:26" ht="15.75" customHeight="1">
      <c r="A454" s="230"/>
      <c r="B454" s="230"/>
      <c r="C454" s="230"/>
      <c r="D454" s="230"/>
      <c r="E454" s="230"/>
      <c r="F454" s="230"/>
      <c r="G454" s="230"/>
      <c r="H454" s="230"/>
      <c r="I454" s="230"/>
      <c r="J454" s="230"/>
      <c r="K454" s="230"/>
      <c r="L454" s="230"/>
      <c r="M454" s="230"/>
      <c r="N454" s="230"/>
      <c r="O454" s="230"/>
      <c r="P454" s="230"/>
      <c r="Q454" s="230"/>
      <c r="R454" s="230"/>
      <c r="S454" s="230"/>
      <c r="T454" s="230"/>
      <c r="U454" s="230"/>
      <c r="V454" s="230"/>
      <c r="W454" s="230"/>
      <c r="X454" s="230"/>
      <c r="Y454" s="230"/>
      <c r="Z454" s="230"/>
    </row>
    <row r="455" spans="1:26" ht="15.75" customHeight="1">
      <c r="A455" s="230"/>
      <c r="B455" s="230"/>
      <c r="C455" s="230"/>
      <c r="D455" s="230"/>
      <c r="E455" s="230"/>
      <c r="F455" s="230"/>
      <c r="G455" s="230"/>
      <c r="H455" s="230"/>
      <c r="I455" s="230"/>
      <c r="J455" s="230"/>
      <c r="K455" s="230"/>
      <c r="L455" s="230"/>
      <c r="M455" s="230"/>
      <c r="N455" s="230"/>
      <c r="O455" s="230"/>
      <c r="P455" s="230"/>
      <c r="Q455" s="230"/>
      <c r="R455" s="230"/>
      <c r="S455" s="230"/>
      <c r="T455" s="230"/>
      <c r="U455" s="230"/>
      <c r="V455" s="230"/>
      <c r="W455" s="230"/>
      <c r="X455" s="230"/>
      <c r="Y455" s="230"/>
      <c r="Z455" s="230"/>
    </row>
    <row r="456" spans="1:26" ht="15.75" customHeight="1">
      <c r="A456" s="230"/>
      <c r="B456" s="230"/>
      <c r="C456" s="230"/>
      <c r="D456" s="230"/>
      <c r="E456" s="230"/>
      <c r="F456" s="230"/>
      <c r="G456" s="230"/>
      <c r="H456" s="230"/>
      <c r="I456" s="230"/>
      <c r="J456" s="230"/>
      <c r="K456" s="230"/>
      <c r="L456" s="230"/>
      <c r="M456" s="230"/>
      <c r="N456" s="230"/>
      <c r="O456" s="230"/>
      <c r="P456" s="230"/>
      <c r="Q456" s="230"/>
      <c r="R456" s="230"/>
      <c r="S456" s="230"/>
      <c r="T456" s="230"/>
      <c r="U456" s="230"/>
      <c r="V456" s="230"/>
      <c r="W456" s="230"/>
      <c r="X456" s="230"/>
      <c r="Y456" s="230"/>
      <c r="Z456" s="230"/>
    </row>
    <row r="457" spans="1:26" ht="15.75" customHeight="1">
      <c r="A457" s="230"/>
      <c r="B457" s="230"/>
      <c r="C457" s="230"/>
      <c r="D457" s="230"/>
      <c r="E457" s="230"/>
      <c r="F457" s="230"/>
      <c r="G457" s="230"/>
      <c r="H457" s="230"/>
      <c r="I457" s="230"/>
      <c r="J457" s="230"/>
      <c r="K457" s="230"/>
      <c r="L457" s="230"/>
      <c r="M457" s="230"/>
      <c r="N457" s="230"/>
      <c r="O457" s="230"/>
      <c r="P457" s="230"/>
      <c r="Q457" s="230"/>
      <c r="R457" s="230"/>
      <c r="S457" s="230"/>
      <c r="T457" s="230"/>
      <c r="U457" s="230"/>
      <c r="V457" s="230"/>
      <c r="W457" s="230"/>
      <c r="X457" s="230"/>
      <c r="Y457" s="230"/>
      <c r="Z457" s="230"/>
    </row>
    <row r="458" spans="1:26" ht="15.75" customHeight="1">
      <c r="A458" s="230"/>
      <c r="B458" s="230"/>
      <c r="C458" s="230"/>
      <c r="D458" s="230"/>
      <c r="E458" s="230"/>
      <c r="F458" s="230"/>
      <c r="G458" s="230"/>
      <c r="H458" s="230"/>
      <c r="I458" s="230"/>
      <c r="J458" s="230"/>
      <c r="K458" s="230"/>
      <c r="L458" s="230"/>
      <c r="M458" s="230"/>
      <c r="N458" s="230"/>
      <c r="O458" s="230"/>
      <c r="P458" s="230"/>
      <c r="Q458" s="230"/>
      <c r="R458" s="230"/>
      <c r="S458" s="230"/>
      <c r="T458" s="230"/>
      <c r="U458" s="230"/>
      <c r="V458" s="230"/>
      <c r="W458" s="230"/>
      <c r="X458" s="230"/>
      <c r="Y458" s="230"/>
      <c r="Z458" s="230"/>
    </row>
    <row r="459" spans="1:26" ht="15.75" customHeight="1">
      <c r="A459" s="230"/>
      <c r="B459" s="230"/>
      <c r="C459" s="230"/>
      <c r="D459" s="230"/>
      <c r="E459" s="230"/>
      <c r="F459" s="230"/>
      <c r="G459" s="230"/>
      <c r="H459" s="230"/>
      <c r="I459" s="230"/>
      <c r="J459" s="230"/>
      <c r="K459" s="230"/>
      <c r="L459" s="230"/>
      <c r="M459" s="230"/>
      <c r="N459" s="230"/>
      <c r="O459" s="230"/>
      <c r="P459" s="230"/>
      <c r="Q459" s="230"/>
      <c r="R459" s="230"/>
      <c r="S459" s="230"/>
      <c r="T459" s="230"/>
      <c r="U459" s="230"/>
      <c r="V459" s="230"/>
      <c r="W459" s="230"/>
      <c r="X459" s="230"/>
      <c r="Y459" s="230"/>
      <c r="Z459" s="230"/>
    </row>
    <row r="460" spans="1:26" ht="15.75" customHeight="1">
      <c r="A460" s="230"/>
      <c r="B460" s="230"/>
      <c r="C460" s="230"/>
      <c r="D460" s="230"/>
      <c r="E460" s="230"/>
      <c r="F460" s="230"/>
      <c r="G460" s="230"/>
      <c r="H460" s="230"/>
      <c r="I460" s="230"/>
      <c r="J460" s="230"/>
      <c r="K460" s="230"/>
      <c r="L460" s="230"/>
      <c r="M460" s="230"/>
      <c r="N460" s="230"/>
      <c r="O460" s="230"/>
      <c r="P460" s="230"/>
      <c r="Q460" s="230"/>
      <c r="R460" s="230"/>
      <c r="S460" s="230"/>
      <c r="T460" s="230"/>
      <c r="U460" s="230"/>
      <c r="V460" s="230"/>
      <c r="W460" s="230"/>
      <c r="X460" s="230"/>
      <c r="Y460" s="230"/>
      <c r="Z460" s="230"/>
    </row>
    <row r="461" spans="1:26" ht="15.75" customHeight="1">
      <c r="A461" s="230"/>
      <c r="B461" s="230"/>
      <c r="C461" s="230"/>
      <c r="D461" s="230"/>
      <c r="E461" s="230"/>
      <c r="F461" s="230"/>
      <c r="G461" s="230"/>
      <c r="H461" s="230"/>
      <c r="I461" s="230"/>
      <c r="J461" s="230"/>
      <c r="K461" s="230"/>
      <c r="L461" s="230"/>
      <c r="M461" s="230"/>
      <c r="N461" s="230"/>
      <c r="O461" s="230"/>
      <c r="P461" s="230"/>
      <c r="Q461" s="230"/>
      <c r="R461" s="230"/>
      <c r="S461" s="230"/>
      <c r="T461" s="230"/>
      <c r="U461" s="230"/>
      <c r="V461" s="230"/>
      <c r="W461" s="230"/>
      <c r="X461" s="230"/>
      <c r="Y461" s="230"/>
      <c r="Z461" s="230"/>
    </row>
    <row r="462" spans="1:26" ht="15.75" customHeight="1">
      <c r="A462" s="230"/>
      <c r="B462" s="230"/>
      <c r="C462" s="230"/>
      <c r="D462" s="230"/>
      <c r="E462" s="230"/>
      <c r="F462" s="230"/>
      <c r="G462" s="230"/>
      <c r="H462" s="230"/>
      <c r="I462" s="230"/>
      <c r="J462" s="230"/>
      <c r="K462" s="230"/>
      <c r="L462" s="230"/>
      <c r="M462" s="230"/>
      <c r="N462" s="230"/>
      <c r="O462" s="230"/>
      <c r="P462" s="230"/>
      <c r="Q462" s="230"/>
      <c r="R462" s="230"/>
      <c r="S462" s="230"/>
      <c r="T462" s="230"/>
      <c r="U462" s="230"/>
      <c r="V462" s="230"/>
      <c r="W462" s="230"/>
      <c r="X462" s="230"/>
      <c r="Y462" s="230"/>
      <c r="Z462" s="230"/>
    </row>
    <row r="463" spans="1:26" ht="15.75" customHeight="1">
      <c r="A463" s="230"/>
      <c r="B463" s="230"/>
      <c r="C463" s="230"/>
      <c r="D463" s="230"/>
      <c r="E463" s="230"/>
      <c r="F463" s="230"/>
      <c r="G463" s="230"/>
      <c r="H463" s="230"/>
      <c r="I463" s="230"/>
      <c r="J463" s="230"/>
      <c r="K463" s="230"/>
      <c r="L463" s="230"/>
      <c r="M463" s="230"/>
      <c r="N463" s="230"/>
      <c r="O463" s="230"/>
      <c r="P463" s="230"/>
      <c r="Q463" s="230"/>
      <c r="R463" s="230"/>
      <c r="S463" s="230"/>
      <c r="T463" s="230"/>
      <c r="U463" s="230"/>
      <c r="V463" s="230"/>
      <c r="W463" s="230"/>
      <c r="X463" s="230"/>
      <c r="Y463" s="230"/>
      <c r="Z463" s="230"/>
    </row>
    <row r="464" spans="1:26" ht="15.75" customHeight="1">
      <c r="A464" s="230"/>
      <c r="B464" s="230"/>
      <c r="C464" s="230"/>
      <c r="D464" s="230"/>
      <c r="E464" s="230"/>
      <c r="F464" s="230"/>
      <c r="G464" s="230"/>
      <c r="H464" s="230"/>
      <c r="I464" s="230"/>
      <c r="J464" s="230"/>
      <c r="K464" s="230"/>
      <c r="L464" s="230"/>
      <c r="M464" s="230"/>
      <c r="N464" s="230"/>
      <c r="O464" s="230"/>
      <c r="P464" s="230"/>
      <c r="Q464" s="230"/>
      <c r="R464" s="230"/>
      <c r="S464" s="230"/>
      <c r="T464" s="230"/>
      <c r="U464" s="230"/>
      <c r="V464" s="230"/>
      <c r="W464" s="230"/>
      <c r="X464" s="230"/>
      <c r="Y464" s="230"/>
      <c r="Z464" s="230"/>
    </row>
    <row r="465" spans="1:26" ht="15.75" customHeight="1">
      <c r="A465" s="230"/>
      <c r="B465" s="230"/>
      <c r="C465" s="230"/>
      <c r="D465" s="230"/>
      <c r="E465" s="230"/>
      <c r="F465" s="230"/>
      <c r="G465" s="230"/>
      <c r="H465" s="230"/>
      <c r="I465" s="230"/>
      <c r="J465" s="230"/>
      <c r="K465" s="230"/>
      <c r="L465" s="230"/>
      <c r="M465" s="230"/>
      <c r="N465" s="230"/>
      <c r="O465" s="230"/>
      <c r="P465" s="230"/>
      <c r="Q465" s="230"/>
      <c r="R465" s="230"/>
      <c r="S465" s="230"/>
      <c r="T465" s="230"/>
      <c r="U465" s="230"/>
      <c r="V465" s="230"/>
      <c r="W465" s="230"/>
      <c r="X465" s="230"/>
      <c r="Y465" s="230"/>
      <c r="Z465" s="230"/>
    </row>
    <row r="466" spans="1:26" ht="15.75" customHeight="1">
      <c r="A466" s="230"/>
      <c r="B466" s="230"/>
      <c r="C466" s="230"/>
      <c r="D466" s="230"/>
      <c r="E466" s="230"/>
      <c r="F466" s="230"/>
      <c r="G466" s="230"/>
      <c r="H466" s="230"/>
      <c r="I466" s="230"/>
      <c r="J466" s="230"/>
      <c r="K466" s="230"/>
      <c r="L466" s="230"/>
      <c r="M466" s="230"/>
      <c r="N466" s="230"/>
      <c r="O466" s="230"/>
      <c r="P466" s="230"/>
      <c r="Q466" s="230"/>
      <c r="R466" s="230"/>
      <c r="S466" s="230"/>
      <c r="T466" s="230"/>
      <c r="U466" s="230"/>
      <c r="V466" s="230"/>
      <c r="W466" s="230"/>
      <c r="X466" s="230"/>
      <c r="Y466" s="230"/>
      <c r="Z466" s="230"/>
    </row>
    <row r="467" spans="1:26" ht="15.75" customHeight="1">
      <c r="A467" s="230"/>
      <c r="B467" s="230"/>
      <c r="C467" s="230"/>
      <c r="D467" s="230"/>
      <c r="E467" s="230"/>
      <c r="F467" s="230"/>
      <c r="G467" s="230"/>
      <c r="H467" s="230"/>
      <c r="I467" s="230"/>
      <c r="J467" s="230"/>
      <c r="K467" s="230"/>
      <c r="L467" s="230"/>
      <c r="M467" s="230"/>
      <c r="N467" s="230"/>
      <c r="O467" s="230"/>
      <c r="P467" s="230"/>
      <c r="Q467" s="230"/>
      <c r="R467" s="230"/>
      <c r="S467" s="230"/>
      <c r="T467" s="230"/>
      <c r="U467" s="230"/>
      <c r="V467" s="230"/>
      <c r="W467" s="230"/>
      <c r="X467" s="230"/>
      <c r="Y467" s="230"/>
      <c r="Z467" s="230"/>
    </row>
    <row r="468" spans="1:26" ht="15.75" customHeight="1">
      <c r="A468" s="230"/>
      <c r="B468" s="230"/>
      <c r="C468" s="230"/>
      <c r="D468" s="230"/>
      <c r="E468" s="230"/>
      <c r="F468" s="230"/>
      <c r="G468" s="230"/>
      <c r="H468" s="230"/>
      <c r="I468" s="230"/>
      <c r="J468" s="230"/>
      <c r="K468" s="230"/>
      <c r="L468" s="230"/>
      <c r="M468" s="230"/>
      <c r="N468" s="230"/>
      <c r="O468" s="230"/>
      <c r="P468" s="230"/>
      <c r="Q468" s="230"/>
      <c r="R468" s="230"/>
      <c r="S468" s="230"/>
      <c r="T468" s="230"/>
      <c r="U468" s="230"/>
      <c r="V468" s="230"/>
      <c r="W468" s="230"/>
      <c r="X468" s="230"/>
      <c r="Y468" s="230"/>
      <c r="Z468" s="230"/>
    </row>
    <row r="469" spans="1:26" ht="15.75" customHeight="1">
      <c r="A469" s="230"/>
      <c r="B469" s="230"/>
      <c r="C469" s="230"/>
      <c r="D469" s="230"/>
      <c r="E469" s="230"/>
      <c r="F469" s="230"/>
      <c r="G469" s="230"/>
      <c r="H469" s="230"/>
      <c r="I469" s="230"/>
      <c r="J469" s="230"/>
      <c r="K469" s="230"/>
      <c r="L469" s="230"/>
      <c r="M469" s="230"/>
      <c r="N469" s="230"/>
      <c r="O469" s="230"/>
      <c r="P469" s="230"/>
      <c r="Q469" s="230"/>
      <c r="R469" s="230"/>
      <c r="S469" s="230"/>
      <c r="T469" s="230"/>
      <c r="U469" s="230"/>
      <c r="V469" s="230"/>
      <c r="W469" s="230"/>
      <c r="X469" s="230"/>
      <c r="Y469" s="230"/>
      <c r="Z469" s="230"/>
    </row>
    <row r="470" spans="1:26" ht="15.75" customHeight="1">
      <c r="A470" s="230"/>
      <c r="B470" s="230"/>
      <c r="C470" s="230"/>
      <c r="D470" s="230"/>
      <c r="E470" s="230"/>
      <c r="F470" s="230"/>
      <c r="G470" s="230"/>
      <c r="H470" s="230"/>
      <c r="I470" s="230"/>
      <c r="J470" s="230"/>
      <c r="K470" s="230"/>
      <c r="L470" s="230"/>
      <c r="M470" s="230"/>
      <c r="N470" s="230"/>
      <c r="O470" s="230"/>
      <c r="P470" s="230"/>
      <c r="Q470" s="230"/>
      <c r="R470" s="230"/>
      <c r="S470" s="230"/>
      <c r="T470" s="230"/>
      <c r="U470" s="230"/>
      <c r="V470" s="230"/>
      <c r="W470" s="230"/>
      <c r="X470" s="230"/>
      <c r="Y470" s="230"/>
      <c r="Z470" s="230"/>
    </row>
    <row r="471" spans="1:26" ht="15.75" customHeight="1">
      <c r="A471" s="230"/>
      <c r="B471" s="230"/>
      <c r="C471" s="230"/>
      <c r="D471" s="230"/>
      <c r="E471" s="230"/>
      <c r="F471" s="230"/>
      <c r="G471" s="230"/>
      <c r="H471" s="230"/>
      <c r="I471" s="230"/>
      <c r="J471" s="230"/>
      <c r="K471" s="230"/>
      <c r="L471" s="230"/>
      <c r="M471" s="230"/>
      <c r="N471" s="230"/>
      <c r="O471" s="230"/>
      <c r="P471" s="230"/>
      <c r="Q471" s="230"/>
      <c r="R471" s="230"/>
      <c r="S471" s="230"/>
      <c r="T471" s="230"/>
      <c r="U471" s="230"/>
      <c r="V471" s="230"/>
      <c r="W471" s="230"/>
      <c r="X471" s="230"/>
      <c r="Y471" s="230"/>
      <c r="Z471" s="230"/>
    </row>
    <row r="472" spans="1:26" ht="15.75" customHeight="1">
      <c r="A472" s="230"/>
      <c r="B472" s="230"/>
      <c r="C472" s="230"/>
      <c r="D472" s="230"/>
      <c r="E472" s="230"/>
      <c r="F472" s="230"/>
      <c r="G472" s="230"/>
      <c r="H472" s="230"/>
      <c r="I472" s="230"/>
      <c r="J472" s="230"/>
      <c r="K472" s="230"/>
      <c r="L472" s="230"/>
      <c r="M472" s="230"/>
      <c r="N472" s="230"/>
      <c r="O472" s="230"/>
      <c r="P472" s="230"/>
      <c r="Q472" s="230"/>
      <c r="R472" s="230"/>
      <c r="S472" s="230"/>
      <c r="T472" s="230"/>
      <c r="U472" s="230"/>
      <c r="V472" s="230"/>
      <c r="W472" s="230"/>
      <c r="X472" s="230"/>
      <c r="Y472" s="230"/>
      <c r="Z472" s="230"/>
    </row>
    <row r="473" spans="1:26" ht="15.75" customHeight="1">
      <c r="A473" s="230"/>
      <c r="B473" s="230"/>
      <c r="C473" s="230"/>
      <c r="D473" s="230"/>
      <c r="E473" s="230"/>
      <c r="F473" s="230"/>
      <c r="G473" s="230"/>
      <c r="H473" s="230"/>
      <c r="I473" s="230"/>
      <c r="J473" s="230"/>
      <c r="K473" s="230"/>
      <c r="L473" s="230"/>
      <c r="M473" s="230"/>
      <c r="N473" s="230"/>
      <c r="O473" s="230"/>
      <c r="P473" s="230"/>
      <c r="Q473" s="230"/>
      <c r="R473" s="230"/>
      <c r="S473" s="230"/>
      <c r="T473" s="230"/>
      <c r="U473" s="230"/>
      <c r="V473" s="230"/>
      <c r="W473" s="230"/>
      <c r="X473" s="230"/>
      <c r="Y473" s="230"/>
      <c r="Z473" s="230"/>
    </row>
    <row r="474" spans="1:26" ht="15.75" customHeight="1">
      <c r="A474" s="230"/>
      <c r="B474" s="230"/>
      <c r="C474" s="230"/>
      <c r="D474" s="230"/>
      <c r="E474" s="230"/>
      <c r="F474" s="230"/>
      <c r="G474" s="230"/>
      <c r="H474" s="230"/>
      <c r="I474" s="230"/>
      <c r="J474" s="230"/>
      <c r="K474" s="230"/>
      <c r="L474" s="230"/>
      <c r="M474" s="230"/>
      <c r="N474" s="230"/>
      <c r="O474" s="230"/>
      <c r="P474" s="230"/>
      <c r="Q474" s="230"/>
      <c r="R474" s="230"/>
      <c r="S474" s="230"/>
      <c r="T474" s="230"/>
      <c r="U474" s="230"/>
      <c r="V474" s="230"/>
      <c r="W474" s="230"/>
      <c r="X474" s="230"/>
      <c r="Y474" s="230"/>
      <c r="Z474" s="230"/>
    </row>
    <row r="475" spans="1:26" ht="15.75" customHeight="1">
      <c r="A475" s="230"/>
      <c r="B475" s="230"/>
      <c r="C475" s="230"/>
      <c r="D475" s="230"/>
      <c r="E475" s="230"/>
      <c r="F475" s="230"/>
      <c r="G475" s="230"/>
      <c r="H475" s="230"/>
      <c r="I475" s="230"/>
      <c r="J475" s="230"/>
      <c r="K475" s="230"/>
      <c r="L475" s="230"/>
      <c r="M475" s="230"/>
      <c r="N475" s="230"/>
      <c r="O475" s="230"/>
      <c r="P475" s="230"/>
      <c r="Q475" s="230"/>
      <c r="R475" s="230"/>
      <c r="S475" s="230"/>
      <c r="T475" s="230"/>
      <c r="U475" s="230"/>
      <c r="V475" s="230"/>
      <c r="W475" s="230"/>
      <c r="X475" s="230"/>
      <c r="Y475" s="230"/>
      <c r="Z475" s="230"/>
    </row>
    <row r="476" spans="1:26" ht="15.75" customHeight="1">
      <c r="A476" s="230"/>
      <c r="B476" s="230"/>
      <c r="C476" s="230"/>
      <c r="D476" s="230"/>
      <c r="E476" s="230"/>
      <c r="F476" s="230"/>
      <c r="G476" s="230"/>
      <c r="H476" s="230"/>
      <c r="I476" s="230"/>
      <c r="J476" s="230"/>
      <c r="K476" s="230"/>
      <c r="L476" s="230"/>
      <c r="M476" s="230"/>
      <c r="N476" s="230"/>
      <c r="O476" s="230"/>
      <c r="P476" s="230"/>
      <c r="Q476" s="230"/>
      <c r="R476" s="230"/>
      <c r="S476" s="230"/>
      <c r="T476" s="230"/>
      <c r="U476" s="230"/>
      <c r="V476" s="230"/>
      <c r="W476" s="230"/>
      <c r="X476" s="230"/>
      <c r="Y476" s="230"/>
      <c r="Z476" s="230"/>
    </row>
    <row r="477" spans="1:26" ht="15.75" customHeight="1">
      <c r="A477" s="230"/>
      <c r="B477" s="230"/>
      <c r="C477" s="230"/>
      <c r="D477" s="230"/>
      <c r="E477" s="230"/>
      <c r="F477" s="230"/>
      <c r="G477" s="230"/>
      <c r="H477" s="230"/>
      <c r="I477" s="230"/>
      <c r="J477" s="230"/>
      <c r="K477" s="230"/>
      <c r="L477" s="230"/>
      <c r="M477" s="230"/>
      <c r="N477" s="230"/>
      <c r="O477" s="230"/>
      <c r="P477" s="230"/>
      <c r="Q477" s="230"/>
      <c r="R477" s="230"/>
      <c r="S477" s="230"/>
      <c r="T477" s="230"/>
      <c r="U477" s="230"/>
      <c r="V477" s="230"/>
      <c r="W477" s="230"/>
      <c r="X477" s="230"/>
      <c r="Y477" s="230"/>
      <c r="Z477" s="230"/>
    </row>
    <row r="478" spans="1:26" ht="15.75" customHeight="1">
      <c r="A478" s="230"/>
      <c r="B478" s="230"/>
      <c r="C478" s="230"/>
      <c r="D478" s="230"/>
      <c r="E478" s="230"/>
      <c r="F478" s="230"/>
      <c r="G478" s="230"/>
      <c r="H478" s="230"/>
      <c r="I478" s="230"/>
      <c r="J478" s="230"/>
      <c r="K478" s="230"/>
      <c r="L478" s="230"/>
      <c r="M478" s="230"/>
      <c r="N478" s="230"/>
      <c r="O478" s="230"/>
      <c r="P478" s="230"/>
      <c r="Q478" s="230"/>
      <c r="R478" s="230"/>
      <c r="S478" s="230"/>
      <c r="T478" s="230"/>
      <c r="U478" s="230"/>
      <c r="V478" s="230"/>
      <c r="W478" s="230"/>
      <c r="X478" s="230"/>
      <c r="Y478" s="230"/>
      <c r="Z478" s="230"/>
    </row>
    <row r="479" spans="1:26" ht="15.75" customHeight="1">
      <c r="A479" s="230"/>
      <c r="B479" s="230"/>
      <c r="C479" s="230"/>
      <c r="D479" s="230"/>
      <c r="E479" s="230"/>
      <c r="F479" s="230"/>
      <c r="G479" s="230"/>
      <c r="H479" s="230"/>
      <c r="I479" s="230"/>
      <c r="J479" s="230"/>
      <c r="K479" s="230"/>
      <c r="L479" s="230"/>
      <c r="M479" s="230"/>
      <c r="N479" s="230"/>
      <c r="O479" s="230"/>
      <c r="P479" s="230"/>
      <c r="Q479" s="230"/>
      <c r="R479" s="230"/>
      <c r="S479" s="230"/>
      <c r="T479" s="230"/>
      <c r="U479" s="230"/>
      <c r="V479" s="230"/>
      <c r="W479" s="230"/>
      <c r="X479" s="230"/>
      <c r="Y479" s="230"/>
      <c r="Z479" s="230"/>
    </row>
    <row r="480" spans="1:26" ht="15.75" customHeight="1">
      <c r="A480" s="230"/>
      <c r="B480" s="230"/>
      <c r="C480" s="230"/>
      <c r="D480" s="230"/>
      <c r="E480" s="230"/>
      <c r="F480" s="230"/>
      <c r="G480" s="230"/>
      <c r="H480" s="230"/>
      <c r="I480" s="230"/>
      <c r="J480" s="230"/>
      <c r="K480" s="230"/>
      <c r="L480" s="230"/>
      <c r="M480" s="230"/>
      <c r="N480" s="230"/>
      <c r="O480" s="230"/>
      <c r="P480" s="230"/>
      <c r="Q480" s="230"/>
      <c r="R480" s="230"/>
      <c r="S480" s="230"/>
      <c r="T480" s="230"/>
      <c r="U480" s="230"/>
      <c r="V480" s="230"/>
      <c r="W480" s="230"/>
      <c r="X480" s="230"/>
      <c r="Y480" s="230"/>
      <c r="Z480" s="230"/>
    </row>
    <row r="481" spans="1:26" ht="15.75" customHeight="1">
      <c r="A481" s="230"/>
      <c r="B481" s="230"/>
      <c r="C481" s="230"/>
      <c r="D481" s="230"/>
      <c r="E481" s="230"/>
      <c r="F481" s="230"/>
      <c r="G481" s="230"/>
      <c r="H481" s="230"/>
      <c r="I481" s="230"/>
      <c r="J481" s="230"/>
      <c r="K481" s="230"/>
      <c r="L481" s="230"/>
      <c r="M481" s="230"/>
      <c r="N481" s="230"/>
      <c r="O481" s="230"/>
      <c r="P481" s="230"/>
      <c r="Q481" s="230"/>
      <c r="R481" s="230"/>
      <c r="S481" s="230"/>
      <c r="T481" s="230"/>
      <c r="U481" s="230"/>
      <c r="V481" s="230"/>
      <c r="W481" s="230"/>
      <c r="X481" s="230"/>
      <c r="Y481" s="230"/>
      <c r="Z481" s="230"/>
    </row>
    <row r="482" spans="1:26" ht="15.75" customHeight="1">
      <c r="A482" s="230"/>
      <c r="B482" s="230"/>
      <c r="C482" s="230"/>
      <c r="D482" s="230"/>
      <c r="E482" s="230"/>
      <c r="F482" s="230"/>
      <c r="G482" s="230"/>
      <c r="H482" s="230"/>
      <c r="I482" s="230"/>
      <c r="J482" s="230"/>
      <c r="K482" s="230"/>
      <c r="L482" s="230"/>
      <c r="M482" s="230"/>
      <c r="N482" s="230"/>
      <c r="O482" s="230"/>
      <c r="P482" s="230"/>
      <c r="Q482" s="230"/>
      <c r="R482" s="230"/>
      <c r="S482" s="230"/>
      <c r="T482" s="230"/>
      <c r="U482" s="230"/>
      <c r="V482" s="230"/>
      <c r="W482" s="230"/>
      <c r="X482" s="230"/>
      <c r="Y482" s="230"/>
      <c r="Z482" s="230"/>
    </row>
    <row r="483" spans="1:26" ht="15.75" customHeight="1">
      <c r="A483" s="230"/>
      <c r="B483" s="230"/>
      <c r="C483" s="230"/>
      <c r="D483" s="230"/>
      <c r="E483" s="230"/>
      <c r="F483" s="230"/>
      <c r="G483" s="230"/>
      <c r="H483" s="230"/>
      <c r="I483" s="230"/>
      <c r="J483" s="230"/>
      <c r="K483" s="230"/>
      <c r="L483" s="230"/>
      <c r="M483" s="230"/>
      <c r="N483" s="230"/>
      <c r="O483" s="230"/>
      <c r="P483" s="230"/>
      <c r="Q483" s="230"/>
      <c r="R483" s="230"/>
      <c r="S483" s="230"/>
      <c r="T483" s="230"/>
      <c r="U483" s="230"/>
      <c r="V483" s="230"/>
      <c r="W483" s="230"/>
      <c r="X483" s="230"/>
      <c r="Y483" s="230"/>
      <c r="Z483" s="230"/>
    </row>
    <row r="484" spans="1:26" ht="15.75" customHeight="1">
      <c r="A484" s="230"/>
      <c r="B484" s="230"/>
      <c r="C484" s="230"/>
      <c r="D484" s="230"/>
      <c r="E484" s="230"/>
      <c r="F484" s="230"/>
      <c r="G484" s="230"/>
      <c r="H484" s="230"/>
      <c r="I484" s="230"/>
      <c r="J484" s="230"/>
      <c r="K484" s="230"/>
      <c r="L484" s="230"/>
      <c r="M484" s="230"/>
      <c r="N484" s="230"/>
      <c r="O484" s="230"/>
      <c r="P484" s="230"/>
      <c r="Q484" s="230"/>
      <c r="R484" s="230"/>
      <c r="S484" s="230"/>
      <c r="T484" s="230"/>
      <c r="U484" s="230"/>
      <c r="V484" s="230"/>
      <c r="W484" s="230"/>
      <c r="X484" s="230"/>
      <c r="Y484" s="230"/>
      <c r="Z484" s="230"/>
    </row>
    <row r="485" spans="1:26" ht="15.75" customHeight="1">
      <c r="A485" s="230"/>
      <c r="B485" s="230"/>
      <c r="C485" s="230"/>
      <c r="D485" s="230"/>
      <c r="E485" s="230"/>
      <c r="F485" s="230"/>
      <c r="G485" s="230"/>
      <c r="H485" s="230"/>
      <c r="I485" s="230"/>
      <c r="J485" s="230"/>
      <c r="K485" s="230"/>
      <c r="L485" s="230"/>
      <c r="M485" s="230"/>
      <c r="N485" s="230"/>
      <c r="O485" s="230"/>
      <c r="P485" s="230"/>
      <c r="Q485" s="230"/>
      <c r="R485" s="230"/>
      <c r="S485" s="230"/>
      <c r="T485" s="230"/>
      <c r="U485" s="230"/>
      <c r="V485" s="230"/>
      <c r="W485" s="230"/>
      <c r="X485" s="230"/>
      <c r="Y485" s="230"/>
      <c r="Z485" s="230"/>
    </row>
    <row r="486" spans="1:26" ht="15.75" customHeight="1">
      <c r="A486" s="230"/>
      <c r="B486" s="230"/>
      <c r="C486" s="230"/>
      <c r="D486" s="230"/>
      <c r="E486" s="230"/>
      <c r="F486" s="230"/>
      <c r="G486" s="230"/>
      <c r="H486" s="230"/>
      <c r="I486" s="230"/>
      <c r="J486" s="230"/>
      <c r="K486" s="230"/>
      <c r="L486" s="230"/>
      <c r="M486" s="230"/>
      <c r="N486" s="230"/>
      <c r="O486" s="230"/>
      <c r="P486" s="230"/>
      <c r="Q486" s="230"/>
      <c r="R486" s="230"/>
      <c r="S486" s="230"/>
      <c r="T486" s="230"/>
      <c r="U486" s="230"/>
      <c r="V486" s="230"/>
      <c r="W486" s="230"/>
      <c r="X486" s="230"/>
      <c r="Y486" s="230"/>
      <c r="Z486" s="230"/>
    </row>
    <row r="487" spans="1:26" ht="15.75" customHeight="1">
      <c r="A487" s="230"/>
      <c r="B487" s="230"/>
      <c r="C487" s="230"/>
      <c r="D487" s="230"/>
      <c r="E487" s="230"/>
      <c r="F487" s="230"/>
      <c r="G487" s="230"/>
      <c r="H487" s="230"/>
      <c r="I487" s="230"/>
      <c r="J487" s="230"/>
      <c r="K487" s="230"/>
      <c r="L487" s="230"/>
      <c r="M487" s="230"/>
      <c r="N487" s="230"/>
      <c r="O487" s="230"/>
      <c r="P487" s="230"/>
      <c r="Q487" s="230"/>
      <c r="R487" s="230"/>
      <c r="S487" s="230"/>
      <c r="T487" s="230"/>
      <c r="U487" s="230"/>
      <c r="V487" s="230"/>
      <c r="W487" s="230"/>
      <c r="X487" s="230"/>
      <c r="Y487" s="230"/>
      <c r="Z487" s="230"/>
    </row>
    <row r="488" spans="1:26" ht="15.75" customHeight="1">
      <c r="A488" s="230"/>
      <c r="B488" s="230"/>
      <c r="C488" s="230"/>
      <c r="D488" s="230"/>
      <c r="E488" s="230"/>
      <c r="F488" s="230"/>
      <c r="G488" s="230"/>
      <c r="H488" s="230"/>
      <c r="I488" s="230"/>
      <c r="J488" s="230"/>
      <c r="K488" s="230"/>
      <c r="L488" s="230"/>
      <c r="M488" s="230"/>
      <c r="N488" s="230"/>
      <c r="O488" s="230"/>
      <c r="P488" s="230"/>
      <c r="Q488" s="230"/>
      <c r="R488" s="230"/>
      <c r="S488" s="230"/>
      <c r="T488" s="230"/>
      <c r="U488" s="230"/>
      <c r="V488" s="230"/>
      <c r="W488" s="230"/>
      <c r="X488" s="230"/>
      <c r="Y488" s="230"/>
      <c r="Z488" s="230"/>
    </row>
    <row r="489" spans="1:26" ht="15.75" customHeight="1">
      <c r="A489" s="230"/>
      <c r="B489" s="230"/>
      <c r="C489" s="230"/>
      <c r="D489" s="230"/>
      <c r="E489" s="230"/>
      <c r="F489" s="230"/>
      <c r="G489" s="230"/>
      <c r="H489" s="230"/>
      <c r="I489" s="230"/>
      <c r="J489" s="230"/>
      <c r="K489" s="230"/>
      <c r="L489" s="230"/>
      <c r="M489" s="230"/>
      <c r="N489" s="230"/>
      <c r="O489" s="230"/>
      <c r="P489" s="230"/>
      <c r="Q489" s="230"/>
      <c r="R489" s="230"/>
      <c r="S489" s="230"/>
      <c r="T489" s="230"/>
      <c r="U489" s="230"/>
      <c r="V489" s="230"/>
      <c r="W489" s="230"/>
      <c r="X489" s="230"/>
      <c r="Y489" s="230"/>
      <c r="Z489" s="230"/>
    </row>
    <row r="490" spans="1:26" ht="15.75" customHeight="1">
      <c r="A490" s="230"/>
      <c r="B490" s="230"/>
      <c r="C490" s="230"/>
      <c r="D490" s="230"/>
      <c r="E490" s="230"/>
      <c r="F490" s="230"/>
      <c r="G490" s="230"/>
      <c r="H490" s="230"/>
      <c r="I490" s="230"/>
      <c r="J490" s="230"/>
      <c r="K490" s="230"/>
      <c r="L490" s="230"/>
      <c r="M490" s="230"/>
      <c r="N490" s="230"/>
      <c r="O490" s="230"/>
      <c r="P490" s="230"/>
      <c r="Q490" s="230"/>
      <c r="R490" s="230"/>
      <c r="S490" s="230"/>
      <c r="T490" s="230"/>
      <c r="U490" s="230"/>
      <c r="V490" s="230"/>
      <c r="W490" s="230"/>
      <c r="X490" s="230"/>
      <c r="Y490" s="230"/>
      <c r="Z490" s="230"/>
    </row>
    <row r="491" spans="1:26" ht="15.75" customHeight="1">
      <c r="A491" s="230"/>
      <c r="B491" s="230"/>
      <c r="C491" s="230"/>
      <c r="D491" s="230"/>
      <c r="E491" s="230"/>
      <c r="F491" s="230"/>
      <c r="G491" s="230"/>
      <c r="H491" s="230"/>
      <c r="I491" s="230"/>
      <c r="J491" s="230"/>
      <c r="K491" s="230"/>
      <c r="L491" s="230"/>
      <c r="M491" s="230"/>
      <c r="N491" s="230"/>
      <c r="O491" s="230"/>
      <c r="P491" s="230"/>
      <c r="Q491" s="230"/>
      <c r="R491" s="230"/>
      <c r="S491" s="230"/>
      <c r="T491" s="230"/>
      <c r="U491" s="230"/>
      <c r="V491" s="230"/>
      <c r="W491" s="230"/>
      <c r="X491" s="230"/>
      <c r="Y491" s="230"/>
      <c r="Z491" s="230"/>
    </row>
    <row r="492" spans="1:26" ht="15.75" customHeight="1">
      <c r="A492" s="230"/>
      <c r="B492" s="230"/>
      <c r="C492" s="230"/>
      <c r="D492" s="230"/>
      <c r="E492" s="230"/>
      <c r="F492" s="230"/>
      <c r="G492" s="230"/>
      <c r="H492" s="230"/>
      <c r="I492" s="230"/>
      <c r="J492" s="230"/>
      <c r="K492" s="230"/>
      <c r="L492" s="230"/>
      <c r="M492" s="230"/>
      <c r="N492" s="230"/>
      <c r="O492" s="230"/>
      <c r="P492" s="230"/>
      <c r="Q492" s="230"/>
      <c r="R492" s="230"/>
      <c r="S492" s="230"/>
      <c r="T492" s="230"/>
      <c r="U492" s="230"/>
      <c r="V492" s="230"/>
      <c r="W492" s="230"/>
      <c r="X492" s="230"/>
      <c r="Y492" s="230"/>
      <c r="Z492" s="230"/>
    </row>
    <row r="493" spans="1:26" ht="15.75" customHeight="1">
      <c r="A493" s="230"/>
      <c r="B493" s="230"/>
      <c r="C493" s="230"/>
      <c r="D493" s="230"/>
      <c r="E493" s="230"/>
      <c r="F493" s="230"/>
      <c r="G493" s="230"/>
      <c r="H493" s="230"/>
      <c r="I493" s="230"/>
      <c r="J493" s="230"/>
      <c r="K493" s="230"/>
      <c r="L493" s="230"/>
      <c r="M493" s="230"/>
      <c r="N493" s="230"/>
      <c r="O493" s="230"/>
      <c r="P493" s="230"/>
      <c r="Q493" s="230"/>
      <c r="R493" s="230"/>
      <c r="S493" s="230"/>
      <c r="T493" s="230"/>
      <c r="U493" s="230"/>
      <c r="V493" s="230"/>
      <c r="W493" s="230"/>
      <c r="X493" s="230"/>
      <c r="Y493" s="230"/>
      <c r="Z493" s="230"/>
    </row>
    <row r="494" spans="1:26" ht="15.75" customHeight="1">
      <c r="A494" s="230"/>
      <c r="B494" s="230"/>
      <c r="C494" s="230"/>
      <c r="D494" s="230"/>
      <c r="E494" s="230"/>
      <c r="F494" s="230"/>
      <c r="G494" s="230"/>
      <c r="H494" s="230"/>
      <c r="I494" s="230"/>
      <c r="J494" s="230"/>
      <c r="K494" s="230"/>
      <c r="L494" s="230"/>
      <c r="M494" s="230"/>
      <c r="N494" s="230"/>
      <c r="O494" s="230"/>
      <c r="P494" s="230"/>
      <c r="Q494" s="230"/>
      <c r="R494" s="230"/>
      <c r="S494" s="230"/>
      <c r="T494" s="230"/>
      <c r="U494" s="230"/>
      <c r="V494" s="230"/>
      <c r="W494" s="230"/>
      <c r="X494" s="230"/>
      <c r="Y494" s="230"/>
      <c r="Z494" s="230"/>
    </row>
    <row r="495" spans="1:26" ht="15.75" customHeight="1">
      <c r="A495" s="230"/>
      <c r="B495" s="230"/>
      <c r="C495" s="230"/>
      <c r="D495" s="230"/>
      <c r="E495" s="230"/>
      <c r="F495" s="230"/>
      <c r="G495" s="230"/>
      <c r="H495" s="230"/>
      <c r="I495" s="230"/>
      <c r="J495" s="230"/>
      <c r="K495" s="230"/>
      <c r="L495" s="230"/>
      <c r="M495" s="230"/>
      <c r="N495" s="230"/>
      <c r="O495" s="230"/>
      <c r="P495" s="230"/>
      <c r="Q495" s="230"/>
      <c r="R495" s="230"/>
      <c r="S495" s="230"/>
      <c r="T495" s="230"/>
      <c r="U495" s="230"/>
      <c r="V495" s="230"/>
      <c r="W495" s="230"/>
      <c r="X495" s="230"/>
      <c r="Y495" s="230"/>
      <c r="Z495" s="230"/>
    </row>
    <row r="496" spans="1:26" ht="15.75" customHeight="1">
      <c r="A496" s="230"/>
      <c r="B496" s="230"/>
      <c r="C496" s="230"/>
      <c r="D496" s="230"/>
      <c r="E496" s="230"/>
      <c r="F496" s="230"/>
      <c r="G496" s="230"/>
      <c r="H496" s="230"/>
      <c r="I496" s="230"/>
      <c r="J496" s="230"/>
      <c r="K496" s="230"/>
      <c r="L496" s="230"/>
      <c r="M496" s="230"/>
      <c r="N496" s="230"/>
      <c r="O496" s="230"/>
      <c r="P496" s="230"/>
      <c r="Q496" s="230"/>
      <c r="R496" s="230"/>
      <c r="S496" s="230"/>
      <c r="T496" s="230"/>
      <c r="U496" s="230"/>
      <c r="V496" s="230"/>
      <c r="W496" s="230"/>
      <c r="X496" s="230"/>
      <c r="Y496" s="230"/>
      <c r="Z496" s="230"/>
    </row>
    <row r="497" spans="1:26" ht="15.75" customHeight="1">
      <c r="A497" s="230"/>
      <c r="B497" s="230"/>
      <c r="C497" s="230"/>
      <c r="D497" s="230"/>
      <c r="E497" s="230"/>
      <c r="F497" s="230"/>
      <c r="G497" s="230"/>
      <c r="H497" s="230"/>
      <c r="I497" s="230"/>
      <c r="J497" s="230"/>
      <c r="K497" s="230"/>
      <c r="L497" s="230"/>
      <c r="M497" s="230"/>
      <c r="N497" s="230"/>
      <c r="O497" s="230"/>
      <c r="P497" s="230"/>
      <c r="Q497" s="230"/>
      <c r="R497" s="230"/>
      <c r="S497" s="230"/>
      <c r="T497" s="230"/>
      <c r="U497" s="230"/>
      <c r="V497" s="230"/>
      <c r="W497" s="230"/>
      <c r="X497" s="230"/>
      <c r="Y497" s="230"/>
      <c r="Z497" s="230"/>
    </row>
    <row r="498" spans="1:26" ht="15.75" customHeight="1">
      <c r="A498" s="230"/>
      <c r="B498" s="230"/>
      <c r="C498" s="230"/>
      <c r="D498" s="230"/>
      <c r="E498" s="230"/>
      <c r="F498" s="230"/>
      <c r="G498" s="230"/>
      <c r="H498" s="230"/>
      <c r="I498" s="230"/>
      <c r="J498" s="230"/>
      <c r="K498" s="230"/>
      <c r="L498" s="230"/>
      <c r="M498" s="230"/>
      <c r="N498" s="230"/>
      <c r="O498" s="230"/>
      <c r="P498" s="230"/>
      <c r="Q498" s="230"/>
      <c r="R498" s="230"/>
      <c r="S498" s="230"/>
      <c r="T498" s="230"/>
      <c r="U498" s="230"/>
      <c r="V498" s="230"/>
      <c r="W498" s="230"/>
      <c r="X498" s="230"/>
      <c r="Y498" s="230"/>
      <c r="Z498" s="230"/>
    </row>
    <row r="499" spans="1:26" ht="15.75" customHeight="1">
      <c r="A499" s="230"/>
      <c r="B499" s="230"/>
      <c r="C499" s="230"/>
      <c r="D499" s="230"/>
      <c r="E499" s="230"/>
      <c r="F499" s="230"/>
      <c r="G499" s="230"/>
      <c r="H499" s="230"/>
      <c r="I499" s="230"/>
      <c r="J499" s="230"/>
      <c r="K499" s="230"/>
      <c r="L499" s="230"/>
      <c r="M499" s="230"/>
      <c r="N499" s="230"/>
      <c r="O499" s="230"/>
      <c r="P499" s="230"/>
      <c r="Q499" s="230"/>
      <c r="R499" s="230"/>
      <c r="S499" s="230"/>
      <c r="T499" s="230"/>
      <c r="U499" s="230"/>
      <c r="V499" s="230"/>
      <c r="W499" s="230"/>
      <c r="X499" s="230"/>
      <c r="Y499" s="230"/>
      <c r="Z499" s="230"/>
    </row>
    <row r="500" spans="1:26" ht="15.75" customHeight="1">
      <c r="A500" s="230"/>
      <c r="B500" s="230"/>
      <c r="C500" s="230"/>
      <c r="D500" s="230"/>
      <c r="E500" s="230"/>
      <c r="F500" s="230"/>
      <c r="G500" s="230"/>
      <c r="H500" s="230"/>
      <c r="I500" s="230"/>
      <c r="J500" s="230"/>
      <c r="K500" s="230"/>
      <c r="L500" s="230"/>
      <c r="M500" s="230"/>
      <c r="N500" s="230"/>
      <c r="O500" s="230"/>
      <c r="P500" s="230"/>
      <c r="Q500" s="230"/>
      <c r="R500" s="230"/>
      <c r="S500" s="230"/>
      <c r="T500" s="230"/>
      <c r="U500" s="230"/>
      <c r="V500" s="230"/>
      <c r="W500" s="230"/>
      <c r="X500" s="230"/>
      <c r="Y500" s="230"/>
      <c r="Z500" s="230"/>
    </row>
    <row r="501" spans="1:26" ht="15.75" customHeight="1">
      <c r="A501" s="230"/>
      <c r="B501" s="230"/>
      <c r="C501" s="230"/>
      <c r="D501" s="230"/>
      <c r="E501" s="230"/>
      <c r="F501" s="230"/>
      <c r="G501" s="230"/>
      <c r="H501" s="230"/>
      <c r="I501" s="230"/>
      <c r="J501" s="230"/>
      <c r="K501" s="230"/>
      <c r="L501" s="230"/>
      <c r="M501" s="230"/>
      <c r="N501" s="230"/>
      <c r="O501" s="230"/>
      <c r="P501" s="230"/>
      <c r="Q501" s="230"/>
      <c r="R501" s="230"/>
      <c r="S501" s="230"/>
      <c r="T501" s="230"/>
      <c r="U501" s="230"/>
      <c r="V501" s="230"/>
      <c r="W501" s="230"/>
      <c r="X501" s="230"/>
      <c r="Y501" s="230"/>
      <c r="Z501" s="230"/>
    </row>
    <row r="502" spans="1:26" ht="15.75" customHeight="1">
      <c r="A502" s="230"/>
      <c r="B502" s="230"/>
      <c r="C502" s="230"/>
      <c r="D502" s="230"/>
      <c r="E502" s="230"/>
      <c r="F502" s="230"/>
      <c r="G502" s="230"/>
      <c r="H502" s="230"/>
      <c r="I502" s="230"/>
      <c r="J502" s="230"/>
      <c r="K502" s="230"/>
      <c r="L502" s="230"/>
      <c r="M502" s="230"/>
      <c r="N502" s="230"/>
      <c r="O502" s="230"/>
      <c r="P502" s="230"/>
      <c r="Q502" s="230"/>
      <c r="R502" s="230"/>
      <c r="S502" s="230"/>
      <c r="T502" s="230"/>
      <c r="U502" s="230"/>
      <c r="V502" s="230"/>
      <c r="W502" s="230"/>
      <c r="X502" s="230"/>
      <c r="Y502" s="230"/>
      <c r="Z502" s="230"/>
    </row>
    <row r="503" spans="1:26" ht="15.75" customHeight="1">
      <c r="A503" s="230"/>
      <c r="B503" s="230"/>
      <c r="C503" s="230"/>
      <c r="D503" s="230"/>
      <c r="E503" s="230"/>
      <c r="F503" s="230"/>
      <c r="G503" s="230"/>
      <c r="H503" s="230"/>
      <c r="I503" s="230"/>
      <c r="J503" s="230"/>
      <c r="K503" s="230"/>
      <c r="L503" s="230"/>
      <c r="M503" s="230"/>
      <c r="N503" s="230"/>
      <c r="O503" s="230"/>
      <c r="P503" s="230"/>
      <c r="Q503" s="230"/>
      <c r="R503" s="230"/>
      <c r="S503" s="230"/>
      <c r="T503" s="230"/>
      <c r="U503" s="230"/>
      <c r="V503" s="230"/>
      <c r="W503" s="230"/>
      <c r="X503" s="230"/>
      <c r="Y503" s="230"/>
      <c r="Z503" s="230"/>
    </row>
    <row r="504" spans="1:26" ht="15.75" customHeight="1">
      <c r="A504" s="230"/>
      <c r="B504" s="230"/>
      <c r="C504" s="230"/>
      <c r="D504" s="230"/>
      <c r="E504" s="230"/>
      <c r="F504" s="230"/>
      <c r="G504" s="230"/>
      <c r="H504" s="230"/>
      <c r="I504" s="230"/>
      <c r="J504" s="230"/>
      <c r="K504" s="230"/>
      <c r="L504" s="230"/>
      <c r="M504" s="230"/>
      <c r="N504" s="230"/>
      <c r="O504" s="230"/>
      <c r="P504" s="230"/>
      <c r="Q504" s="230"/>
      <c r="R504" s="230"/>
      <c r="S504" s="230"/>
      <c r="T504" s="230"/>
      <c r="U504" s="230"/>
      <c r="V504" s="230"/>
      <c r="W504" s="230"/>
      <c r="X504" s="230"/>
      <c r="Y504" s="230"/>
      <c r="Z504" s="230"/>
    </row>
    <row r="505" spans="1:26" ht="15.75" customHeight="1">
      <c r="A505" s="230"/>
      <c r="B505" s="230"/>
      <c r="C505" s="230"/>
      <c r="D505" s="230"/>
      <c r="E505" s="230"/>
      <c r="F505" s="230"/>
      <c r="G505" s="230"/>
      <c r="H505" s="230"/>
      <c r="I505" s="230"/>
      <c r="J505" s="230"/>
      <c r="K505" s="230"/>
      <c r="L505" s="230"/>
      <c r="M505" s="230"/>
      <c r="N505" s="230"/>
      <c r="O505" s="230"/>
      <c r="P505" s="230"/>
      <c r="Q505" s="230"/>
      <c r="R505" s="230"/>
      <c r="S505" s="230"/>
      <c r="T505" s="230"/>
      <c r="U505" s="230"/>
      <c r="V505" s="230"/>
      <c r="W505" s="230"/>
      <c r="X505" s="230"/>
      <c r="Y505" s="230"/>
      <c r="Z505" s="230"/>
    </row>
    <row r="506" spans="1:26" ht="15.75" customHeight="1">
      <c r="A506" s="230"/>
      <c r="B506" s="230"/>
      <c r="C506" s="230"/>
      <c r="D506" s="230"/>
      <c r="E506" s="230"/>
      <c r="F506" s="230"/>
      <c r="G506" s="230"/>
      <c r="H506" s="230"/>
      <c r="I506" s="230"/>
      <c r="J506" s="230"/>
      <c r="K506" s="230"/>
      <c r="L506" s="230"/>
      <c r="M506" s="230"/>
      <c r="N506" s="230"/>
      <c r="O506" s="230"/>
      <c r="P506" s="230"/>
      <c r="Q506" s="230"/>
      <c r="R506" s="230"/>
      <c r="S506" s="230"/>
      <c r="T506" s="230"/>
      <c r="U506" s="230"/>
      <c r="V506" s="230"/>
      <c r="W506" s="230"/>
      <c r="X506" s="230"/>
      <c r="Y506" s="230"/>
      <c r="Z506" s="230"/>
    </row>
    <row r="507" spans="1:26" ht="15.75" customHeight="1">
      <c r="A507" s="230"/>
      <c r="B507" s="230"/>
      <c r="C507" s="230"/>
      <c r="D507" s="230"/>
      <c r="E507" s="230"/>
      <c r="F507" s="230"/>
      <c r="G507" s="230"/>
      <c r="H507" s="230"/>
      <c r="I507" s="230"/>
      <c r="J507" s="230"/>
      <c r="K507" s="230"/>
      <c r="L507" s="230"/>
      <c r="M507" s="230"/>
      <c r="N507" s="230"/>
      <c r="O507" s="230"/>
      <c r="P507" s="230"/>
      <c r="Q507" s="230"/>
      <c r="R507" s="230"/>
      <c r="S507" s="230"/>
      <c r="T507" s="230"/>
      <c r="U507" s="230"/>
      <c r="V507" s="230"/>
      <c r="W507" s="230"/>
      <c r="X507" s="230"/>
      <c r="Y507" s="230"/>
      <c r="Z507" s="230"/>
    </row>
    <row r="508" spans="1:26" ht="15.75" customHeight="1">
      <c r="A508" s="230"/>
      <c r="B508" s="230"/>
      <c r="C508" s="230"/>
      <c r="D508" s="230"/>
      <c r="E508" s="230"/>
      <c r="F508" s="230"/>
      <c r="G508" s="230"/>
      <c r="H508" s="230"/>
      <c r="I508" s="230"/>
      <c r="J508" s="230"/>
      <c r="K508" s="230"/>
      <c r="L508" s="230"/>
      <c r="M508" s="230"/>
      <c r="N508" s="230"/>
      <c r="O508" s="230"/>
      <c r="P508" s="230"/>
      <c r="Q508" s="230"/>
      <c r="R508" s="230"/>
      <c r="S508" s="230"/>
      <c r="T508" s="230"/>
      <c r="U508" s="230"/>
      <c r="V508" s="230"/>
      <c r="W508" s="230"/>
      <c r="X508" s="230"/>
      <c r="Y508" s="230"/>
      <c r="Z508" s="230"/>
    </row>
    <row r="509" spans="1:26" ht="15.75" customHeight="1">
      <c r="A509" s="230"/>
      <c r="B509" s="230"/>
      <c r="C509" s="230"/>
      <c r="D509" s="230"/>
      <c r="E509" s="230"/>
      <c r="F509" s="230"/>
      <c r="G509" s="230"/>
      <c r="H509" s="230"/>
      <c r="I509" s="230"/>
      <c r="J509" s="230"/>
      <c r="K509" s="230"/>
      <c r="L509" s="230"/>
      <c r="M509" s="230"/>
      <c r="N509" s="230"/>
      <c r="O509" s="230"/>
      <c r="P509" s="230"/>
      <c r="Q509" s="230"/>
      <c r="R509" s="230"/>
      <c r="S509" s="230"/>
      <c r="T509" s="230"/>
      <c r="U509" s="230"/>
      <c r="V509" s="230"/>
      <c r="W509" s="230"/>
      <c r="X509" s="230"/>
      <c r="Y509" s="230"/>
      <c r="Z509" s="230"/>
    </row>
    <row r="510" spans="1:26" ht="15.75" customHeight="1">
      <c r="A510" s="230"/>
      <c r="B510" s="230"/>
      <c r="C510" s="230"/>
      <c r="D510" s="230"/>
      <c r="E510" s="230"/>
      <c r="F510" s="230"/>
      <c r="G510" s="230"/>
      <c r="H510" s="230"/>
      <c r="I510" s="230"/>
      <c r="J510" s="230"/>
      <c r="K510" s="230"/>
      <c r="L510" s="230"/>
      <c r="M510" s="230"/>
      <c r="N510" s="230"/>
      <c r="O510" s="230"/>
      <c r="P510" s="230"/>
      <c r="Q510" s="230"/>
      <c r="R510" s="230"/>
      <c r="S510" s="230"/>
      <c r="T510" s="230"/>
      <c r="U510" s="230"/>
      <c r="V510" s="230"/>
      <c r="W510" s="230"/>
      <c r="X510" s="230"/>
      <c r="Y510" s="230"/>
      <c r="Z510" s="230"/>
    </row>
    <row r="511" spans="1:26" ht="15.75" customHeight="1">
      <c r="A511" s="230"/>
      <c r="B511" s="230"/>
      <c r="C511" s="230"/>
      <c r="D511" s="230"/>
      <c r="E511" s="230"/>
      <c r="F511" s="230"/>
      <c r="G511" s="230"/>
      <c r="H511" s="230"/>
      <c r="I511" s="230"/>
      <c r="J511" s="230"/>
      <c r="K511" s="230"/>
      <c r="L511" s="230"/>
      <c r="M511" s="230"/>
      <c r="N511" s="230"/>
      <c r="O511" s="230"/>
      <c r="P511" s="230"/>
      <c r="Q511" s="230"/>
      <c r="R511" s="230"/>
      <c r="S511" s="230"/>
      <c r="T511" s="230"/>
      <c r="U511" s="230"/>
      <c r="V511" s="230"/>
      <c r="W511" s="230"/>
      <c r="X511" s="230"/>
      <c r="Y511" s="230"/>
      <c r="Z511" s="230"/>
    </row>
    <row r="512" spans="1:26" ht="15.75" customHeight="1">
      <c r="A512" s="230"/>
      <c r="B512" s="230"/>
      <c r="C512" s="230"/>
      <c r="D512" s="230"/>
      <c r="E512" s="230"/>
      <c r="F512" s="230"/>
      <c r="G512" s="230"/>
      <c r="H512" s="230"/>
      <c r="I512" s="230"/>
      <c r="J512" s="230"/>
      <c r="K512" s="230"/>
      <c r="L512" s="230"/>
      <c r="M512" s="230"/>
      <c r="N512" s="230"/>
      <c r="O512" s="230"/>
      <c r="P512" s="230"/>
      <c r="Q512" s="230"/>
      <c r="R512" s="230"/>
      <c r="S512" s="230"/>
      <c r="T512" s="230"/>
      <c r="U512" s="230"/>
      <c r="V512" s="230"/>
      <c r="W512" s="230"/>
      <c r="X512" s="230"/>
      <c r="Y512" s="230"/>
      <c r="Z512" s="230"/>
    </row>
    <row r="513" spans="1:26" ht="15.75" customHeight="1">
      <c r="A513" s="230"/>
      <c r="B513" s="230"/>
      <c r="C513" s="230"/>
      <c r="D513" s="230"/>
      <c r="E513" s="230"/>
      <c r="F513" s="230"/>
      <c r="G513" s="230"/>
      <c r="H513" s="230"/>
      <c r="I513" s="230"/>
      <c r="J513" s="230"/>
      <c r="K513" s="230"/>
      <c r="L513" s="230"/>
      <c r="M513" s="230"/>
      <c r="N513" s="230"/>
      <c r="O513" s="230"/>
      <c r="P513" s="230"/>
      <c r="Q513" s="230"/>
      <c r="R513" s="230"/>
      <c r="S513" s="230"/>
      <c r="T513" s="230"/>
      <c r="U513" s="230"/>
      <c r="V513" s="230"/>
      <c r="W513" s="230"/>
      <c r="X513" s="230"/>
      <c r="Y513" s="230"/>
      <c r="Z513" s="230"/>
    </row>
    <row r="514" spans="1:26" ht="15.75" customHeight="1">
      <c r="A514" s="230"/>
      <c r="B514" s="230"/>
      <c r="C514" s="230"/>
      <c r="D514" s="230"/>
      <c r="E514" s="230"/>
      <c r="F514" s="230"/>
      <c r="G514" s="230"/>
      <c r="H514" s="230"/>
      <c r="I514" s="230"/>
      <c r="J514" s="230"/>
      <c r="K514" s="230"/>
      <c r="L514" s="230"/>
      <c r="M514" s="230"/>
      <c r="N514" s="230"/>
      <c r="O514" s="230"/>
      <c r="P514" s="230"/>
      <c r="Q514" s="230"/>
      <c r="R514" s="230"/>
      <c r="S514" s="230"/>
      <c r="T514" s="230"/>
      <c r="U514" s="230"/>
      <c r="V514" s="230"/>
      <c r="W514" s="230"/>
      <c r="X514" s="230"/>
      <c r="Y514" s="230"/>
      <c r="Z514" s="230"/>
    </row>
    <row r="515" spans="1:26" ht="15.75" customHeight="1">
      <c r="A515" s="230"/>
      <c r="B515" s="230"/>
      <c r="C515" s="230"/>
      <c r="D515" s="230"/>
      <c r="E515" s="230"/>
      <c r="F515" s="230"/>
      <c r="G515" s="230"/>
      <c r="H515" s="230"/>
      <c r="I515" s="230"/>
      <c r="J515" s="230"/>
      <c r="K515" s="230"/>
      <c r="L515" s="230"/>
      <c r="M515" s="230"/>
      <c r="N515" s="230"/>
      <c r="O515" s="230"/>
      <c r="P515" s="230"/>
      <c r="Q515" s="230"/>
      <c r="R515" s="230"/>
      <c r="S515" s="230"/>
      <c r="T515" s="230"/>
      <c r="U515" s="230"/>
      <c r="V515" s="230"/>
      <c r="W515" s="230"/>
      <c r="X515" s="230"/>
      <c r="Y515" s="230"/>
      <c r="Z515" s="230"/>
    </row>
    <row r="516" spans="1:26" ht="15.75" customHeight="1">
      <c r="A516" s="230"/>
      <c r="B516" s="230"/>
      <c r="C516" s="230"/>
      <c r="D516" s="230"/>
      <c r="E516" s="230"/>
      <c r="F516" s="230"/>
      <c r="G516" s="230"/>
      <c r="H516" s="230"/>
      <c r="I516" s="230"/>
      <c r="J516" s="230"/>
      <c r="K516" s="230"/>
      <c r="L516" s="230"/>
      <c r="M516" s="230"/>
      <c r="N516" s="230"/>
      <c r="O516" s="230"/>
      <c r="P516" s="230"/>
      <c r="Q516" s="230"/>
      <c r="R516" s="230"/>
      <c r="S516" s="230"/>
      <c r="T516" s="230"/>
      <c r="U516" s="230"/>
      <c r="V516" s="230"/>
      <c r="W516" s="230"/>
      <c r="X516" s="230"/>
      <c r="Y516" s="230"/>
      <c r="Z516" s="230"/>
    </row>
    <row r="517" spans="1:26" ht="15.75" customHeight="1">
      <c r="A517" s="230"/>
      <c r="B517" s="230"/>
      <c r="C517" s="230"/>
      <c r="D517" s="230"/>
      <c r="E517" s="230"/>
      <c r="F517" s="230"/>
      <c r="G517" s="230"/>
      <c r="H517" s="230"/>
      <c r="I517" s="230"/>
      <c r="J517" s="230"/>
      <c r="K517" s="230"/>
      <c r="L517" s="230"/>
      <c r="M517" s="230"/>
      <c r="N517" s="230"/>
      <c r="O517" s="230"/>
      <c r="P517" s="230"/>
      <c r="Q517" s="230"/>
      <c r="R517" s="230"/>
      <c r="S517" s="230"/>
      <c r="T517" s="230"/>
      <c r="U517" s="230"/>
      <c r="V517" s="230"/>
      <c r="W517" s="230"/>
      <c r="X517" s="230"/>
      <c r="Y517" s="230"/>
      <c r="Z517" s="230"/>
    </row>
    <row r="518" spans="1:26" ht="15.75" customHeight="1">
      <c r="A518" s="230"/>
      <c r="B518" s="230"/>
      <c r="C518" s="230"/>
      <c r="D518" s="230"/>
      <c r="E518" s="230"/>
      <c r="F518" s="230"/>
      <c r="G518" s="230"/>
      <c r="H518" s="230"/>
      <c r="I518" s="230"/>
      <c r="J518" s="230"/>
      <c r="K518" s="230"/>
      <c r="L518" s="230"/>
      <c r="M518" s="230"/>
      <c r="N518" s="230"/>
      <c r="O518" s="230"/>
      <c r="P518" s="230"/>
      <c r="Q518" s="230"/>
      <c r="R518" s="230"/>
      <c r="S518" s="230"/>
      <c r="T518" s="230"/>
      <c r="U518" s="230"/>
      <c r="V518" s="230"/>
      <c r="W518" s="230"/>
      <c r="X518" s="230"/>
      <c r="Y518" s="230"/>
      <c r="Z518" s="230"/>
    </row>
    <row r="519" spans="1:26" ht="15.75" customHeight="1">
      <c r="A519" s="230"/>
      <c r="B519" s="230"/>
      <c r="C519" s="230"/>
      <c r="D519" s="230"/>
      <c r="E519" s="230"/>
      <c r="F519" s="230"/>
      <c r="G519" s="230"/>
      <c r="H519" s="230"/>
      <c r="I519" s="230"/>
      <c r="J519" s="230"/>
      <c r="K519" s="230"/>
      <c r="L519" s="230"/>
      <c r="M519" s="230"/>
      <c r="N519" s="230"/>
      <c r="O519" s="230"/>
      <c r="P519" s="230"/>
      <c r="Q519" s="230"/>
      <c r="R519" s="230"/>
      <c r="S519" s="230"/>
      <c r="T519" s="230"/>
      <c r="U519" s="230"/>
      <c r="V519" s="230"/>
      <c r="W519" s="230"/>
      <c r="X519" s="230"/>
      <c r="Y519" s="230"/>
      <c r="Z519" s="230"/>
    </row>
    <row r="520" spans="1:26" ht="15.75" customHeight="1">
      <c r="A520" s="230"/>
      <c r="B520" s="230"/>
      <c r="C520" s="230"/>
      <c r="D520" s="230"/>
      <c r="E520" s="230"/>
      <c r="F520" s="230"/>
      <c r="G520" s="230"/>
      <c r="H520" s="230"/>
      <c r="I520" s="230"/>
      <c r="J520" s="230"/>
      <c r="K520" s="230"/>
      <c r="L520" s="230"/>
      <c r="M520" s="230"/>
      <c r="N520" s="230"/>
      <c r="O520" s="230"/>
      <c r="P520" s="230"/>
      <c r="Q520" s="230"/>
      <c r="R520" s="230"/>
      <c r="S520" s="230"/>
      <c r="T520" s="230"/>
      <c r="U520" s="230"/>
      <c r="V520" s="230"/>
      <c r="W520" s="230"/>
      <c r="X520" s="230"/>
      <c r="Y520" s="230"/>
      <c r="Z520" s="230"/>
    </row>
    <row r="521" spans="1:26" ht="15.75" customHeight="1">
      <c r="A521" s="230"/>
      <c r="B521" s="230"/>
      <c r="C521" s="230"/>
      <c r="D521" s="230"/>
      <c r="E521" s="230"/>
      <c r="F521" s="230"/>
      <c r="G521" s="230"/>
      <c r="H521" s="230"/>
      <c r="I521" s="230"/>
      <c r="J521" s="230"/>
      <c r="K521" s="230"/>
      <c r="L521" s="230"/>
      <c r="M521" s="230"/>
      <c r="N521" s="230"/>
      <c r="O521" s="230"/>
      <c r="P521" s="230"/>
      <c r="Q521" s="230"/>
      <c r="R521" s="230"/>
      <c r="S521" s="230"/>
      <c r="T521" s="230"/>
      <c r="U521" s="230"/>
      <c r="V521" s="230"/>
      <c r="W521" s="230"/>
      <c r="X521" s="230"/>
      <c r="Y521" s="230"/>
      <c r="Z521" s="230"/>
    </row>
    <row r="522" spans="1:26" ht="15.75" customHeight="1">
      <c r="A522" s="230"/>
      <c r="B522" s="230"/>
      <c r="C522" s="230"/>
      <c r="D522" s="230"/>
      <c r="E522" s="230"/>
      <c r="F522" s="230"/>
      <c r="G522" s="230"/>
      <c r="H522" s="230"/>
      <c r="I522" s="230"/>
      <c r="J522" s="230"/>
      <c r="K522" s="230"/>
      <c r="L522" s="230"/>
      <c r="M522" s="230"/>
      <c r="N522" s="230"/>
      <c r="O522" s="230"/>
      <c r="P522" s="230"/>
      <c r="Q522" s="230"/>
      <c r="R522" s="230"/>
      <c r="S522" s="230"/>
      <c r="T522" s="230"/>
      <c r="U522" s="230"/>
      <c r="V522" s="230"/>
      <c r="W522" s="230"/>
      <c r="X522" s="230"/>
      <c r="Y522" s="230"/>
      <c r="Z522" s="230"/>
    </row>
    <row r="523" spans="1:26" ht="15.75" customHeight="1">
      <c r="A523" s="230"/>
      <c r="B523" s="230"/>
      <c r="C523" s="230"/>
      <c r="D523" s="230"/>
      <c r="E523" s="230"/>
      <c r="F523" s="230"/>
      <c r="G523" s="230"/>
      <c r="H523" s="230"/>
      <c r="I523" s="230"/>
      <c r="J523" s="230"/>
      <c r="K523" s="230"/>
      <c r="L523" s="230"/>
      <c r="M523" s="230"/>
      <c r="N523" s="230"/>
      <c r="O523" s="230"/>
      <c r="P523" s="230"/>
      <c r="Q523" s="230"/>
      <c r="R523" s="230"/>
      <c r="S523" s="230"/>
      <c r="T523" s="230"/>
      <c r="U523" s="230"/>
      <c r="V523" s="230"/>
      <c r="W523" s="230"/>
      <c r="X523" s="230"/>
      <c r="Y523" s="230"/>
      <c r="Z523" s="230"/>
    </row>
    <row r="524" spans="1:26" ht="15.75" customHeight="1">
      <c r="A524" s="230"/>
      <c r="B524" s="230"/>
      <c r="C524" s="230"/>
      <c r="D524" s="230"/>
      <c r="E524" s="230"/>
      <c r="F524" s="230"/>
      <c r="G524" s="230"/>
      <c r="H524" s="230"/>
      <c r="I524" s="230"/>
      <c r="J524" s="230"/>
      <c r="K524" s="230"/>
      <c r="L524" s="230"/>
      <c r="M524" s="230"/>
      <c r="N524" s="230"/>
      <c r="O524" s="230"/>
      <c r="P524" s="230"/>
      <c r="Q524" s="230"/>
      <c r="R524" s="230"/>
      <c r="S524" s="230"/>
      <c r="T524" s="230"/>
      <c r="U524" s="230"/>
      <c r="V524" s="230"/>
      <c r="W524" s="230"/>
      <c r="X524" s="230"/>
      <c r="Y524" s="230"/>
      <c r="Z524" s="230"/>
    </row>
    <row r="525" spans="1:26" ht="15.75" customHeight="1">
      <c r="A525" s="230"/>
      <c r="B525" s="230"/>
      <c r="C525" s="230"/>
      <c r="D525" s="230"/>
      <c r="E525" s="230"/>
      <c r="F525" s="230"/>
      <c r="G525" s="230"/>
      <c r="H525" s="230"/>
      <c r="I525" s="230"/>
      <c r="J525" s="230"/>
      <c r="K525" s="230"/>
      <c r="L525" s="230"/>
      <c r="M525" s="230"/>
      <c r="N525" s="230"/>
      <c r="O525" s="230"/>
      <c r="P525" s="230"/>
      <c r="Q525" s="230"/>
      <c r="R525" s="230"/>
      <c r="S525" s="230"/>
      <c r="T525" s="230"/>
      <c r="U525" s="230"/>
      <c r="V525" s="230"/>
      <c r="W525" s="230"/>
      <c r="X525" s="230"/>
      <c r="Y525" s="230"/>
      <c r="Z525" s="230"/>
    </row>
    <row r="526" spans="1:26" ht="15.75" customHeight="1">
      <c r="A526" s="230"/>
      <c r="B526" s="230"/>
      <c r="C526" s="230"/>
      <c r="D526" s="230"/>
      <c r="E526" s="230"/>
      <c r="F526" s="230"/>
      <c r="G526" s="230"/>
      <c r="H526" s="230"/>
      <c r="I526" s="230"/>
      <c r="J526" s="230"/>
      <c r="K526" s="230"/>
      <c r="L526" s="230"/>
      <c r="M526" s="230"/>
      <c r="N526" s="230"/>
      <c r="O526" s="230"/>
      <c r="P526" s="230"/>
      <c r="Q526" s="230"/>
      <c r="R526" s="230"/>
      <c r="S526" s="230"/>
      <c r="T526" s="230"/>
      <c r="U526" s="230"/>
      <c r="V526" s="230"/>
      <c r="W526" s="230"/>
      <c r="X526" s="230"/>
      <c r="Y526" s="230"/>
      <c r="Z526" s="230"/>
    </row>
    <row r="527" spans="1:26" ht="15.75" customHeight="1">
      <c r="A527" s="230"/>
      <c r="B527" s="230"/>
      <c r="C527" s="230"/>
      <c r="D527" s="230"/>
      <c r="E527" s="230"/>
      <c r="F527" s="230"/>
      <c r="G527" s="230"/>
      <c r="H527" s="230"/>
      <c r="I527" s="230"/>
      <c r="J527" s="230"/>
      <c r="K527" s="230"/>
      <c r="L527" s="230"/>
      <c r="M527" s="230"/>
      <c r="N527" s="230"/>
      <c r="O527" s="230"/>
      <c r="P527" s="230"/>
      <c r="Q527" s="230"/>
      <c r="R527" s="230"/>
      <c r="S527" s="230"/>
      <c r="T527" s="230"/>
      <c r="U527" s="230"/>
      <c r="V527" s="230"/>
      <c r="W527" s="230"/>
      <c r="X527" s="230"/>
      <c r="Y527" s="230"/>
      <c r="Z527" s="230"/>
    </row>
    <row r="528" spans="1:26" ht="15.75" customHeight="1">
      <c r="A528" s="230"/>
      <c r="B528" s="230"/>
      <c r="C528" s="230"/>
      <c r="D528" s="230"/>
      <c r="E528" s="230"/>
      <c r="F528" s="230"/>
      <c r="G528" s="230"/>
      <c r="H528" s="230"/>
      <c r="I528" s="230"/>
      <c r="J528" s="230"/>
      <c r="K528" s="230"/>
      <c r="L528" s="230"/>
      <c r="M528" s="230"/>
      <c r="N528" s="230"/>
      <c r="O528" s="230"/>
      <c r="P528" s="230"/>
      <c r="Q528" s="230"/>
      <c r="R528" s="230"/>
      <c r="S528" s="230"/>
      <c r="T528" s="230"/>
      <c r="U528" s="230"/>
      <c r="V528" s="230"/>
      <c r="W528" s="230"/>
      <c r="X528" s="230"/>
      <c r="Y528" s="230"/>
      <c r="Z528" s="230"/>
    </row>
    <row r="529" spans="1:26" ht="15.75" customHeight="1">
      <c r="A529" s="230"/>
      <c r="B529" s="230"/>
      <c r="C529" s="230"/>
      <c r="D529" s="230"/>
      <c r="E529" s="230"/>
      <c r="F529" s="230"/>
      <c r="G529" s="230"/>
      <c r="H529" s="230"/>
      <c r="I529" s="230"/>
      <c r="J529" s="230"/>
      <c r="K529" s="230"/>
      <c r="L529" s="230"/>
      <c r="M529" s="230"/>
      <c r="N529" s="230"/>
      <c r="O529" s="230"/>
      <c r="P529" s="230"/>
      <c r="Q529" s="230"/>
      <c r="R529" s="230"/>
      <c r="S529" s="230"/>
      <c r="T529" s="230"/>
      <c r="U529" s="230"/>
      <c r="V529" s="230"/>
      <c r="W529" s="230"/>
      <c r="X529" s="230"/>
      <c r="Y529" s="230"/>
      <c r="Z529" s="230"/>
    </row>
    <row r="530" spans="1:26" ht="15.75" customHeight="1">
      <c r="A530" s="230"/>
      <c r="B530" s="230"/>
      <c r="C530" s="230"/>
      <c r="D530" s="230"/>
      <c r="E530" s="230"/>
      <c r="F530" s="230"/>
      <c r="G530" s="230"/>
      <c r="H530" s="230"/>
      <c r="I530" s="230"/>
      <c r="J530" s="230"/>
      <c r="K530" s="230"/>
      <c r="L530" s="230"/>
      <c r="M530" s="230"/>
      <c r="N530" s="230"/>
      <c r="O530" s="230"/>
      <c r="P530" s="230"/>
      <c r="Q530" s="230"/>
      <c r="R530" s="230"/>
      <c r="S530" s="230"/>
      <c r="T530" s="230"/>
      <c r="U530" s="230"/>
      <c r="V530" s="230"/>
      <c r="W530" s="230"/>
      <c r="X530" s="230"/>
      <c r="Y530" s="230"/>
      <c r="Z530" s="230"/>
    </row>
    <row r="531" spans="1:26" ht="15.75" customHeight="1">
      <c r="A531" s="230"/>
      <c r="B531" s="230"/>
      <c r="C531" s="230"/>
      <c r="D531" s="230"/>
      <c r="E531" s="230"/>
      <c r="F531" s="230"/>
      <c r="G531" s="230"/>
      <c r="H531" s="230"/>
      <c r="I531" s="230"/>
      <c r="J531" s="230"/>
      <c r="K531" s="230"/>
      <c r="L531" s="230"/>
      <c r="M531" s="230"/>
      <c r="N531" s="230"/>
      <c r="O531" s="230"/>
      <c r="P531" s="230"/>
      <c r="Q531" s="230"/>
      <c r="R531" s="230"/>
      <c r="S531" s="230"/>
      <c r="T531" s="230"/>
      <c r="U531" s="230"/>
      <c r="V531" s="230"/>
      <c r="W531" s="230"/>
      <c r="X531" s="230"/>
      <c r="Y531" s="230"/>
      <c r="Z531" s="230"/>
    </row>
    <row r="532" spans="1:26" ht="15.75" customHeight="1">
      <c r="A532" s="230"/>
      <c r="B532" s="230"/>
      <c r="C532" s="230"/>
      <c r="D532" s="230"/>
      <c r="E532" s="230"/>
      <c r="F532" s="230"/>
      <c r="G532" s="230"/>
      <c r="H532" s="230"/>
      <c r="I532" s="230"/>
      <c r="J532" s="230"/>
      <c r="K532" s="230"/>
      <c r="L532" s="230"/>
      <c r="M532" s="230"/>
      <c r="N532" s="230"/>
      <c r="O532" s="230"/>
      <c r="P532" s="230"/>
      <c r="Q532" s="230"/>
      <c r="R532" s="230"/>
      <c r="S532" s="230"/>
      <c r="T532" s="230"/>
      <c r="U532" s="230"/>
      <c r="V532" s="230"/>
      <c r="W532" s="230"/>
      <c r="X532" s="230"/>
      <c r="Y532" s="230"/>
      <c r="Z532" s="230"/>
    </row>
    <row r="533" spans="1:26" ht="15.75" customHeight="1">
      <c r="A533" s="230"/>
      <c r="B533" s="230"/>
      <c r="C533" s="230"/>
      <c r="D533" s="230"/>
      <c r="E533" s="230"/>
      <c r="F533" s="230"/>
      <c r="G533" s="230"/>
      <c r="H533" s="230"/>
      <c r="I533" s="230"/>
      <c r="J533" s="230"/>
      <c r="K533" s="230"/>
      <c r="L533" s="230"/>
      <c r="M533" s="230"/>
      <c r="N533" s="230"/>
      <c r="O533" s="230"/>
      <c r="P533" s="230"/>
      <c r="Q533" s="230"/>
      <c r="R533" s="230"/>
      <c r="S533" s="230"/>
      <c r="T533" s="230"/>
      <c r="U533" s="230"/>
      <c r="V533" s="230"/>
      <c r="W533" s="230"/>
      <c r="X533" s="230"/>
      <c r="Y533" s="230"/>
      <c r="Z533" s="230"/>
    </row>
    <row r="534" spans="1:26" ht="15.75" customHeight="1">
      <c r="A534" s="230"/>
      <c r="B534" s="230"/>
      <c r="C534" s="230"/>
      <c r="D534" s="230"/>
      <c r="E534" s="230"/>
      <c r="F534" s="230"/>
      <c r="G534" s="230"/>
      <c r="H534" s="230"/>
      <c r="I534" s="230"/>
      <c r="J534" s="230"/>
      <c r="K534" s="230"/>
      <c r="L534" s="230"/>
      <c r="M534" s="230"/>
      <c r="N534" s="230"/>
      <c r="O534" s="230"/>
      <c r="P534" s="230"/>
      <c r="Q534" s="230"/>
      <c r="R534" s="230"/>
      <c r="S534" s="230"/>
      <c r="T534" s="230"/>
      <c r="U534" s="230"/>
      <c r="V534" s="230"/>
      <c r="W534" s="230"/>
      <c r="X534" s="230"/>
      <c r="Y534" s="230"/>
      <c r="Z534" s="230"/>
    </row>
    <row r="535" spans="1:26" ht="15.75" customHeight="1">
      <c r="A535" s="230"/>
      <c r="B535" s="230"/>
      <c r="C535" s="230"/>
      <c r="D535" s="230"/>
      <c r="E535" s="230"/>
      <c r="F535" s="230"/>
      <c r="G535" s="230"/>
      <c r="H535" s="230"/>
      <c r="I535" s="230"/>
      <c r="J535" s="230"/>
      <c r="K535" s="230"/>
      <c r="L535" s="230"/>
      <c r="M535" s="230"/>
      <c r="N535" s="230"/>
      <c r="O535" s="230"/>
      <c r="P535" s="230"/>
      <c r="Q535" s="230"/>
      <c r="R535" s="230"/>
      <c r="S535" s="230"/>
      <c r="T535" s="230"/>
      <c r="U535" s="230"/>
      <c r="V535" s="230"/>
      <c r="W535" s="230"/>
      <c r="X535" s="230"/>
      <c r="Y535" s="230"/>
      <c r="Z535" s="230"/>
    </row>
    <row r="536" spans="1:26" ht="15.75" customHeight="1">
      <c r="A536" s="230"/>
      <c r="B536" s="230"/>
      <c r="C536" s="230"/>
      <c r="D536" s="230"/>
      <c r="E536" s="230"/>
      <c r="F536" s="230"/>
      <c r="G536" s="230"/>
      <c r="H536" s="230"/>
      <c r="I536" s="230"/>
      <c r="J536" s="230"/>
      <c r="K536" s="230"/>
      <c r="L536" s="230"/>
      <c r="M536" s="230"/>
      <c r="N536" s="230"/>
      <c r="O536" s="230"/>
      <c r="P536" s="230"/>
      <c r="Q536" s="230"/>
      <c r="R536" s="230"/>
      <c r="S536" s="230"/>
      <c r="T536" s="230"/>
      <c r="U536" s="230"/>
      <c r="V536" s="230"/>
      <c r="W536" s="230"/>
      <c r="X536" s="230"/>
      <c r="Y536" s="230"/>
      <c r="Z536" s="230"/>
    </row>
    <row r="537" spans="1:26" ht="15.75" customHeight="1">
      <c r="A537" s="230"/>
      <c r="B537" s="230"/>
      <c r="C537" s="230"/>
      <c r="D537" s="230"/>
      <c r="E537" s="230"/>
      <c r="F537" s="230"/>
      <c r="G537" s="230"/>
      <c r="H537" s="230"/>
      <c r="I537" s="230"/>
      <c r="J537" s="230"/>
      <c r="K537" s="230"/>
      <c r="L537" s="230"/>
      <c r="M537" s="230"/>
      <c r="N537" s="230"/>
      <c r="O537" s="230"/>
      <c r="P537" s="230"/>
      <c r="Q537" s="230"/>
      <c r="R537" s="230"/>
      <c r="S537" s="230"/>
      <c r="T537" s="230"/>
      <c r="U537" s="230"/>
      <c r="V537" s="230"/>
      <c r="W537" s="230"/>
      <c r="X537" s="230"/>
      <c r="Y537" s="230"/>
      <c r="Z537" s="230"/>
    </row>
    <row r="538" spans="1:26" ht="15.75" customHeight="1">
      <c r="A538" s="230"/>
      <c r="B538" s="230"/>
      <c r="C538" s="230"/>
      <c r="D538" s="230"/>
      <c r="E538" s="230"/>
      <c r="F538" s="230"/>
      <c r="G538" s="230"/>
      <c r="H538" s="230"/>
      <c r="I538" s="230"/>
      <c r="J538" s="230"/>
      <c r="K538" s="230"/>
      <c r="L538" s="230"/>
      <c r="M538" s="230"/>
      <c r="N538" s="230"/>
      <c r="O538" s="230"/>
      <c r="P538" s="230"/>
      <c r="Q538" s="230"/>
      <c r="R538" s="230"/>
      <c r="S538" s="230"/>
      <c r="T538" s="230"/>
      <c r="U538" s="230"/>
      <c r="V538" s="230"/>
      <c r="W538" s="230"/>
      <c r="X538" s="230"/>
      <c r="Y538" s="230"/>
      <c r="Z538" s="230"/>
    </row>
    <row r="539" spans="1:26" ht="15.75" customHeight="1">
      <c r="A539" s="230"/>
      <c r="B539" s="230"/>
      <c r="C539" s="230"/>
      <c r="D539" s="230"/>
      <c r="E539" s="230"/>
      <c r="F539" s="230"/>
      <c r="G539" s="230"/>
      <c r="H539" s="230"/>
      <c r="I539" s="230"/>
      <c r="J539" s="230"/>
      <c r="K539" s="230"/>
      <c r="L539" s="230"/>
      <c r="M539" s="230"/>
      <c r="N539" s="230"/>
      <c r="O539" s="230"/>
      <c r="P539" s="230"/>
      <c r="Q539" s="230"/>
      <c r="R539" s="230"/>
      <c r="S539" s="230"/>
      <c r="T539" s="230"/>
      <c r="U539" s="230"/>
      <c r="V539" s="230"/>
      <c r="W539" s="230"/>
      <c r="X539" s="230"/>
      <c r="Y539" s="230"/>
      <c r="Z539" s="230"/>
    </row>
    <row r="540" spans="1:26" ht="15.75" customHeight="1">
      <c r="A540" s="230"/>
      <c r="B540" s="230"/>
      <c r="C540" s="230"/>
      <c r="D540" s="230"/>
      <c r="E540" s="230"/>
      <c r="F540" s="230"/>
      <c r="G540" s="230"/>
      <c r="H540" s="230"/>
      <c r="I540" s="230"/>
      <c r="J540" s="230"/>
      <c r="K540" s="230"/>
      <c r="L540" s="230"/>
      <c r="M540" s="230"/>
      <c r="N540" s="230"/>
      <c r="O540" s="230"/>
      <c r="P540" s="230"/>
      <c r="Q540" s="230"/>
      <c r="R540" s="230"/>
      <c r="S540" s="230"/>
      <c r="T540" s="230"/>
      <c r="U540" s="230"/>
      <c r="V540" s="230"/>
      <c r="W540" s="230"/>
      <c r="X540" s="230"/>
      <c r="Y540" s="230"/>
      <c r="Z540" s="230"/>
    </row>
    <row r="541" spans="1:26" ht="15.75" customHeight="1">
      <c r="A541" s="230"/>
      <c r="B541" s="230"/>
      <c r="C541" s="230"/>
      <c r="D541" s="230"/>
      <c r="E541" s="230"/>
      <c r="F541" s="230"/>
      <c r="G541" s="230"/>
      <c r="H541" s="230"/>
      <c r="I541" s="230"/>
      <c r="J541" s="230"/>
      <c r="K541" s="230"/>
      <c r="L541" s="230"/>
      <c r="M541" s="230"/>
      <c r="N541" s="230"/>
      <c r="O541" s="230"/>
      <c r="P541" s="230"/>
      <c r="Q541" s="230"/>
      <c r="R541" s="230"/>
      <c r="S541" s="230"/>
      <c r="T541" s="230"/>
      <c r="U541" s="230"/>
      <c r="V541" s="230"/>
      <c r="W541" s="230"/>
      <c r="X541" s="230"/>
      <c r="Y541" s="230"/>
      <c r="Z541" s="230"/>
    </row>
    <row r="542" spans="1:26" ht="15.75" customHeight="1">
      <c r="A542" s="230"/>
      <c r="B542" s="230"/>
      <c r="C542" s="230"/>
      <c r="D542" s="230"/>
      <c r="E542" s="230"/>
      <c r="F542" s="230"/>
      <c r="G542" s="230"/>
      <c r="H542" s="230"/>
      <c r="I542" s="230"/>
      <c r="J542" s="230"/>
      <c r="K542" s="230"/>
      <c r="L542" s="230"/>
      <c r="M542" s="230"/>
      <c r="N542" s="230"/>
      <c r="O542" s="230"/>
      <c r="P542" s="230"/>
      <c r="Q542" s="230"/>
      <c r="R542" s="230"/>
      <c r="S542" s="230"/>
      <c r="T542" s="230"/>
      <c r="U542" s="230"/>
      <c r="V542" s="230"/>
      <c r="W542" s="230"/>
      <c r="X542" s="230"/>
      <c r="Y542" s="230"/>
      <c r="Z542" s="230"/>
    </row>
    <row r="543" spans="1:26" ht="15.75" customHeight="1">
      <c r="A543" s="230"/>
      <c r="B543" s="230"/>
      <c r="C543" s="230"/>
      <c r="D543" s="230"/>
      <c r="E543" s="230"/>
      <c r="F543" s="230"/>
      <c r="G543" s="230"/>
      <c r="H543" s="230"/>
      <c r="I543" s="230"/>
      <c r="J543" s="230"/>
      <c r="K543" s="230"/>
      <c r="L543" s="230"/>
      <c r="M543" s="230"/>
      <c r="N543" s="230"/>
      <c r="O543" s="230"/>
      <c r="P543" s="230"/>
      <c r="Q543" s="230"/>
      <c r="R543" s="230"/>
      <c r="S543" s="230"/>
      <c r="T543" s="230"/>
      <c r="U543" s="230"/>
      <c r="V543" s="230"/>
      <c r="W543" s="230"/>
      <c r="X543" s="230"/>
      <c r="Y543" s="230"/>
      <c r="Z543" s="230"/>
    </row>
    <row r="544" spans="1:26" ht="15.75" customHeight="1">
      <c r="A544" s="230"/>
      <c r="B544" s="230"/>
      <c r="C544" s="230"/>
      <c r="D544" s="230"/>
      <c r="E544" s="230"/>
      <c r="F544" s="230"/>
      <c r="G544" s="230"/>
      <c r="H544" s="230"/>
      <c r="I544" s="230"/>
      <c r="J544" s="230"/>
      <c r="K544" s="230"/>
      <c r="L544" s="230"/>
      <c r="M544" s="230"/>
      <c r="N544" s="230"/>
      <c r="O544" s="230"/>
      <c r="P544" s="230"/>
      <c r="Q544" s="230"/>
      <c r="R544" s="230"/>
      <c r="S544" s="230"/>
      <c r="T544" s="230"/>
      <c r="U544" s="230"/>
      <c r="V544" s="230"/>
      <c r="W544" s="230"/>
      <c r="X544" s="230"/>
      <c r="Y544" s="230"/>
      <c r="Z544" s="230"/>
    </row>
    <row r="545" spans="1:26" ht="15.75" customHeight="1">
      <c r="A545" s="230"/>
      <c r="B545" s="230"/>
      <c r="C545" s="230"/>
      <c r="D545" s="230"/>
      <c r="E545" s="230"/>
      <c r="F545" s="230"/>
      <c r="G545" s="230"/>
      <c r="H545" s="230"/>
      <c r="I545" s="230"/>
      <c r="J545" s="230"/>
      <c r="K545" s="230"/>
      <c r="L545" s="230"/>
      <c r="M545" s="230"/>
      <c r="N545" s="230"/>
      <c r="O545" s="230"/>
      <c r="P545" s="230"/>
      <c r="Q545" s="230"/>
      <c r="R545" s="230"/>
      <c r="S545" s="230"/>
      <c r="T545" s="230"/>
      <c r="U545" s="230"/>
      <c r="V545" s="230"/>
      <c r="W545" s="230"/>
      <c r="X545" s="230"/>
      <c r="Y545" s="230"/>
      <c r="Z545" s="230"/>
    </row>
    <row r="546" spans="1:26" ht="15.75" customHeight="1">
      <c r="A546" s="230"/>
      <c r="B546" s="230"/>
      <c r="C546" s="230"/>
      <c r="D546" s="230"/>
      <c r="E546" s="230"/>
      <c r="F546" s="230"/>
      <c r="G546" s="230"/>
      <c r="H546" s="230"/>
      <c r="I546" s="230"/>
      <c r="J546" s="230"/>
      <c r="K546" s="230"/>
      <c r="L546" s="230"/>
      <c r="M546" s="230"/>
      <c r="N546" s="230"/>
      <c r="O546" s="230"/>
      <c r="P546" s="230"/>
      <c r="Q546" s="230"/>
      <c r="R546" s="230"/>
      <c r="S546" s="230"/>
      <c r="T546" s="230"/>
      <c r="U546" s="230"/>
      <c r="V546" s="230"/>
      <c r="W546" s="230"/>
      <c r="X546" s="230"/>
      <c r="Y546" s="230"/>
      <c r="Z546" s="230"/>
    </row>
    <row r="547" spans="1:26" ht="15.75" customHeight="1">
      <c r="A547" s="230"/>
      <c r="B547" s="230"/>
      <c r="C547" s="230"/>
      <c r="D547" s="230"/>
      <c r="E547" s="230"/>
      <c r="F547" s="230"/>
      <c r="G547" s="230"/>
      <c r="H547" s="230"/>
      <c r="I547" s="230"/>
      <c r="J547" s="230"/>
      <c r="K547" s="230"/>
      <c r="L547" s="230"/>
      <c r="M547" s="230"/>
      <c r="N547" s="230"/>
      <c r="O547" s="230"/>
      <c r="P547" s="230"/>
      <c r="Q547" s="230"/>
      <c r="R547" s="230"/>
      <c r="S547" s="230"/>
      <c r="T547" s="230"/>
      <c r="U547" s="230"/>
      <c r="V547" s="230"/>
      <c r="W547" s="230"/>
      <c r="X547" s="230"/>
      <c r="Y547" s="230"/>
      <c r="Z547" s="230"/>
    </row>
    <row r="548" spans="1:26" ht="15.75" customHeight="1">
      <c r="A548" s="230"/>
      <c r="B548" s="230"/>
      <c r="C548" s="230"/>
      <c r="D548" s="230"/>
      <c r="E548" s="230"/>
      <c r="F548" s="230"/>
      <c r="G548" s="230"/>
      <c r="H548" s="230"/>
      <c r="I548" s="230"/>
      <c r="J548" s="230"/>
      <c r="K548" s="230"/>
      <c r="L548" s="230"/>
      <c r="M548" s="230"/>
      <c r="N548" s="230"/>
      <c r="O548" s="230"/>
      <c r="P548" s="230"/>
      <c r="Q548" s="230"/>
      <c r="R548" s="230"/>
      <c r="S548" s="230"/>
      <c r="T548" s="230"/>
      <c r="U548" s="230"/>
      <c r="V548" s="230"/>
      <c r="W548" s="230"/>
      <c r="X548" s="230"/>
      <c r="Y548" s="230"/>
      <c r="Z548" s="230"/>
    </row>
    <row r="549" spans="1:26" ht="15.75" customHeight="1">
      <c r="A549" s="230"/>
      <c r="B549" s="230"/>
      <c r="C549" s="230"/>
      <c r="D549" s="230"/>
      <c r="E549" s="230"/>
      <c r="F549" s="230"/>
      <c r="G549" s="230"/>
      <c r="H549" s="230"/>
      <c r="I549" s="230"/>
      <c r="J549" s="230"/>
      <c r="K549" s="230"/>
      <c r="L549" s="230"/>
      <c r="M549" s="230"/>
      <c r="N549" s="230"/>
      <c r="O549" s="230"/>
      <c r="P549" s="230"/>
      <c r="Q549" s="230"/>
      <c r="R549" s="230"/>
      <c r="S549" s="230"/>
      <c r="T549" s="230"/>
      <c r="U549" s="230"/>
      <c r="V549" s="230"/>
      <c r="W549" s="230"/>
      <c r="X549" s="230"/>
      <c r="Y549" s="230"/>
      <c r="Z549" s="230"/>
    </row>
    <row r="550" spans="1:26" ht="15.75" customHeight="1">
      <c r="A550" s="230"/>
      <c r="B550" s="230"/>
      <c r="C550" s="230"/>
      <c r="D550" s="230"/>
      <c r="E550" s="230"/>
      <c r="F550" s="230"/>
      <c r="G550" s="230"/>
      <c r="H550" s="230"/>
      <c r="I550" s="230"/>
      <c r="J550" s="230"/>
      <c r="K550" s="230"/>
      <c r="L550" s="230"/>
      <c r="M550" s="230"/>
      <c r="N550" s="230"/>
      <c r="O550" s="230"/>
      <c r="P550" s="230"/>
      <c r="Q550" s="230"/>
      <c r="R550" s="230"/>
      <c r="S550" s="230"/>
      <c r="T550" s="230"/>
      <c r="U550" s="230"/>
      <c r="V550" s="230"/>
      <c r="W550" s="230"/>
      <c r="X550" s="230"/>
      <c r="Y550" s="230"/>
      <c r="Z550" s="230"/>
    </row>
    <row r="551" spans="1:26" ht="15.75" customHeight="1">
      <c r="A551" s="230"/>
      <c r="B551" s="230"/>
      <c r="C551" s="230"/>
      <c r="D551" s="230"/>
      <c r="E551" s="230"/>
      <c r="F551" s="230"/>
      <c r="G551" s="230"/>
      <c r="H551" s="230"/>
      <c r="I551" s="230"/>
      <c r="J551" s="230"/>
      <c r="K551" s="230"/>
      <c r="L551" s="230"/>
      <c r="M551" s="230"/>
      <c r="N551" s="230"/>
      <c r="O551" s="230"/>
      <c r="P551" s="230"/>
      <c r="Q551" s="230"/>
      <c r="R551" s="230"/>
      <c r="S551" s="230"/>
      <c r="T551" s="230"/>
      <c r="U551" s="230"/>
      <c r="V551" s="230"/>
      <c r="W551" s="230"/>
      <c r="X551" s="230"/>
      <c r="Y551" s="230"/>
      <c r="Z551" s="230"/>
    </row>
    <row r="552" spans="1:26" ht="15.75" customHeight="1">
      <c r="A552" s="230"/>
      <c r="B552" s="230"/>
      <c r="C552" s="230"/>
      <c r="D552" s="230"/>
      <c r="E552" s="230"/>
      <c r="F552" s="230"/>
      <c r="G552" s="230"/>
      <c r="H552" s="230"/>
      <c r="I552" s="230"/>
      <c r="J552" s="230"/>
      <c r="K552" s="230"/>
      <c r="L552" s="230"/>
      <c r="M552" s="230"/>
      <c r="N552" s="230"/>
      <c r="O552" s="230"/>
      <c r="P552" s="230"/>
      <c r="Q552" s="230"/>
      <c r="R552" s="230"/>
      <c r="S552" s="230"/>
      <c r="T552" s="230"/>
      <c r="U552" s="230"/>
      <c r="V552" s="230"/>
      <c r="W552" s="230"/>
      <c r="X552" s="230"/>
      <c r="Y552" s="230"/>
      <c r="Z552" s="230"/>
    </row>
    <row r="553" spans="1:26" ht="15.75" customHeight="1">
      <c r="A553" s="230"/>
      <c r="B553" s="230"/>
      <c r="C553" s="230"/>
      <c r="D553" s="230"/>
      <c r="E553" s="230"/>
      <c r="F553" s="230"/>
      <c r="G553" s="230"/>
      <c r="H553" s="230"/>
      <c r="I553" s="230"/>
      <c r="J553" s="230"/>
      <c r="K553" s="230"/>
      <c r="L553" s="230"/>
      <c r="M553" s="230"/>
      <c r="N553" s="230"/>
      <c r="O553" s="230"/>
      <c r="P553" s="230"/>
      <c r="Q553" s="230"/>
      <c r="R553" s="230"/>
      <c r="S553" s="230"/>
      <c r="T553" s="230"/>
      <c r="U553" s="230"/>
      <c r="V553" s="230"/>
      <c r="W553" s="230"/>
      <c r="X553" s="230"/>
      <c r="Y553" s="230"/>
      <c r="Z553" s="230"/>
    </row>
    <row r="554" spans="1:26" ht="15.75" customHeight="1">
      <c r="A554" s="230"/>
      <c r="B554" s="230"/>
      <c r="C554" s="230"/>
      <c r="D554" s="230"/>
      <c r="E554" s="230"/>
      <c r="F554" s="230"/>
      <c r="G554" s="230"/>
      <c r="H554" s="230"/>
      <c r="I554" s="230"/>
      <c r="J554" s="230"/>
      <c r="K554" s="230"/>
      <c r="L554" s="230"/>
      <c r="M554" s="230"/>
      <c r="N554" s="230"/>
      <c r="O554" s="230"/>
      <c r="P554" s="230"/>
      <c r="Q554" s="230"/>
      <c r="R554" s="230"/>
      <c r="S554" s="230"/>
      <c r="T554" s="230"/>
      <c r="U554" s="230"/>
      <c r="V554" s="230"/>
      <c r="W554" s="230"/>
      <c r="X554" s="230"/>
      <c r="Y554" s="230"/>
      <c r="Z554" s="230"/>
    </row>
    <row r="555" spans="1:26" ht="15.75" customHeight="1">
      <c r="A555" s="230"/>
      <c r="B555" s="230"/>
      <c r="C555" s="230"/>
      <c r="D555" s="230"/>
      <c r="E555" s="230"/>
      <c r="F555" s="230"/>
      <c r="G555" s="230"/>
      <c r="H555" s="230"/>
      <c r="I555" s="230"/>
      <c r="J555" s="230"/>
      <c r="K555" s="230"/>
      <c r="L555" s="230"/>
      <c r="M555" s="230"/>
      <c r="N555" s="230"/>
      <c r="O555" s="230"/>
      <c r="P555" s="230"/>
      <c r="Q555" s="230"/>
      <c r="R555" s="230"/>
      <c r="S555" s="230"/>
      <c r="T555" s="230"/>
      <c r="U555" s="230"/>
      <c r="V555" s="230"/>
      <c r="W555" s="230"/>
      <c r="X555" s="230"/>
      <c r="Y555" s="230"/>
      <c r="Z555" s="230"/>
    </row>
    <row r="556" spans="1:26" ht="15.75" customHeight="1">
      <c r="A556" s="230"/>
      <c r="B556" s="230"/>
      <c r="C556" s="230"/>
      <c r="D556" s="230"/>
      <c r="E556" s="230"/>
      <c r="F556" s="230"/>
      <c r="G556" s="230"/>
      <c r="H556" s="230"/>
      <c r="I556" s="230"/>
      <c r="J556" s="230"/>
      <c r="K556" s="230"/>
      <c r="L556" s="230"/>
      <c r="M556" s="230"/>
      <c r="N556" s="230"/>
      <c r="O556" s="230"/>
      <c r="P556" s="230"/>
      <c r="Q556" s="230"/>
      <c r="R556" s="230"/>
      <c r="S556" s="230"/>
      <c r="T556" s="230"/>
      <c r="U556" s="230"/>
      <c r="V556" s="230"/>
      <c r="W556" s="230"/>
      <c r="X556" s="230"/>
      <c r="Y556" s="230"/>
      <c r="Z556" s="230"/>
    </row>
    <row r="557" spans="1:26" ht="15.75" customHeight="1">
      <c r="A557" s="230"/>
      <c r="B557" s="230"/>
      <c r="C557" s="230"/>
      <c r="D557" s="230"/>
      <c r="E557" s="230"/>
      <c r="F557" s="230"/>
      <c r="G557" s="230"/>
      <c r="H557" s="230"/>
      <c r="I557" s="230"/>
      <c r="J557" s="230"/>
      <c r="K557" s="230"/>
      <c r="L557" s="230"/>
      <c r="M557" s="230"/>
      <c r="N557" s="230"/>
      <c r="O557" s="230"/>
      <c r="P557" s="230"/>
      <c r="Q557" s="230"/>
      <c r="R557" s="230"/>
      <c r="S557" s="230"/>
      <c r="T557" s="230"/>
      <c r="U557" s="230"/>
      <c r="V557" s="230"/>
      <c r="W557" s="230"/>
      <c r="X557" s="230"/>
      <c r="Y557" s="230"/>
      <c r="Z557" s="230"/>
    </row>
    <row r="558" spans="1:26" ht="15.75" customHeight="1">
      <c r="A558" s="230"/>
      <c r="B558" s="230"/>
      <c r="C558" s="230"/>
      <c r="D558" s="230"/>
      <c r="E558" s="230"/>
      <c r="F558" s="230"/>
      <c r="G558" s="230"/>
      <c r="H558" s="230"/>
      <c r="I558" s="230"/>
      <c r="J558" s="230"/>
      <c r="K558" s="230"/>
      <c r="L558" s="230"/>
      <c r="M558" s="230"/>
      <c r="N558" s="230"/>
      <c r="O558" s="230"/>
      <c r="P558" s="230"/>
      <c r="Q558" s="230"/>
      <c r="R558" s="230"/>
      <c r="S558" s="230"/>
      <c r="T558" s="230"/>
      <c r="U558" s="230"/>
      <c r="V558" s="230"/>
      <c r="W558" s="230"/>
      <c r="X558" s="230"/>
      <c r="Y558" s="230"/>
      <c r="Z558" s="230"/>
    </row>
    <row r="559" spans="1:26" ht="15.75" customHeight="1">
      <c r="A559" s="230"/>
      <c r="B559" s="230"/>
      <c r="C559" s="230"/>
      <c r="D559" s="230"/>
      <c r="E559" s="230"/>
      <c r="F559" s="230"/>
      <c r="G559" s="230"/>
      <c r="H559" s="230"/>
      <c r="I559" s="230"/>
      <c r="J559" s="230"/>
      <c r="K559" s="230"/>
      <c r="L559" s="230"/>
      <c r="M559" s="230"/>
      <c r="N559" s="230"/>
      <c r="O559" s="230"/>
      <c r="P559" s="230"/>
      <c r="Q559" s="230"/>
      <c r="R559" s="230"/>
      <c r="S559" s="230"/>
      <c r="T559" s="230"/>
      <c r="U559" s="230"/>
      <c r="V559" s="230"/>
      <c r="W559" s="230"/>
      <c r="X559" s="230"/>
      <c r="Y559" s="230"/>
      <c r="Z559" s="230"/>
    </row>
    <row r="560" spans="1:26" ht="15.75" customHeight="1">
      <c r="A560" s="230"/>
      <c r="B560" s="230"/>
      <c r="C560" s="230"/>
      <c r="D560" s="230"/>
      <c r="E560" s="230"/>
      <c r="F560" s="230"/>
      <c r="G560" s="230"/>
      <c r="H560" s="230"/>
      <c r="I560" s="230"/>
      <c r="J560" s="230"/>
      <c r="K560" s="230"/>
      <c r="L560" s="230"/>
      <c r="M560" s="230"/>
      <c r="N560" s="230"/>
      <c r="O560" s="230"/>
      <c r="P560" s="230"/>
      <c r="Q560" s="230"/>
      <c r="R560" s="230"/>
      <c r="S560" s="230"/>
      <c r="T560" s="230"/>
      <c r="U560" s="230"/>
      <c r="V560" s="230"/>
      <c r="W560" s="230"/>
      <c r="X560" s="230"/>
      <c r="Y560" s="230"/>
      <c r="Z560" s="230"/>
    </row>
    <row r="561" spans="1:26" ht="15.75" customHeight="1">
      <c r="A561" s="230"/>
      <c r="B561" s="230"/>
      <c r="C561" s="230"/>
      <c r="D561" s="230"/>
      <c r="E561" s="230"/>
      <c r="F561" s="230"/>
      <c r="G561" s="230"/>
      <c r="H561" s="230"/>
      <c r="I561" s="230"/>
      <c r="J561" s="230"/>
      <c r="K561" s="230"/>
      <c r="L561" s="230"/>
      <c r="M561" s="230"/>
      <c r="N561" s="230"/>
      <c r="O561" s="230"/>
      <c r="P561" s="230"/>
      <c r="Q561" s="230"/>
      <c r="R561" s="230"/>
      <c r="S561" s="230"/>
      <c r="T561" s="230"/>
      <c r="U561" s="230"/>
      <c r="V561" s="230"/>
      <c r="W561" s="230"/>
      <c r="X561" s="230"/>
      <c r="Y561" s="230"/>
      <c r="Z561" s="230"/>
    </row>
    <row r="562" spans="1:26" ht="15.75" customHeight="1">
      <c r="A562" s="230"/>
      <c r="B562" s="230"/>
      <c r="C562" s="230"/>
      <c r="D562" s="230"/>
      <c r="E562" s="230"/>
      <c r="F562" s="230"/>
      <c r="G562" s="230"/>
      <c r="H562" s="230"/>
      <c r="I562" s="230"/>
      <c r="J562" s="230"/>
      <c r="K562" s="230"/>
      <c r="L562" s="230"/>
      <c r="M562" s="230"/>
      <c r="N562" s="230"/>
      <c r="O562" s="230"/>
      <c r="P562" s="230"/>
      <c r="Q562" s="230"/>
      <c r="R562" s="230"/>
      <c r="S562" s="230"/>
      <c r="T562" s="230"/>
      <c r="U562" s="230"/>
      <c r="V562" s="230"/>
      <c r="W562" s="230"/>
      <c r="X562" s="230"/>
      <c r="Y562" s="230"/>
      <c r="Z562" s="230"/>
    </row>
    <row r="563" spans="1:26" ht="15.75" customHeight="1">
      <c r="A563" s="230"/>
      <c r="B563" s="230"/>
      <c r="C563" s="230"/>
      <c r="D563" s="230"/>
      <c r="E563" s="230"/>
      <c r="F563" s="230"/>
      <c r="G563" s="230"/>
      <c r="H563" s="230"/>
      <c r="I563" s="230"/>
      <c r="J563" s="230"/>
      <c r="K563" s="230"/>
      <c r="L563" s="230"/>
      <c r="M563" s="230"/>
      <c r="N563" s="230"/>
      <c r="O563" s="230"/>
      <c r="P563" s="230"/>
      <c r="Q563" s="230"/>
      <c r="R563" s="230"/>
      <c r="S563" s="230"/>
      <c r="T563" s="230"/>
      <c r="U563" s="230"/>
      <c r="V563" s="230"/>
      <c r="W563" s="230"/>
      <c r="X563" s="230"/>
      <c r="Y563" s="230"/>
      <c r="Z563" s="230"/>
    </row>
    <row r="564" spans="1:26" ht="15.75" customHeight="1">
      <c r="A564" s="230"/>
      <c r="B564" s="230"/>
      <c r="C564" s="230"/>
      <c r="D564" s="230"/>
      <c r="E564" s="230"/>
      <c r="F564" s="230"/>
      <c r="G564" s="230"/>
      <c r="H564" s="230"/>
      <c r="I564" s="230"/>
      <c r="J564" s="230"/>
      <c r="K564" s="230"/>
      <c r="L564" s="230"/>
      <c r="M564" s="230"/>
      <c r="N564" s="230"/>
      <c r="O564" s="230"/>
      <c r="P564" s="230"/>
      <c r="Q564" s="230"/>
      <c r="R564" s="230"/>
      <c r="S564" s="230"/>
      <c r="T564" s="230"/>
      <c r="U564" s="230"/>
      <c r="V564" s="230"/>
      <c r="W564" s="230"/>
      <c r="X564" s="230"/>
      <c r="Y564" s="230"/>
      <c r="Z564" s="230"/>
    </row>
    <row r="565" spans="1:26" ht="15.75" customHeight="1">
      <c r="A565" s="230"/>
      <c r="B565" s="230"/>
      <c r="C565" s="230"/>
      <c r="D565" s="230"/>
      <c r="E565" s="230"/>
      <c r="F565" s="230"/>
      <c r="G565" s="230"/>
      <c r="H565" s="230"/>
      <c r="I565" s="230"/>
      <c r="J565" s="230"/>
      <c r="K565" s="230"/>
      <c r="L565" s="230"/>
      <c r="M565" s="230"/>
      <c r="N565" s="230"/>
      <c r="O565" s="230"/>
      <c r="P565" s="230"/>
      <c r="Q565" s="230"/>
      <c r="R565" s="230"/>
      <c r="S565" s="230"/>
      <c r="T565" s="230"/>
      <c r="U565" s="230"/>
      <c r="V565" s="230"/>
      <c r="W565" s="230"/>
      <c r="X565" s="230"/>
      <c r="Y565" s="230"/>
      <c r="Z565" s="230"/>
    </row>
    <row r="566" spans="1:26" ht="15.75" customHeight="1">
      <c r="A566" s="230"/>
      <c r="B566" s="230"/>
      <c r="C566" s="230"/>
      <c r="D566" s="230"/>
      <c r="E566" s="230"/>
      <c r="F566" s="230"/>
      <c r="G566" s="230"/>
      <c r="H566" s="230"/>
      <c r="I566" s="230"/>
      <c r="J566" s="230"/>
      <c r="K566" s="230"/>
      <c r="L566" s="230"/>
      <c r="M566" s="230"/>
      <c r="N566" s="230"/>
      <c r="O566" s="230"/>
      <c r="P566" s="230"/>
      <c r="Q566" s="230"/>
      <c r="R566" s="230"/>
      <c r="S566" s="230"/>
      <c r="T566" s="230"/>
      <c r="U566" s="230"/>
      <c r="V566" s="230"/>
      <c r="W566" s="230"/>
      <c r="X566" s="230"/>
      <c r="Y566" s="230"/>
      <c r="Z566" s="230"/>
    </row>
    <row r="567" spans="1:26" ht="15.75" customHeight="1">
      <c r="A567" s="230"/>
      <c r="B567" s="230"/>
      <c r="C567" s="230"/>
      <c r="D567" s="230"/>
      <c r="E567" s="230"/>
      <c r="F567" s="230"/>
      <c r="G567" s="230"/>
      <c r="H567" s="230"/>
      <c r="I567" s="230"/>
      <c r="J567" s="230"/>
      <c r="K567" s="230"/>
      <c r="L567" s="230"/>
      <c r="M567" s="230"/>
      <c r="N567" s="230"/>
      <c r="O567" s="230"/>
      <c r="P567" s="230"/>
      <c r="Q567" s="230"/>
      <c r="R567" s="230"/>
      <c r="S567" s="230"/>
      <c r="T567" s="230"/>
      <c r="U567" s="230"/>
      <c r="V567" s="230"/>
      <c r="W567" s="230"/>
      <c r="X567" s="230"/>
      <c r="Y567" s="230"/>
      <c r="Z567" s="230"/>
    </row>
    <row r="568" spans="1:26" ht="15.75" customHeight="1">
      <c r="A568" s="230"/>
      <c r="B568" s="230"/>
      <c r="C568" s="230"/>
      <c r="D568" s="230"/>
      <c r="E568" s="230"/>
      <c r="F568" s="230"/>
      <c r="G568" s="230"/>
      <c r="H568" s="230"/>
      <c r="I568" s="230"/>
      <c r="J568" s="230"/>
      <c r="K568" s="230"/>
      <c r="L568" s="230"/>
      <c r="M568" s="230"/>
      <c r="N568" s="230"/>
      <c r="O568" s="230"/>
      <c r="P568" s="230"/>
      <c r="Q568" s="230"/>
      <c r="R568" s="230"/>
      <c r="S568" s="230"/>
      <c r="T568" s="230"/>
      <c r="U568" s="230"/>
      <c r="V568" s="230"/>
      <c r="W568" s="230"/>
      <c r="X568" s="230"/>
      <c r="Y568" s="230"/>
      <c r="Z568" s="230"/>
    </row>
    <row r="569" spans="1:26" ht="15.75" customHeight="1">
      <c r="A569" s="230"/>
      <c r="B569" s="230"/>
      <c r="C569" s="230"/>
      <c r="D569" s="230"/>
      <c r="E569" s="230"/>
      <c r="F569" s="230"/>
      <c r="G569" s="230"/>
      <c r="H569" s="230"/>
      <c r="I569" s="230"/>
      <c r="J569" s="230"/>
      <c r="K569" s="230"/>
      <c r="L569" s="230"/>
      <c r="M569" s="230"/>
      <c r="N569" s="230"/>
      <c r="O569" s="230"/>
      <c r="P569" s="230"/>
      <c r="Q569" s="230"/>
      <c r="R569" s="230"/>
      <c r="S569" s="230"/>
      <c r="T569" s="230"/>
      <c r="U569" s="230"/>
      <c r="V569" s="230"/>
      <c r="W569" s="230"/>
      <c r="X569" s="230"/>
      <c r="Y569" s="230"/>
      <c r="Z569" s="230"/>
    </row>
    <row r="570" spans="1:26" ht="15.75" customHeight="1">
      <c r="A570" s="230"/>
      <c r="B570" s="230"/>
      <c r="C570" s="230"/>
      <c r="D570" s="230"/>
      <c r="E570" s="230"/>
      <c r="F570" s="230"/>
      <c r="G570" s="230"/>
      <c r="H570" s="230"/>
      <c r="I570" s="230"/>
      <c r="J570" s="230"/>
      <c r="K570" s="230"/>
      <c r="L570" s="230"/>
      <c r="M570" s="230"/>
      <c r="N570" s="230"/>
      <c r="O570" s="230"/>
      <c r="P570" s="230"/>
      <c r="Q570" s="230"/>
      <c r="R570" s="230"/>
      <c r="S570" s="230"/>
      <c r="T570" s="230"/>
      <c r="U570" s="230"/>
      <c r="V570" s="230"/>
      <c r="W570" s="230"/>
      <c r="X570" s="230"/>
      <c r="Y570" s="230"/>
      <c r="Z570" s="230"/>
    </row>
    <row r="571" spans="1:26" ht="15.75" customHeight="1">
      <c r="A571" s="230"/>
      <c r="B571" s="230"/>
      <c r="C571" s="230"/>
      <c r="D571" s="230"/>
      <c r="E571" s="230"/>
      <c r="F571" s="230"/>
      <c r="G571" s="230"/>
      <c r="H571" s="230"/>
      <c r="I571" s="230"/>
      <c r="J571" s="230"/>
      <c r="K571" s="230"/>
      <c r="L571" s="230"/>
      <c r="M571" s="230"/>
      <c r="N571" s="230"/>
      <c r="O571" s="230"/>
      <c r="P571" s="230"/>
      <c r="Q571" s="230"/>
      <c r="R571" s="230"/>
      <c r="S571" s="230"/>
      <c r="T571" s="230"/>
      <c r="U571" s="230"/>
      <c r="V571" s="230"/>
      <c r="W571" s="230"/>
      <c r="X571" s="230"/>
      <c r="Y571" s="230"/>
      <c r="Z571" s="230"/>
    </row>
    <row r="572" spans="1:26" ht="15.75" customHeight="1">
      <c r="A572" s="230"/>
      <c r="B572" s="230"/>
      <c r="C572" s="230"/>
      <c r="D572" s="230"/>
      <c r="E572" s="230"/>
      <c r="F572" s="230"/>
      <c r="G572" s="230"/>
      <c r="H572" s="230"/>
      <c r="I572" s="230"/>
      <c r="J572" s="230"/>
      <c r="K572" s="230"/>
      <c r="L572" s="230"/>
      <c r="M572" s="230"/>
      <c r="N572" s="230"/>
      <c r="O572" s="230"/>
      <c r="P572" s="230"/>
      <c r="Q572" s="230"/>
      <c r="R572" s="230"/>
      <c r="S572" s="230"/>
      <c r="T572" s="230"/>
      <c r="U572" s="230"/>
      <c r="V572" s="230"/>
      <c r="W572" s="230"/>
      <c r="X572" s="230"/>
      <c r="Y572" s="230"/>
      <c r="Z572" s="230"/>
    </row>
    <row r="573" spans="1:26" ht="15.75" customHeight="1">
      <c r="A573" s="230"/>
      <c r="B573" s="230"/>
      <c r="C573" s="230"/>
      <c r="D573" s="230"/>
      <c r="E573" s="230"/>
      <c r="F573" s="230"/>
      <c r="G573" s="230"/>
      <c r="H573" s="230"/>
      <c r="I573" s="230"/>
      <c r="J573" s="230"/>
      <c r="K573" s="230"/>
      <c r="L573" s="230"/>
      <c r="M573" s="230"/>
      <c r="N573" s="230"/>
      <c r="O573" s="230"/>
      <c r="P573" s="230"/>
      <c r="Q573" s="230"/>
      <c r="R573" s="230"/>
      <c r="S573" s="230"/>
      <c r="T573" s="230"/>
      <c r="U573" s="230"/>
      <c r="V573" s="230"/>
      <c r="W573" s="230"/>
      <c r="X573" s="230"/>
      <c r="Y573" s="230"/>
      <c r="Z573" s="230"/>
    </row>
    <row r="574" spans="1:26" ht="15.75" customHeight="1">
      <c r="A574" s="230"/>
      <c r="B574" s="230"/>
      <c r="C574" s="230"/>
      <c r="D574" s="230"/>
      <c r="E574" s="230"/>
      <c r="F574" s="230"/>
      <c r="G574" s="230"/>
      <c r="H574" s="230"/>
      <c r="I574" s="230"/>
      <c r="J574" s="230"/>
      <c r="K574" s="230"/>
      <c r="L574" s="230"/>
      <c r="M574" s="230"/>
      <c r="N574" s="230"/>
      <c r="O574" s="230"/>
      <c r="P574" s="230"/>
      <c r="Q574" s="230"/>
      <c r="R574" s="230"/>
      <c r="S574" s="230"/>
      <c r="T574" s="230"/>
      <c r="U574" s="230"/>
      <c r="V574" s="230"/>
      <c r="W574" s="230"/>
      <c r="X574" s="230"/>
      <c r="Y574" s="230"/>
      <c r="Z574" s="230"/>
    </row>
    <row r="575" spans="1:26" ht="15.75" customHeight="1">
      <c r="A575" s="230"/>
      <c r="B575" s="230"/>
      <c r="C575" s="230"/>
      <c r="D575" s="230"/>
      <c r="E575" s="230"/>
      <c r="F575" s="230"/>
      <c r="G575" s="230"/>
      <c r="H575" s="230"/>
      <c r="I575" s="230"/>
      <c r="J575" s="230"/>
      <c r="K575" s="230"/>
      <c r="L575" s="230"/>
      <c r="M575" s="230"/>
      <c r="N575" s="230"/>
      <c r="O575" s="230"/>
      <c r="P575" s="230"/>
      <c r="Q575" s="230"/>
      <c r="R575" s="230"/>
      <c r="S575" s="230"/>
      <c r="T575" s="230"/>
      <c r="U575" s="230"/>
      <c r="V575" s="230"/>
      <c r="W575" s="230"/>
      <c r="X575" s="230"/>
      <c r="Y575" s="230"/>
      <c r="Z575" s="230"/>
    </row>
    <row r="576" spans="1:26" ht="15.75" customHeight="1">
      <c r="A576" s="230"/>
      <c r="B576" s="230"/>
      <c r="C576" s="230"/>
      <c r="D576" s="230"/>
      <c r="E576" s="230"/>
      <c r="F576" s="230"/>
      <c r="G576" s="230"/>
      <c r="H576" s="230"/>
      <c r="I576" s="230"/>
      <c r="J576" s="230"/>
      <c r="K576" s="230"/>
      <c r="L576" s="230"/>
      <c r="M576" s="230"/>
      <c r="N576" s="230"/>
      <c r="O576" s="230"/>
      <c r="P576" s="230"/>
      <c r="Q576" s="230"/>
      <c r="R576" s="230"/>
      <c r="S576" s="230"/>
      <c r="T576" s="230"/>
      <c r="U576" s="230"/>
      <c r="V576" s="230"/>
      <c r="W576" s="230"/>
      <c r="X576" s="230"/>
      <c r="Y576" s="230"/>
      <c r="Z576" s="230"/>
    </row>
    <row r="577" spans="1:26" ht="15.75" customHeight="1">
      <c r="A577" s="230"/>
      <c r="B577" s="230"/>
      <c r="C577" s="230"/>
      <c r="D577" s="230"/>
      <c r="E577" s="230"/>
      <c r="F577" s="230"/>
      <c r="G577" s="230"/>
      <c r="H577" s="230"/>
      <c r="I577" s="230"/>
      <c r="J577" s="230"/>
      <c r="K577" s="230"/>
      <c r="L577" s="230"/>
      <c r="M577" s="230"/>
      <c r="N577" s="230"/>
      <c r="O577" s="230"/>
      <c r="P577" s="230"/>
      <c r="Q577" s="230"/>
      <c r="R577" s="230"/>
      <c r="S577" s="230"/>
      <c r="T577" s="230"/>
      <c r="U577" s="230"/>
      <c r="V577" s="230"/>
      <c r="W577" s="230"/>
      <c r="X577" s="230"/>
      <c r="Y577" s="230"/>
      <c r="Z577" s="230"/>
    </row>
    <row r="578" spans="1:26" ht="15.75" customHeight="1">
      <c r="A578" s="230"/>
      <c r="B578" s="230"/>
      <c r="C578" s="230"/>
      <c r="D578" s="230"/>
      <c r="E578" s="230"/>
      <c r="F578" s="230"/>
      <c r="G578" s="230"/>
      <c r="H578" s="230"/>
      <c r="I578" s="230"/>
      <c r="J578" s="230"/>
      <c r="K578" s="230"/>
      <c r="L578" s="230"/>
      <c r="M578" s="230"/>
      <c r="N578" s="230"/>
      <c r="O578" s="230"/>
      <c r="P578" s="230"/>
      <c r="Q578" s="230"/>
      <c r="R578" s="230"/>
      <c r="S578" s="230"/>
      <c r="T578" s="230"/>
      <c r="U578" s="230"/>
      <c r="V578" s="230"/>
      <c r="W578" s="230"/>
      <c r="X578" s="230"/>
      <c r="Y578" s="230"/>
      <c r="Z578" s="230"/>
    </row>
    <row r="579" spans="1:26" ht="15.75" customHeight="1">
      <c r="A579" s="230"/>
      <c r="B579" s="230"/>
      <c r="C579" s="230"/>
      <c r="D579" s="230"/>
      <c r="E579" s="230"/>
      <c r="F579" s="230"/>
      <c r="G579" s="230"/>
      <c r="H579" s="230"/>
      <c r="I579" s="230"/>
      <c r="J579" s="230"/>
      <c r="K579" s="230"/>
      <c r="L579" s="230"/>
      <c r="M579" s="230"/>
      <c r="N579" s="230"/>
      <c r="O579" s="230"/>
      <c r="P579" s="230"/>
      <c r="Q579" s="230"/>
      <c r="R579" s="230"/>
      <c r="S579" s="230"/>
      <c r="T579" s="230"/>
      <c r="U579" s="230"/>
      <c r="V579" s="230"/>
      <c r="W579" s="230"/>
      <c r="X579" s="230"/>
      <c r="Y579" s="230"/>
      <c r="Z579" s="230"/>
    </row>
    <row r="580" spans="1:26" ht="15.75" customHeight="1">
      <c r="A580" s="230"/>
      <c r="B580" s="230"/>
      <c r="C580" s="230"/>
      <c r="D580" s="230"/>
      <c r="E580" s="230"/>
      <c r="F580" s="230"/>
      <c r="G580" s="230"/>
      <c r="H580" s="230"/>
      <c r="I580" s="230"/>
      <c r="J580" s="230"/>
      <c r="K580" s="230"/>
      <c r="L580" s="230"/>
      <c r="M580" s="230"/>
      <c r="N580" s="230"/>
      <c r="O580" s="230"/>
      <c r="P580" s="230"/>
      <c r="Q580" s="230"/>
      <c r="R580" s="230"/>
      <c r="S580" s="230"/>
      <c r="T580" s="230"/>
      <c r="U580" s="230"/>
      <c r="V580" s="230"/>
      <c r="W580" s="230"/>
      <c r="X580" s="230"/>
      <c r="Y580" s="230"/>
      <c r="Z580" s="230"/>
    </row>
    <row r="581" spans="1:26" ht="15.75" customHeight="1">
      <c r="A581" s="230"/>
      <c r="B581" s="230"/>
      <c r="C581" s="230"/>
      <c r="D581" s="230"/>
      <c r="E581" s="230"/>
      <c r="F581" s="230"/>
      <c r="G581" s="230"/>
      <c r="H581" s="230"/>
      <c r="I581" s="230"/>
      <c r="J581" s="230"/>
      <c r="K581" s="230"/>
      <c r="L581" s="230"/>
      <c r="M581" s="230"/>
      <c r="N581" s="230"/>
      <c r="O581" s="230"/>
      <c r="P581" s="230"/>
      <c r="Q581" s="230"/>
      <c r="R581" s="230"/>
      <c r="S581" s="230"/>
      <c r="T581" s="230"/>
      <c r="U581" s="230"/>
      <c r="V581" s="230"/>
      <c r="W581" s="230"/>
      <c r="X581" s="230"/>
      <c r="Y581" s="230"/>
      <c r="Z581" s="230"/>
    </row>
    <row r="582" spans="1:26" ht="15.75" customHeight="1">
      <c r="A582" s="230"/>
      <c r="B582" s="230"/>
      <c r="C582" s="230"/>
      <c r="D582" s="230"/>
      <c r="E582" s="230"/>
      <c r="F582" s="230"/>
      <c r="G582" s="230"/>
      <c r="H582" s="230"/>
      <c r="I582" s="230"/>
      <c r="J582" s="230"/>
      <c r="K582" s="230"/>
      <c r="L582" s="230"/>
      <c r="M582" s="230"/>
      <c r="N582" s="230"/>
      <c r="O582" s="230"/>
      <c r="P582" s="230"/>
      <c r="Q582" s="230"/>
      <c r="R582" s="230"/>
      <c r="S582" s="230"/>
      <c r="T582" s="230"/>
      <c r="U582" s="230"/>
      <c r="V582" s="230"/>
      <c r="W582" s="230"/>
      <c r="X582" s="230"/>
      <c r="Y582" s="230"/>
      <c r="Z582" s="230"/>
    </row>
    <row r="583" spans="1:26" ht="15.75" customHeight="1">
      <c r="A583" s="230"/>
      <c r="B583" s="230"/>
      <c r="C583" s="230"/>
      <c r="D583" s="230"/>
      <c r="E583" s="230"/>
      <c r="F583" s="230"/>
      <c r="G583" s="230"/>
      <c r="H583" s="230"/>
      <c r="I583" s="230"/>
      <c r="J583" s="230"/>
      <c r="K583" s="230"/>
      <c r="L583" s="230"/>
      <c r="M583" s="230"/>
      <c r="N583" s="230"/>
      <c r="O583" s="230"/>
      <c r="P583" s="230"/>
      <c r="Q583" s="230"/>
      <c r="R583" s="230"/>
      <c r="S583" s="230"/>
      <c r="T583" s="230"/>
      <c r="U583" s="230"/>
      <c r="V583" s="230"/>
      <c r="W583" s="230"/>
      <c r="X583" s="230"/>
      <c r="Y583" s="230"/>
      <c r="Z583" s="230"/>
    </row>
    <row r="584" spans="1:26" ht="15.75" customHeight="1">
      <c r="A584" s="230"/>
      <c r="B584" s="230"/>
      <c r="C584" s="230"/>
      <c r="D584" s="230"/>
      <c r="E584" s="230"/>
      <c r="F584" s="230"/>
      <c r="G584" s="230"/>
      <c r="H584" s="230"/>
      <c r="I584" s="230"/>
      <c r="J584" s="230"/>
      <c r="K584" s="230"/>
      <c r="L584" s="230"/>
      <c r="M584" s="230"/>
      <c r="N584" s="230"/>
      <c r="O584" s="230"/>
      <c r="P584" s="230"/>
      <c r="Q584" s="230"/>
      <c r="R584" s="230"/>
      <c r="S584" s="230"/>
      <c r="T584" s="230"/>
      <c r="U584" s="230"/>
      <c r="V584" s="230"/>
      <c r="W584" s="230"/>
      <c r="X584" s="230"/>
      <c r="Y584" s="230"/>
      <c r="Z584" s="230"/>
    </row>
    <row r="585" spans="1:26" ht="15.75" customHeight="1">
      <c r="A585" s="230"/>
      <c r="B585" s="230"/>
      <c r="C585" s="230"/>
      <c r="D585" s="230"/>
      <c r="E585" s="230"/>
      <c r="F585" s="230"/>
      <c r="G585" s="230"/>
      <c r="H585" s="230"/>
      <c r="I585" s="230"/>
      <c r="J585" s="230"/>
      <c r="K585" s="230"/>
      <c r="L585" s="230"/>
      <c r="M585" s="230"/>
      <c r="N585" s="230"/>
      <c r="O585" s="230"/>
      <c r="P585" s="230"/>
      <c r="Q585" s="230"/>
      <c r="R585" s="230"/>
      <c r="S585" s="230"/>
      <c r="T585" s="230"/>
      <c r="U585" s="230"/>
      <c r="V585" s="230"/>
      <c r="W585" s="230"/>
      <c r="X585" s="230"/>
      <c r="Y585" s="230"/>
      <c r="Z585" s="230"/>
    </row>
    <row r="586" spans="1:26" ht="15.75" customHeight="1">
      <c r="A586" s="230"/>
      <c r="B586" s="230"/>
      <c r="C586" s="230"/>
      <c r="D586" s="230"/>
      <c r="E586" s="230"/>
      <c r="F586" s="230"/>
      <c r="G586" s="230"/>
      <c r="H586" s="230"/>
      <c r="I586" s="230"/>
      <c r="J586" s="230"/>
      <c r="K586" s="230"/>
      <c r="L586" s="230"/>
      <c r="M586" s="230"/>
      <c r="N586" s="230"/>
      <c r="O586" s="230"/>
      <c r="P586" s="230"/>
      <c r="Q586" s="230"/>
      <c r="R586" s="230"/>
      <c r="S586" s="230"/>
      <c r="T586" s="230"/>
      <c r="U586" s="230"/>
      <c r="V586" s="230"/>
      <c r="W586" s="230"/>
      <c r="X586" s="230"/>
      <c r="Y586" s="230"/>
      <c r="Z586" s="230"/>
    </row>
    <row r="587" spans="1:26" ht="15.75" customHeight="1">
      <c r="A587" s="230"/>
      <c r="B587" s="230"/>
      <c r="C587" s="230"/>
      <c r="D587" s="230"/>
      <c r="E587" s="230"/>
      <c r="F587" s="230"/>
      <c r="G587" s="230"/>
      <c r="H587" s="230"/>
      <c r="I587" s="230"/>
      <c r="J587" s="230"/>
      <c r="K587" s="230"/>
      <c r="L587" s="230"/>
      <c r="M587" s="230"/>
      <c r="N587" s="230"/>
      <c r="O587" s="230"/>
      <c r="P587" s="230"/>
      <c r="Q587" s="230"/>
      <c r="R587" s="230"/>
      <c r="S587" s="230"/>
      <c r="T587" s="230"/>
      <c r="U587" s="230"/>
      <c r="V587" s="230"/>
      <c r="W587" s="230"/>
      <c r="X587" s="230"/>
      <c r="Y587" s="230"/>
      <c r="Z587" s="230"/>
    </row>
    <row r="588" spans="1:26" ht="15.75" customHeight="1">
      <c r="A588" s="230"/>
      <c r="B588" s="230"/>
      <c r="C588" s="230"/>
      <c r="D588" s="230"/>
      <c r="E588" s="230"/>
      <c r="F588" s="230"/>
      <c r="G588" s="230"/>
      <c r="H588" s="230"/>
      <c r="I588" s="230"/>
      <c r="J588" s="230"/>
      <c r="K588" s="230"/>
      <c r="L588" s="230"/>
      <c r="M588" s="230"/>
      <c r="N588" s="230"/>
      <c r="O588" s="230"/>
      <c r="P588" s="230"/>
      <c r="Q588" s="230"/>
      <c r="R588" s="230"/>
      <c r="S588" s="230"/>
      <c r="T588" s="230"/>
      <c r="U588" s="230"/>
      <c r="V588" s="230"/>
      <c r="W588" s="230"/>
      <c r="X588" s="230"/>
      <c r="Y588" s="230"/>
      <c r="Z588" s="230"/>
    </row>
    <row r="589" spans="1:26" ht="15.75" customHeight="1">
      <c r="A589" s="230"/>
      <c r="B589" s="230"/>
      <c r="C589" s="230"/>
      <c r="D589" s="230"/>
      <c r="E589" s="230"/>
      <c r="F589" s="230"/>
      <c r="G589" s="230"/>
      <c r="H589" s="230"/>
      <c r="I589" s="230"/>
      <c r="J589" s="230"/>
      <c r="K589" s="230"/>
      <c r="L589" s="230"/>
      <c r="M589" s="230"/>
      <c r="N589" s="230"/>
      <c r="O589" s="230"/>
      <c r="P589" s="230"/>
      <c r="Q589" s="230"/>
      <c r="R589" s="230"/>
      <c r="S589" s="230"/>
      <c r="T589" s="230"/>
      <c r="U589" s="230"/>
      <c r="V589" s="230"/>
      <c r="W589" s="230"/>
      <c r="X589" s="230"/>
      <c r="Y589" s="230"/>
      <c r="Z589" s="230"/>
    </row>
    <row r="590" spans="1:26" ht="15.75" customHeight="1">
      <c r="A590" s="230"/>
      <c r="B590" s="230"/>
      <c r="C590" s="230"/>
      <c r="D590" s="230"/>
      <c r="E590" s="230"/>
      <c r="F590" s="230"/>
      <c r="G590" s="230"/>
      <c r="H590" s="230"/>
      <c r="I590" s="230"/>
      <c r="J590" s="230"/>
      <c r="K590" s="230"/>
      <c r="L590" s="230"/>
      <c r="M590" s="230"/>
      <c r="N590" s="230"/>
      <c r="O590" s="230"/>
      <c r="P590" s="230"/>
      <c r="Q590" s="230"/>
      <c r="R590" s="230"/>
      <c r="S590" s="230"/>
      <c r="T590" s="230"/>
      <c r="U590" s="230"/>
      <c r="V590" s="230"/>
      <c r="W590" s="230"/>
      <c r="X590" s="230"/>
      <c r="Y590" s="230"/>
      <c r="Z590" s="230"/>
    </row>
    <row r="591" spans="1:26" ht="15.75" customHeight="1">
      <c r="A591" s="230"/>
      <c r="B591" s="230"/>
      <c r="C591" s="230"/>
      <c r="D591" s="230"/>
      <c r="E591" s="230"/>
      <c r="F591" s="230"/>
      <c r="G591" s="230"/>
      <c r="H591" s="230"/>
      <c r="I591" s="230"/>
      <c r="J591" s="230"/>
      <c r="K591" s="230"/>
      <c r="L591" s="230"/>
      <c r="M591" s="230"/>
      <c r="N591" s="230"/>
      <c r="O591" s="230"/>
      <c r="P591" s="230"/>
      <c r="Q591" s="230"/>
      <c r="R591" s="230"/>
      <c r="S591" s="230"/>
      <c r="T591" s="230"/>
      <c r="U591" s="230"/>
      <c r="V591" s="230"/>
      <c r="W591" s="230"/>
      <c r="X591" s="230"/>
      <c r="Y591" s="230"/>
      <c r="Z591" s="230"/>
    </row>
    <row r="592" spans="1:26" ht="15.75" customHeight="1">
      <c r="A592" s="230"/>
      <c r="B592" s="230"/>
      <c r="C592" s="230"/>
      <c r="D592" s="230"/>
      <c r="E592" s="230"/>
      <c r="F592" s="230"/>
      <c r="G592" s="230"/>
      <c r="H592" s="230"/>
      <c r="I592" s="230"/>
      <c r="J592" s="230"/>
      <c r="K592" s="230"/>
      <c r="L592" s="230"/>
      <c r="M592" s="230"/>
      <c r="N592" s="230"/>
      <c r="O592" s="230"/>
      <c r="P592" s="230"/>
      <c r="Q592" s="230"/>
      <c r="R592" s="230"/>
      <c r="S592" s="230"/>
      <c r="T592" s="230"/>
      <c r="U592" s="230"/>
      <c r="V592" s="230"/>
      <c r="W592" s="230"/>
      <c r="X592" s="230"/>
      <c r="Y592" s="230"/>
      <c r="Z592" s="230"/>
    </row>
    <row r="593" spans="1:26" ht="15.75" customHeight="1">
      <c r="A593" s="230"/>
      <c r="B593" s="230"/>
      <c r="C593" s="230"/>
      <c r="D593" s="230"/>
      <c r="E593" s="230"/>
      <c r="F593" s="230"/>
      <c r="G593" s="230"/>
      <c r="H593" s="230"/>
      <c r="I593" s="230"/>
      <c r="J593" s="230"/>
      <c r="K593" s="230"/>
      <c r="L593" s="230"/>
      <c r="M593" s="230"/>
      <c r="N593" s="230"/>
      <c r="O593" s="230"/>
      <c r="P593" s="230"/>
      <c r="Q593" s="230"/>
      <c r="R593" s="230"/>
      <c r="S593" s="230"/>
      <c r="T593" s="230"/>
      <c r="U593" s="230"/>
      <c r="V593" s="230"/>
      <c r="W593" s="230"/>
      <c r="X593" s="230"/>
      <c r="Y593" s="230"/>
      <c r="Z593" s="230"/>
    </row>
    <row r="594" spans="1:26" ht="15.75" customHeight="1">
      <c r="A594" s="230"/>
      <c r="B594" s="230"/>
      <c r="C594" s="230"/>
      <c r="D594" s="230"/>
      <c r="E594" s="230"/>
      <c r="F594" s="230"/>
      <c r="G594" s="230"/>
      <c r="H594" s="230"/>
      <c r="I594" s="230"/>
      <c r="J594" s="230"/>
      <c r="K594" s="230"/>
      <c r="L594" s="230"/>
      <c r="M594" s="230"/>
      <c r="N594" s="230"/>
      <c r="O594" s="230"/>
      <c r="P594" s="230"/>
      <c r="Q594" s="230"/>
      <c r="R594" s="230"/>
      <c r="S594" s="230"/>
      <c r="T594" s="230"/>
      <c r="U594" s="230"/>
      <c r="V594" s="230"/>
      <c r="W594" s="230"/>
      <c r="X594" s="230"/>
      <c r="Y594" s="230"/>
      <c r="Z594" s="230"/>
    </row>
    <row r="595" spans="1:26" ht="15.75" customHeight="1">
      <c r="A595" s="230"/>
      <c r="B595" s="230"/>
      <c r="C595" s="230"/>
      <c r="D595" s="230"/>
      <c r="E595" s="230"/>
      <c r="F595" s="230"/>
      <c r="G595" s="230"/>
      <c r="H595" s="230"/>
      <c r="I595" s="230"/>
      <c r="J595" s="230"/>
      <c r="K595" s="230"/>
      <c r="L595" s="230"/>
      <c r="M595" s="230"/>
      <c r="N595" s="230"/>
      <c r="O595" s="230"/>
      <c r="P595" s="230"/>
      <c r="Q595" s="230"/>
      <c r="R595" s="230"/>
      <c r="S595" s="230"/>
      <c r="T595" s="230"/>
      <c r="U595" s="230"/>
      <c r="V595" s="230"/>
      <c r="W595" s="230"/>
      <c r="X595" s="230"/>
      <c r="Y595" s="230"/>
      <c r="Z595" s="230"/>
    </row>
    <row r="596" spans="1:26" ht="15.75" customHeight="1">
      <c r="A596" s="230"/>
      <c r="B596" s="230"/>
      <c r="C596" s="230"/>
      <c r="D596" s="230"/>
      <c r="E596" s="230"/>
      <c r="F596" s="230"/>
      <c r="G596" s="230"/>
      <c r="H596" s="230"/>
      <c r="I596" s="230"/>
      <c r="J596" s="230"/>
      <c r="K596" s="230"/>
      <c r="L596" s="230"/>
      <c r="M596" s="230"/>
      <c r="N596" s="230"/>
      <c r="O596" s="230"/>
      <c r="P596" s="230"/>
      <c r="Q596" s="230"/>
      <c r="R596" s="230"/>
      <c r="S596" s="230"/>
      <c r="T596" s="230"/>
      <c r="U596" s="230"/>
      <c r="V596" s="230"/>
      <c r="W596" s="230"/>
      <c r="X596" s="230"/>
      <c r="Y596" s="230"/>
      <c r="Z596" s="230"/>
    </row>
    <row r="597" spans="1:26" ht="15.75" customHeight="1">
      <c r="A597" s="230"/>
      <c r="B597" s="230"/>
      <c r="C597" s="230"/>
      <c r="D597" s="230"/>
      <c r="E597" s="230"/>
      <c r="F597" s="230"/>
      <c r="G597" s="230"/>
      <c r="H597" s="230"/>
      <c r="I597" s="230"/>
      <c r="J597" s="230"/>
      <c r="K597" s="230"/>
      <c r="L597" s="230"/>
      <c r="M597" s="230"/>
      <c r="N597" s="230"/>
      <c r="O597" s="230"/>
      <c r="P597" s="230"/>
      <c r="Q597" s="230"/>
      <c r="R597" s="230"/>
      <c r="S597" s="230"/>
      <c r="T597" s="230"/>
      <c r="U597" s="230"/>
      <c r="V597" s="230"/>
      <c r="W597" s="230"/>
      <c r="X597" s="230"/>
      <c r="Y597" s="230"/>
      <c r="Z597" s="230"/>
    </row>
    <row r="598" spans="1:26" ht="15.75" customHeight="1">
      <c r="A598" s="230"/>
      <c r="B598" s="230"/>
      <c r="C598" s="230"/>
      <c r="D598" s="230"/>
      <c r="E598" s="230"/>
      <c r="F598" s="230"/>
      <c r="G598" s="230"/>
      <c r="H598" s="230"/>
      <c r="I598" s="230"/>
      <c r="J598" s="230"/>
      <c r="K598" s="230"/>
      <c r="L598" s="230"/>
      <c r="M598" s="230"/>
      <c r="N598" s="230"/>
      <c r="O598" s="230"/>
      <c r="P598" s="230"/>
      <c r="Q598" s="230"/>
      <c r="R598" s="230"/>
      <c r="S598" s="230"/>
      <c r="T598" s="230"/>
      <c r="U598" s="230"/>
      <c r="V598" s="230"/>
      <c r="W598" s="230"/>
      <c r="X598" s="230"/>
      <c r="Y598" s="230"/>
      <c r="Z598" s="230"/>
    </row>
    <row r="599" spans="1:26" ht="15.75" customHeight="1">
      <c r="A599" s="230"/>
      <c r="B599" s="230"/>
      <c r="C599" s="230"/>
      <c r="D599" s="230"/>
      <c r="E599" s="230"/>
      <c r="F599" s="230"/>
      <c r="G599" s="230"/>
      <c r="H599" s="230"/>
      <c r="I599" s="230"/>
      <c r="J599" s="230"/>
      <c r="K599" s="230"/>
      <c r="L599" s="230"/>
      <c r="M599" s="230"/>
      <c r="N599" s="230"/>
      <c r="O599" s="230"/>
      <c r="P599" s="230"/>
      <c r="Q599" s="230"/>
      <c r="R599" s="230"/>
      <c r="S599" s="230"/>
      <c r="T599" s="230"/>
      <c r="U599" s="230"/>
      <c r="V599" s="230"/>
      <c r="W599" s="230"/>
      <c r="X599" s="230"/>
      <c r="Y599" s="230"/>
      <c r="Z599" s="230"/>
    </row>
    <row r="600" spans="1:26" ht="15.75" customHeight="1">
      <c r="A600" s="230"/>
      <c r="B600" s="230"/>
      <c r="C600" s="230"/>
      <c r="D600" s="230"/>
      <c r="E600" s="230"/>
      <c r="F600" s="230"/>
      <c r="G600" s="230"/>
      <c r="H600" s="230"/>
      <c r="I600" s="230"/>
      <c r="J600" s="230"/>
      <c r="K600" s="230"/>
      <c r="L600" s="230"/>
      <c r="M600" s="230"/>
      <c r="N600" s="230"/>
      <c r="O600" s="230"/>
      <c r="P600" s="230"/>
      <c r="Q600" s="230"/>
      <c r="R600" s="230"/>
      <c r="S600" s="230"/>
      <c r="T600" s="230"/>
      <c r="U600" s="230"/>
      <c r="V600" s="230"/>
      <c r="W600" s="230"/>
      <c r="X600" s="230"/>
      <c r="Y600" s="230"/>
      <c r="Z600" s="230"/>
    </row>
    <row r="601" spans="1:26" ht="15.75" customHeight="1">
      <c r="A601" s="230"/>
      <c r="B601" s="230"/>
      <c r="C601" s="230"/>
      <c r="D601" s="230"/>
      <c r="E601" s="230"/>
      <c r="F601" s="230"/>
      <c r="G601" s="230"/>
      <c r="H601" s="230"/>
      <c r="I601" s="230"/>
      <c r="J601" s="230"/>
      <c r="K601" s="230"/>
      <c r="L601" s="230"/>
      <c r="M601" s="230"/>
      <c r="N601" s="230"/>
      <c r="O601" s="230"/>
      <c r="P601" s="230"/>
      <c r="Q601" s="230"/>
      <c r="R601" s="230"/>
      <c r="S601" s="230"/>
      <c r="T601" s="230"/>
      <c r="U601" s="230"/>
      <c r="V601" s="230"/>
      <c r="W601" s="230"/>
      <c r="X601" s="230"/>
      <c r="Y601" s="230"/>
      <c r="Z601" s="230"/>
    </row>
    <row r="602" spans="1:26" ht="15.75" customHeight="1">
      <c r="A602" s="230"/>
      <c r="B602" s="230"/>
      <c r="C602" s="230"/>
      <c r="D602" s="230"/>
      <c r="E602" s="230"/>
      <c r="F602" s="230"/>
      <c r="G602" s="230"/>
      <c r="H602" s="230"/>
      <c r="I602" s="230"/>
      <c r="J602" s="230"/>
      <c r="K602" s="230"/>
      <c r="L602" s="230"/>
      <c r="M602" s="230"/>
      <c r="N602" s="230"/>
      <c r="O602" s="230"/>
      <c r="P602" s="230"/>
      <c r="Q602" s="230"/>
      <c r="R602" s="230"/>
      <c r="S602" s="230"/>
      <c r="T602" s="230"/>
      <c r="U602" s="230"/>
      <c r="V602" s="230"/>
      <c r="W602" s="230"/>
      <c r="X602" s="230"/>
      <c r="Y602" s="230"/>
      <c r="Z602" s="230"/>
    </row>
    <row r="603" spans="1:26" ht="15.75" customHeight="1">
      <c r="A603" s="230"/>
      <c r="B603" s="230"/>
      <c r="C603" s="230"/>
      <c r="D603" s="230"/>
      <c r="E603" s="230"/>
      <c r="F603" s="230"/>
      <c r="G603" s="230"/>
      <c r="H603" s="230"/>
      <c r="I603" s="230"/>
      <c r="J603" s="230"/>
      <c r="K603" s="230"/>
      <c r="L603" s="230"/>
      <c r="M603" s="230"/>
      <c r="N603" s="230"/>
      <c r="O603" s="230"/>
      <c r="P603" s="230"/>
      <c r="Q603" s="230"/>
      <c r="R603" s="230"/>
      <c r="S603" s="230"/>
      <c r="T603" s="230"/>
      <c r="U603" s="230"/>
      <c r="V603" s="230"/>
      <c r="W603" s="230"/>
      <c r="X603" s="230"/>
      <c r="Y603" s="230"/>
      <c r="Z603" s="230"/>
    </row>
    <row r="604" spans="1:26" ht="15.75" customHeight="1">
      <c r="A604" s="230"/>
      <c r="B604" s="230"/>
      <c r="C604" s="230"/>
      <c r="D604" s="230"/>
      <c r="E604" s="230"/>
      <c r="F604" s="230"/>
      <c r="G604" s="230"/>
      <c r="H604" s="230"/>
      <c r="I604" s="230"/>
      <c r="J604" s="230"/>
      <c r="K604" s="230"/>
      <c r="L604" s="230"/>
      <c r="M604" s="230"/>
      <c r="N604" s="230"/>
      <c r="O604" s="230"/>
      <c r="P604" s="230"/>
      <c r="Q604" s="230"/>
      <c r="R604" s="230"/>
      <c r="S604" s="230"/>
      <c r="T604" s="230"/>
      <c r="U604" s="230"/>
      <c r="V604" s="230"/>
      <c r="W604" s="230"/>
      <c r="X604" s="230"/>
      <c r="Y604" s="230"/>
      <c r="Z604" s="230"/>
    </row>
    <row r="605" spans="1:26" ht="15.75" customHeight="1">
      <c r="A605" s="230"/>
      <c r="B605" s="230"/>
      <c r="C605" s="230"/>
      <c r="D605" s="230"/>
      <c r="E605" s="230"/>
      <c r="F605" s="230"/>
      <c r="G605" s="230"/>
      <c r="H605" s="230"/>
      <c r="I605" s="230"/>
      <c r="J605" s="230"/>
      <c r="K605" s="230"/>
      <c r="L605" s="230"/>
      <c r="M605" s="230"/>
      <c r="N605" s="230"/>
      <c r="O605" s="230"/>
      <c r="P605" s="230"/>
      <c r="Q605" s="230"/>
      <c r="R605" s="230"/>
      <c r="S605" s="230"/>
      <c r="T605" s="230"/>
      <c r="U605" s="230"/>
      <c r="V605" s="230"/>
      <c r="W605" s="230"/>
      <c r="X605" s="230"/>
      <c r="Y605" s="230"/>
      <c r="Z605" s="230"/>
    </row>
    <row r="606" spans="1:26" ht="15.75" customHeight="1">
      <c r="A606" s="230"/>
      <c r="B606" s="230"/>
      <c r="C606" s="230"/>
      <c r="D606" s="230"/>
      <c r="E606" s="230"/>
      <c r="F606" s="230"/>
      <c r="G606" s="230"/>
      <c r="H606" s="230"/>
      <c r="I606" s="230"/>
      <c r="J606" s="230"/>
      <c r="K606" s="230"/>
      <c r="L606" s="230"/>
      <c r="M606" s="230"/>
      <c r="N606" s="230"/>
      <c r="O606" s="230"/>
      <c r="P606" s="230"/>
      <c r="Q606" s="230"/>
      <c r="R606" s="230"/>
      <c r="S606" s="230"/>
      <c r="T606" s="230"/>
      <c r="U606" s="230"/>
      <c r="V606" s="230"/>
      <c r="W606" s="230"/>
      <c r="X606" s="230"/>
      <c r="Y606" s="230"/>
      <c r="Z606" s="230"/>
    </row>
    <row r="607" spans="1:26" ht="15.75" customHeight="1">
      <c r="A607" s="230"/>
      <c r="B607" s="230"/>
      <c r="C607" s="230"/>
      <c r="D607" s="230"/>
      <c r="E607" s="230"/>
      <c r="F607" s="230"/>
      <c r="G607" s="230"/>
      <c r="H607" s="230"/>
      <c r="I607" s="230"/>
      <c r="J607" s="230"/>
      <c r="K607" s="230"/>
      <c r="L607" s="230"/>
      <c r="M607" s="230"/>
      <c r="N607" s="230"/>
      <c r="O607" s="230"/>
      <c r="P607" s="230"/>
      <c r="Q607" s="230"/>
      <c r="R607" s="230"/>
      <c r="S607" s="230"/>
      <c r="T607" s="230"/>
      <c r="U607" s="230"/>
      <c r="V607" s="230"/>
      <c r="W607" s="230"/>
      <c r="X607" s="230"/>
      <c r="Y607" s="230"/>
      <c r="Z607" s="230"/>
    </row>
    <row r="608" spans="1:26" ht="15.75" customHeight="1">
      <c r="A608" s="230"/>
      <c r="B608" s="230"/>
      <c r="C608" s="230"/>
      <c r="D608" s="230"/>
      <c r="E608" s="230"/>
      <c r="F608" s="230"/>
      <c r="G608" s="230"/>
      <c r="H608" s="230"/>
      <c r="I608" s="230"/>
      <c r="J608" s="230"/>
      <c r="K608" s="230"/>
      <c r="L608" s="230"/>
      <c r="M608" s="230"/>
      <c r="N608" s="230"/>
      <c r="O608" s="230"/>
      <c r="P608" s="230"/>
      <c r="Q608" s="230"/>
      <c r="R608" s="230"/>
      <c r="S608" s="230"/>
      <c r="T608" s="230"/>
      <c r="U608" s="230"/>
      <c r="V608" s="230"/>
      <c r="W608" s="230"/>
      <c r="X608" s="230"/>
      <c r="Y608" s="230"/>
      <c r="Z608" s="230"/>
    </row>
    <row r="609" spans="1:26" ht="15.75" customHeight="1">
      <c r="A609" s="230"/>
      <c r="B609" s="230"/>
      <c r="C609" s="230"/>
      <c r="D609" s="230"/>
      <c r="E609" s="230"/>
      <c r="F609" s="230"/>
      <c r="G609" s="230"/>
      <c r="H609" s="230"/>
      <c r="I609" s="230"/>
      <c r="J609" s="230"/>
      <c r="K609" s="230"/>
      <c r="L609" s="230"/>
      <c r="M609" s="230"/>
      <c r="N609" s="230"/>
      <c r="O609" s="230"/>
      <c r="P609" s="230"/>
      <c r="Q609" s="230"/>
      <c r="R609" s="230"/>
      <c r="S609" s="230"/>
      <c r="T609" s="230"/>
      <c r="U609" s="230"/>
      <c r="V609" s="230"/>
      <c r="W609" s="230"/>
      <c r="X609" s="230"/>
      <c r="Y609" s="230"/>
      <c r="Z609" s="230"/>
    </row>
    <row r="610" spans="1:26" ht="15.75" customHeight="1">
      <c r="A610" s="230"/>
      <c r="B610" s="230"/>
      <c r="C610" s="230"/>
      <c r="D610" s="230"/>
      <c r="E610" s="230"/>
      <c r="F610" s="230"/>
      <c r="G610" s="230"/>
      <c r="H610" s="230"/>
      <c r="I610" s="230"/>
      <c r="J610" s="230"/>
      <c r="K610" s="230"/>
      <c r="L610" s="230"/>
      <c r="M610" s="230"/>
      <c r="N610" s="230"/>
      <c r="O610" s="230"/>
      <c r="P610" s="230"/>
      <c r="Q610" s="230"/>
      <c r="R610" s="230"/>
      <c r="S610" s="230"/>
      <c r="T610" s="230"/>
      <c r="U610" s="230"/>
      <c r="V610" s="230"/>
      <c r="W610" s="230"/>
      <c r="X610" s="230"/>
      <c r="Y610" s="230"/>
      <c r="Z610" s="230"/>
    </row>
    <row r="611" spans="1:26" ht="15.75" customHeight="1">
      <c r="A611" s="230"/>
      <c r="B611" s="230"/>
      <c r="C611" s="230"/>
      <c r="D611" s="230"/>
      <c r="E611" s="230"/>
      <c r="F611" s="230"/>
      <c r="G611" s="230"/>
      <c r="H611" s="230"/>
      <c r="I611" s="230"/>
      <c r="J611" s="230"/>
      <c r="K611" s="230"/>
      <c r="L611" s="230"/>
      <c r="M611" s="230"/>
      <c r="N611" s="230"/>
      <c r="O611" s="230"/>
      <c r="P611" s="230"/>
      <c r="Q611" s="230"/>
      <c r="R611" s="230"/>
      <c r="S611" s="230"/>
      <c r="T611" s="230"/>
      <c r="U611" s="230"/>
      <c r="V611" s="230"/>
      <c r="W611" s="230"/>
      <c r="X611" s="230"/>
      <c r="Y611" s="230"/>
      <c r="Z611" s="230"/>
    </row>
    <row r="612" spans="1:26" ht="15.75" customHeight="1">
      <c r="A612" s="230"/>
      <c r="B612" s="230"/>
      <c r="C612" s="230"/>
      <c r="D612" s="230"/>
      <c r="E612" s="230"/>
      <c r="F612" s="230"/>
      <c r="G612" s="230"/>
      <c r="H612" s="230"/>
      <c r="I612" s="230"/>
      <c r="J612" s="230"/>
      <c r="K612" s="230"/>
      <c r="L612" s="230"/>
      <c r="M612" s="230"/>
      <c r="N612" s="230"/>
      <c r="O612" s="230"/>
      <c r="P612" s="230"/>
      <c r="Q612" s="230"/>
      <c r="R612" s="230"/>
      <c r="S612" s="230"/>
      <c r="T612" s="230"/>
      <c r="U612" s="230"/>
      <c r="V612" s="230"/>
      <c r="W612" s="230"/>
      <c r="X612" s="230"/>
      <c r="Y612" s="230"/>
      <c r="Z612" s="230"/>
    </row>
    <row r="613" spans="1:26" ht="15.75" customHeight="1">
      <c r="A613" s="230"/>
      <c r="B613" s="230"/>
      <c r="C613" s="230"/>
      <c r="D613" s="230"/>
      <c r="E613" s="230"/>
      <c r="F613" s="230"/>
      <c r="G613" s="230"/>
      <c r="H613" s="230"/>
      <c r="I613" s="230"/>
      <c r="J613" s="230"/>
      <c r="K613" s="230"/>
      <c r="L613" s="230"/>
      <c r="M613" s="230"/>
      <c r="N613" s="230"/>
      <c r="O613" s="230"/>
      <c r="P613" s="230"/>
      <c r="Q613" s="230"/>
      <c r="R613" s="230"/>
      <c r="S613" s="230"/>
      <c r="T613" s="230"/>
      <c r="U613" s="230"/>
      <c r="V613" s="230"/>
      <c r="W613" s="230"/>
      <c r="X613" s="230"/>
      <c r="Y613" s="230"/>
      <c r="Z613" s="230"/>
    </row>
    <row r="614" spans="1:26" ht="15.75" customHeight="1">
      <c r="A614" s="230"/>
      <c r="B614" s="230"/>
      <c r="C614" s="230"/>
      <c r="D614" s="230"/>
      <c r="E614" s="230"/>
      <c r="F614" s="230"/>
      <c r="G614" s="230"/>
      <c r="H614" s="230"/>
      <c r="I614" s="230"/>
      <c r="J614" s="230"/>
      <c r="K614" s="230"/>
      <c r="L614" s="230"/>
      <c r="M614" s="230"/>
      <c r="N614" s="230"/>
      <c r="O614" s="230"/>
      <c r="P614" s="230"/>
      <c r="Q614" s="230"/>
      <c r="R614" s="230"/>
      <c r="S614" s="230"/>
      <c r="T614" s="230"/>
      <c r="U614" s="230"/>
      <c r="V614" s="230"/>
      <c r="W614" s="230"/>
      <c r="X614" s="230"/>
      <c r="Y614" s="230"/>
      <c r="Z614" s="230"/>
    </row>
    <row r="615" spans="1:26" ht="15.75" customHeight="1">
      <c r="A615" s="230"/>
      <c r="B615" s="230"/>
      <c r="C615" s="230"/>
      <c r="D615" s="230"/>
      <c r="E615" s="230"/>
      <c r="F615" s="230"/>
      <c r="G615" s="230"/>
      <c r="H615" s="230"/>
      <c r="I615" s="230"/>
      <c r="J615" s="230"/>
      <c r="K615" s="230"/>
      <c r="L615" s="230"/>
      <c r="M615" s="230"/>
      <c r="N615" s="230"/>
      <c r="O615" s="230"/>
      <c r="P615" s="230"/>
      <c r="Q615" s="230"/>
      <c r="R615" s="230"/>
      <c r="S615" s="230"/>
      <c r="T615" s="230"/>
      <c r="U615" s="230"/>
      <c r="V615" s="230"/>
      <c r="W615" s="230"/>
      <c r="X615" s="230"/>
      <c r="Y615" s="230"/>
      <c r="Z615" s="230"/>
    </row>
    <row r="616" spans="1:26" ht="15.75" customHeight="1">
      <c r="A616" s="230"/>
      <c r="B616" s="230"/>
      <c r="C616" s="230"/>
      <c r="D616" s="230"/>
      <c r="E616" s="230"/>
      <c r="F616" s="230"/>
      <c r="G616" s="230"/>
      <c r="H616" s="230"/>
      <c r="I616" s="230"/>
      <c r="J616" s="230"/>
      <c r="K616" s="230"/>
      <c r="L616" s="230"/>
      <c r="M616" s="230"/>
      <c r="N616" s="230"/>
      <c r="O616" s="230"/>
      <c r="P616" s="230"/>
      <c r="Q616" s="230"/>
      <c r="R616" s="230"/>
      <c r="S616" s="230"/>
      <c r="T616" s="230"/>
      <c r="U616" s="230"/>
      <c r="V616" s="230"/>
      <c r="W616" s="230"/>
      <c r="X616" s="230"/>
      <c r="Y616" s="230"/>
      <c r="Z616" s="230"/>
    </row>
    <row r="617" spans="1:26" ht="15.75" customHeight="1">
      <c r="A617" s="230"/>
      <c r="B617" s="230"/>
      <c r="C617" s="230"/>
      <c r="D617" s="230"/>
      <c r="E617" s="230"/>
      <c r="F617" s="230"/>
      <c r="G617" s="230"/>
      <c r="H617" s="230"/>
      <c r="I617" s="230"/>
      <c r="J617" s="230"/>
      <c r="K617" s="230"/>
      <c r="L617" s="230"/>
      <c r="M617" s="230"/>
      <c r="N617" s="230"/>
      <c r="O617" s="230"/>
      <c r="P617" s="230"/>
      <c r="Q617" s="230"/>
      <c r="R617" s="230"/>
      <c r="S617" s="230"/>
      <c r="T617" s="230"/>
      <c r="U617" s="230"/>
      <c r="V617" s="230"/>
      <c r="W617" s="230"/>
      <c r="X617" s="230"/>
      <c r="Y617" s="230"/>
      <c r="Z617" s="230"/>
    </row>
    <row r="618" spans="1:26" ht="15.75" customHeight="1">
      <c r="A618" s="230"/>
      <c r="B618" s="230"/>
      <c r="C618" s="230"/>
      <c r="D618" s="230"/>
      <c r="E618" s="230"/>
      <c r="F618" s="230"/>
      <c r="G618" s="230"/>
      <c r="H618" s="230"/>
      <c r="I618" s="230"/>
      <c r="J618" s="230"/>
      <c r="K618" s="230"/>
      <c r="L618" s="230"/>
      <c r="M618" s="230"/>
      <c r="N618" s="230"/>
      <c r="O618" s="230"/>
      <c r="P618" s="230"/>
      <c r="Q618" s="230"/>
      <c r="R618" s="230"/>
      <c r="S618" s="230"/>
      <c r="T618" s="230"/>
      <c r="U618" s="230"/>
      <c r="V618" s="230"/>
      <c r="W618" s="230"/>
      <c r="X618" s="230"/>
      <c r="Y618" s="230"/>
      <c r="Z618" s="230"/>
    </row>
    <row r="619" spans="1:26" ht="15.75" customHeight="1">
      <c r="A619" s="230"/>
      <c r="B619" s="230"/>
      <c r="C619" s="230"/>
      <c r="D619" s="230"/>
      <c r="E619" s="230"/>
      <c r="F619" s="230"/>
      <c r="G619" s="230"/>
      <c r="H619" s="230"/>
      <c r="I619" s="230"/>
      <c r="J619" s="230"/>
      <c r="K619" s="230"/>
      <c r="L619" s="230"/>
      <c r="M619" s="230"/>
      <c r="N619" s="230"/>
      <c r="O619" s="230"/>
      <c r="P619" s="230"/>
      <c r="Q619" s="230"/>
      <c r="R619" s="230"/>
      <c r="S619" s="230"/>
      <c r="T619" s="230"/>
      <c r="U619" s="230"/>
      <c r="V619" s="230"/>
      <c r="W619" s="230"/>
      <c r="X619" s="230"/>
      <c r="Y619" s="230"/>
      <c r="Z619" s="230"/>
    </row>
    <row r="620" spans="1:26" ht="15.75" customHeight="1">
      <c r="A620" s="230"/>
      <c r="B620" s="230"/>
      <c r="C620" s="230"/>
      <c r="D620" s="230"/>
      <c r="E620" s="230"/>
      <c r="F620" s="230"/>
      <c r="G620" s="230"/>
      <c r="H620" s="230"/>
      <c r="I620" s="230"/>
      <c r="J620" s="230"/>
      <c r="K620" s="230"/>
      <c r="L620" s="230"/>
      <c r="M620" s="230"/>
      <c r="N620" s="230"/>
      <c r="O620" s="230"/>
      <c r="P620" s="230"/>
      <c r="Q620" s="230"/>
      <c r="R620" s="230"/>
      <c r="S620" s="230"/>
      <c r="T620" s="230"/>
      <c r="U620" s="230"/>
      <c r="V620" s="230"/>
      <c r="W620" s="230"/>
      <c r="X620" s="230"/>
      <c r="Y620" s="230"/>
      <c r="Z620" s="230"/>
    </row>
    <row r="621" spans="1:26" ht="15.75" customHeight="1">
      <c r="A621" s="230"/>
      <c r="B621" s="230"/>
      <c r="C621" s="230"/>
      <c r="D621" s="230"/>
      <c r="E621" s="230"/>
      <c r="F621" s="230"/>
      <c r="G621" s="230"/>
      <c r="H621" s="230"/>
      <c r="I621" s="230"/>
      <c r="J621" s="230"/>
      <c r="K621" s="230"/>
      <c r="L621" s="230"/>
      <c r="M621" s="230"/>
      <c r="N621" s="230"/>
      <c r="O621" s="230"/>
      <c r="P621" s="230"/>
      <c r="Q621" s="230"/>
      <c r="R621" s="230"/>
      <c r="S621" s="230"/>
      <c r="T621" s="230"/>
      <c r="U621" s="230"/>
      <c r="V621" s="230"/>
      <c r="W621" s="230"/>
      <c r="X621" s="230"/>
      <c r="Y621" s="230"/>
      <c r="Z621" s="230"/>
    </row>
    <row r="622" spans="1:26" ht="15.75" customHeight="1">
      <c r="A622" s="230"/>
      <c r="B622" s="230"/>
      <c r="C622" s="230"/>
      <c r="D622" s="230"/>
      <c r="E622" s="230"/>
      <c r="F622" s="230"/>
      <c r="G622" s="230"/>
      <c r="H622" s="230"/>
      <c r="I622" s="230"/>
      <c r="J622" s="230"/>
      <c r="K622" s="230"/>
      <c r="L622" s="230"/>
      <c r="M622" s="230"/>
      <c r="N622" s="230"/>
      <c r="O622" s="230"/>
      <c r="P622" s="230"/>
      <c r="Q622" s="230"/>
      <c r="R622" s="230"/>
      <c r="S622" s="230"/>
      <c r="T622" s="230"/>
      <c r="U622" s="230"/>
      <c r="V622" s="230"/>
      <c r="W622" s="230"/>
      <c r="X622" s="230"/>
      <c r="Y622" s="230"/>
      <c r="Z622" s="230"/>
    </row>
    <row r="623" spans="1:26" ht="15.75" customHeight="1">
      <c r="A623" s="230"/>
      <c r="B623" s="230"/>
      <c r="C623" s="230"/>
      <c r="D623" s="230"/>
      <c r="E623" s="230"/>
      <c r="F623" s="230"/>
      <c r="G623" s="230"/>
      <c r="H623" s="230"/>
      <c r="I623" s="230"/>
      <c r="J623" s="230"/>
      <c r="K623" s="230"/>
      <c r="L623" s="230"/>
      <c r="M623" s="230"/>
      <c r="N623" s="230"/>
      <c r="O623" s="230"/>
      <c r="P623" s="230"/>
      <c r="Q623" s="230"/>
      <c r="R623" s="230"/>
      <c r="S623" s="230"/>
      <c r="T623" s="230"/>
      <c r="U623" s="230"/>
      <c r="V623" s="230"/>
      <c r="W623" s="230"/>
      <c r="X623" s="230"/>
      <c r="Y623" s="230"/>
      <c r="Z623" s="230"/>
    </row>
    <row r="624" spans="1:26" ht="15.75" customHeight="1">
      <c r="A624" s="230"/>
      <c r="B624" s="230"/>
      <c r="C624" s="230"/>
      <c r="D624" s="230"/>
      <c r="E624" s="230"/>
      <c r="F624" s="230"/>
      <c r="G624" s="230"/>
      <c r="H624" s="230"/>
      <c r="I624" s="230"/>
      <c r="J624" s="230"/>
      <c r="K624" s="230"/>
      <c r="L624" s="230"/>
      <c r="M624" s="230"/>
      <c r="N624" s="230"/>
      <c r="O624" s="230"/>
      <c r="P624" s="230"/>
      <c r="Q624" s="230"/>
      <c r="R624" s="230"/>
      <c r="S624" s="230"/>
      <c r="T624" s="230"/>
      <c r="U624" s="230"/>
      <c r="V624" s="230"/>
      <c r="W624" s="230"/>
      <c r="X624" s="230"/>
      <c r="Y624" s="230"/>
      <c r="Z624" s="230"/>
    </row>
    <row r="625" spans="1:26" ht="15.75" customHeight="1">
      <c r="A625" s="230"/>
      <c r="B625" s="230"/>
      <c r="C625" s="230"/>
      <c r="D625" s="230"/>
      <c r="E625" s="230"/>
      <c r="F625" s="230"/>
      <c r="G625" s="230"/>
      <c r="H625" s="230"/>
      <c r="I625" s="230"/>
      <c r="J625" s="230"/>
      <c r="K625" s="230"/>
      <c r="L625" s="230"/>
      <c r="M625" s="230"/>
      <c r="N625" s="230"/>
      <c r="O625" s="230"/>
      <c r="P625" s="230"/>
      <c r="Q625" s="230"/>
      <c r="R625" s="230"/>
      <c r="S625" s="230"/>
      <c r="T625" s="230"/>
      <c r="U625" s="230"/>
      <c r="V625" s="230"/>
      <c r="W625" s="230"/>
      <c r="X625" s="230"/>
      <c r="Y625" s="230"/>
      <c r="Z625" s="230"/>
    </row>
    <row r="626" spans="1:26" ht="15.75" customHeight="1">
      <c r="A626" s="230"/>
      <c r="B626" s="230"/>
      <c r="C626" s="230"/>
      <c r="D626" s="230"/>
      <c r="E626" s="230"/>
      <c r="F626" s="230"/>
      <c r="G626" s="230"/>
      <c r="H626" s="230"/>
      <c r="I626" s="230"/>
      <c r="J626" s="230"/>
      <c r="K626" s="230"/>
      <c r="L626" s="230"/>
      <c r="M626" s="230"/>
      <c r="N626" s="230"/>
      <c r="O626" s="230"/>
      <c r="P626" s="230"/>
      <c r="Q626" s="230"/>
      <c r="R626" s="230"/>
      <c r="S626" s="230"/>
      <c r="T626" s="230"/>
      <c r="U626" s="230"/>
      <c r="V626" s="230"/>
      <c r="W626" s="230"/>
      <c r="X626" s="230"/>
      <c r="Y626" s="230"/>
      <c r="Z626" s="230"/>
    </row>
    <row r="627" spans="1:26" ht="15.75" customHeight="1">
      <c r="A627" s="230"/>
      <c r="B627" s="230"/>
      <c r="C627" s="230"/>
      <c r="D627" s="230"/>
      <c r="E627" s="230"/>
      <c r="F627" s="230"/>
      <c r="G627" s="230"/>
      <c r="H627" s="230"/>
      <c r="I627" s="230"/>
      <c r="J627" s="230"/>
      <c r="K627" s="230"/>
      <c r="L627" s="230"/>
      <c r="M627" s="230"/>
      <c r="N627" s="230"/>
      <c r="O627" s="230"/>
      <c r="P627" s="230"/>
      <c r="Q627" s="230"/>
      <c r="R627" s="230"/>
      <c r="S627" s="230"/>
      <c r="T627" s="230"/>
      <c r="U627" s="230"/>
      <c r="V627" s="230"/>
      <c r="W627" s="230"/>
      <c r="X627" s="230"/>
      <c r="Y627" s="230"/>
      <c r="Z627" s="230"/>
    </row>
    <row r="628" spans="1:26" ht="15.75" customHeight="1">
      <c r="A628" s="230"/>
      <c r="B628" s="230"/>
      <c r="C628" s="230"/>
      <c r="D628" s="230"/>
      <c r="E628" s="230"/>
      <c r="F628" s="230"/>
      <c r="G628" s="230"/>
      <c r="H628" s="230"/>
      <c r="I628" s="230"/>
      <c r="J628" s="230"/>
      <c r="K628" s="230"/>
      <c r="L628" s="230"/>
      <c r="M628" s="230"/>
      <c r="N628" s="230"/>
      <c r="O628" s="230"/>
      <c r="P628" s="230"/>
      <c r="Q628" s="230"/>
      <c r="R628" s="230"/>
      <c r="S628" s="230"/>
      <c r="T628" s="230"/>
      <c r="U628" s="230"/>
      <c r="V628" s="230"/>
      <c r="W628" s="230"/>
      <c r="X628" s="230"/>
      <c r="Y628" s="230"/>
      <c r="Z628" s="230"/>
    </row>
    <row r="629" spans="1:26" ht="15.75" customHeight="1">
      <c r="A629" s="230"/>
      <c r="B629" s="230"/>
      <c r="C629" s="230"/>
      <c r="D629" s="230"/>
      <c r="E629" s="230"/>
      <c r="F629" s="230"/>
      <c r="G629" s="230"/>
      <c r="H629" s="230"/>
      <c r="I629" s="230"/>
      <c r="J629" s="230"/>
      <c r="K629" s="230"/>
      <c r="L629" s="230"/>
      <c r="M629" s="230"/>
      <c r="N629" s="230"/>
      <c r="O629" s="230"/>
      <c r="P629" s="230"/>
      <c r="Q629" s="230"/>
      <c r="R629" s="230"/>
      <c r="S629" s="230"/>
      <c r="T629" s="230"/>
      <c r="U629" s="230"/>
      <c r="V629" s="230"/>
      <c r="W629" s="230"/>
      <c r="X629" s="230"/>
      <c r="Y629" s="230"/>
      <c r="Z629" s="230"/>
    </row>
    <row r="630" spans="1:26" ht="15.75" customHeight="1">
      <c r="A630" s="230"/>
      <c r="B630" s="230"/>
      <c r="C630" s="230"/>
      <c r="D630" s="230"/>
      <c r="E630" s="230"/>
      <c r="F630" s="230"/>
      <c r="G630" s="230"/>
      <c r="H630" s="230"/>
      <c r="I630" s="230"/>
      <c r="J630" s="230"/>
      <c r="K630" s="230"/>
      <c r="L630" s="230"/>
      <c r="M630" s="230"/>
      <c r="N630" s="230"/>
      <c r="O630" s="230"/>
      <c r="P630" s="230"/>
      <c r="Q630" s="230"/>
      <c r="R630" s="230"/>
      <c r="S630" s="230"/>
      <c r="T630" s="230"/>
      <c r="U630" s="230"/>
      <c r="V630" s="230"/>
      <c r="W630" s="230"/>
      <c r="X630" s="230"/>
      <c r="Y630" s="230"/>
      <c r="Z630" s="230"/>
    </row>
    <row r="631" spans="1:26" ht="15.75" customHeight="1">
      <c r="A631" s="230"/>
      <c r="B631" s="230"/>
      <c r="C631" s="230"/>
      <c r="D631" s="230"/>
      <c r="E631" s="230"/>
      <c r="F631" s="230"/>
      <c r="G631" s="230"/>
      <c r="H631" s="230"/>
      <c r="I631" s="230"/>
      <c r="J631" s="230"/>
      <c r="K631" s="230"/>
      <c r="L631" s="230"/>
      <c r="M631" s="230"/>
      <c r="N631" s="230"/>
      <c r="O631" s="230"/>
      <c r="P631" s="230"/>
      <c r="Q631" s="230"/>
      <c r="R631" s="230"/>
      <c r="S631" s="230"/>
      <c r="T631" s="230"/>
      <c r="U631" s="230"/>
      <c r="V631" s="230"/>
      <c r="W631" s="230"/>
      <c r="X631" s="230"/>
      <c r="Y631" s="230"/>
      <c r="Z631" s="230"/>
    </row>
    <row r="632" spans="1:26" ht="15.75" customHeight="1">
      <c r="A632" s="230"/>
      <c r="B632" s="230"/>
      <c r="C632" s="230"/>
      <c r="D632" s="230"/>
      <c r="E632" s="230"/>
      <c r="F632" s="230"/>
      <c r="G632" s="230"/>
      <c r="H632" s="230"/>
      <c r="I632" s="230"/>
      <c r="J632" s="230"/>
      <c r="K632" s="230"/>
      <c r="L632" s="230"/>
      <c r="M632" s="230"/>
      <c r="N632" s="230"/>
      <c r="O632" s="230"/>
      <c r="P632" s="230"/>
      <c r="Q632" s="230"/>
      <c r="R632" s="230"/>
      <c r="S632" s="230"/>
      <c r="T632" s="230"/>
      <c r="U632" s="230"/>
      <c r="V632" s="230"/>
      <c r="W632" s="230"/>
      <c r="X632" s="230"/>
      <c r="Y632" s="230"/>
      <c r="Z632" s="230"/>
    </row>
    <row r="633" spans="1:26" ht="15.75" customHeight="1">
      <c r="A633" s="230"/>
      <c r="B633" s="230"/>
      <c r="C633" s="230"/>
      <c r="D633" s="230"/>
      <c r="E633" s="230"/>
      <c r="F633" s="230"/>
      <c r="G633" s="230"/>
      <c r="H633" s="230"/>
      <c r="I633" s="230"/>
      <c r="J633" s="230"/>
      <c r="K633" s="230"/>
      <c r="L633" s="230"/>
      <c r="M633" s="230"/>
      <c r="N633" s="230"/>
      <c r="O633" s="230"/>
      <c r="P633" s="230"/>
      <c r="Q633" s="230"/>
      <c r="R633" s="230"/>
      <c r="S633" s="230"/>
      <c r="T633" s="230"/>
      <c r="U633" s="230"/>
      <c r="V633" s="230"/>
      <c r="W633" s="230"/>
      <c r="X633" s="230"/>
      <c r="Y633" s="230"/>
      <c r="Z633" s="230"/>
    </row>
    <row r="634" spans="1:26" ht="15.75" customHeight="1">
      <c r="A634" s="230"/>
      <c r="B634" s="230"/>
      <c r="C634" s="230"/>
      <c r="D634" s="230"/>
      <c r="E634" s="230"/>
      <c r="F634" s="230"/>
      <c r="G634" s="230"/>
      <c r="H634" s="230"/>
      <c r="I634" s="230"/>
      <c r="J634" s="230"/>
      <c r="K634" s="230"/>
      <c r="L634" s="230"/>
      <c r="M634" s="230"/>
      <c r="N634" s="230"/>
      <c r="O634" s="230"/>
      <c r="P634" s="230"/>
      <c r="Q634" s="230"/>
      <c r="R634" s="230"/>
      <c r="S634" s="230"/>
      <c r="T634" s="230"/>
      <c r="U634" s="230"/>
      <c r="V634" s="230"/>
      <c r="W634" s="230"/>
      <c r="X634" s="230"/>
      <c r="Y634" s="230"/>
      <c r="Z634" s="230"/>
    </row>
    <row r="635" spans="1:26" ht="15.75" customHeight="1">
      <c r="A635" s="230"/>
      <c r="B635" s="230"/>
      <c r="C635" s="230"/>
      <c r="D635" s="230"/>
      <c r="E635" s="230"/>
      <c r="F635" s="230"/>
      <c r="G635" s="230"/>
      <c r="H635" s="230"/>
      <c r="I635" s="230"/>
      <c r="J635" s="230"/>
      <c r="K635" s="230"/>
      <c r="L635" s="230"/>
      <c r="M635" s="230"/>
      <c r="N635" s="230"/>
      <c r="O635" s="230"/>
      <c r="P635" s="230"/>
      <c r="Q635" s="230"/>
      <c r="R635" s="230"/>
      <c r="S635" s="230"/>
      <c r="T635" s="230"/>
      <c r="U635" s="230"/>
      <c r="V635" s="230"/>
      <c r="W635" s="230"/>
      <c r="X635" s="230"/>
      <c r="Y635" s="230"/>
      <c r="Z635" s="230"/>
    </row>
    <row r="636" spans="1:26" ht="15.75" customHeight="1">
      <c r="A636" s="230"/>
      <c r="B636" s="230"/>
      <c r="C636" s="230"/>
      <c r="D636" s="230"/>
      <c r="E636" s="230"/>
      <c r="F636" s="230"/>
      <c r="G636" s="230"/>
      <c r="H636" s="230"/>
      <c r="I636" s="230"/>
      <c r="J636" s="230"/>
      <c r="K636" s="230"/>
      <c r="L636" s="230"/>
      <c r="M636" s="230"/>
      <c r="N636" s="230"/>
      <c r="O636" s="230"/>
      <c r="P636" s="230"/>
      <c r="Q636" s="230"/>
      <c r="R636" s="230"/>
      <c r="S636" s="230"/>
      <c r="T636" s="230"/>
      <c r="U636" s="230"/>
      <c r="V636" s="230"/>
      <c r="W636" s="230"/>
      <c r="X636" s="230"/>
      <c r="Y636" s="230"/>
      <c r="Z636" s="230"/>
    </row>
    <row r="637" spans="1:26" ht="15.75" customHeight="1">
      <c r="A637" s="230"/>
      <c r="B637" s="230"/>
      <c r="C637" s="230"/>
      <c r="D637" s="230"/>
      <c r="E637" s="230"/>
      <c r="F637" s="230"/>
      <c r="G637" s="230"/>
      <c r="H637" s="230"/>
      <c r="I637" s="230"/>
      <c r="J637" s="230"/>
      <c r="K637" s="230"/>
      <c r="L637" s="230"/>
      <c r="M637" s="230"/>
      <c r="N637" s="230"/>
      <c r="O637" s="230"/>
      <c r="P637" s="230"/>
      <c r="Q637" s="230"/>
      <c r="R637" s="230"/>
      <c r="S637" s="230"/>
      <c r="T637" s="230"/>
      <c r="U637" s="230"/>
      <c r="V637" s="230"/>
      <c r="W637" s="230"/>
      <c r="X637" s="230"/>
      <c r="Y637" s="230"/>
      <c r="Z637" s="230"/>
    </row>
    <row r="638" spans="1:26" ht="15.75" customHeight="1">
      <c r="A638" s="230"/>
      <c r="B638" s="230"/>
      <c r="C638" s="230"/>
      <c r="D638" s="230"/>
      <c r="E638" s="230"/>
      <c r="F638" s="230"/>
      <c r="G638" s="230"/>
      <c r="H638" s="230"/>
      <c r="I638" s="230"/>
      <c r="J638" s="230"/>
      <c r="K638" s="230"/>
      <c r="L638" s="230"/>
      <c r="M638" s="230"/>
      <c r="N638" s="230"/>
      <c r="O638" s="230"/>
      <c r="P638" s="230"/>
      <c r="Q638" s="230"/>
      <c r="R638" s="230"/>
      <c r="S638" s="230"/>
      <c r="T638" s="230"/>
      <c r="U638" s="230"/>
      <c r="V638" s="230"/>
      <c r="W638" s="230"/>
      <c r="X638" s="230"/>
      <c r="Y638" s="230"/>
      <c r="Z638" s="230"/>
    </row>
    <row r="639" spans="1:26" ht="15.75" customHeight="1">
      <c r="A639" s="230"/>
      <c r="B639" s="230"/>
      <c r="C639" s="230"/>
      <c r="D639" s="230"/>
      <c r="E639" s="230"/>
      <c r="F639" s="230"/>
      <c r="G639" s="230"/>
      <c r="H639" s="230"/>
      <c r="I639" s="230"/>
      <c r="J639" s="230"/>
      <c r="K639" s="230"/>
      <c r="L639" s="230"/>
      <c r="M639" s="230"/>
      <c r="N639" s="230"/>
      <c r="O639" s="230"/>
      <c r="P639" s="230"/>
      <c r="Q639" s="230"/>
      <c r="R639" s="230"/>
      <c r="S639" s="230"/>
      <c r="T639" s="230"/>
      <c r="U639" s="230"/>
      <c r="V639" s="230"/>
      <c r="W639" s="230"/>
      <c r="X639" s="230"/>
      <c r="Y639" s="230"/>
      <c r="Z639" s="230"/>
    </row>
    <row r="640" spans="1:26" ht="15.75" customHeight="1">
      <c r="A640" s="230"/>
      <c r="B640" s="230"/>
      <c r="C640" s="230"/>
      <c r="D640" s="230"/>
      <c r="E640" s="230"/>
      <c r="F640" s="230"/>
      <c r="G640" s="230"/>
      <c r="H640" s="230"/>
      <c r="I640" s="230"/>
      <c r="J640" s="230"/>
      <c r="K640" s="230"/>
      <c r="L640" s="230"/>
      <c r="M640" s="230"/>
      <c r="N640" s="230"/>
      <c r="O640" s="230"/>
      <c r="P640" s="230"/>
      <c r="Q640" s="230"/>
      <c r="R640" s="230"/>
      <c r="S640" s="230"/>
      <c r="T640" s="230"/>
      <c r="U640" s="230"/>
      <c r="V640" s="230"/>
      <c r="W640" s="230"/>
      <c r="X640" s="230"/>
      <c r="Y640" s="230"/>
      <c r="Z640" s="230"/>
    </row>
    <row r="641" spans="1:26" ht="15.75" customHeight="1">
      <c r="A641" s="230"/>
      <c r="B641" s="230"/>
      <c r="C641" s="230"/>
      <c r="D641" s="230"/>
      <c r="E641" s="230"/>
      <c r="F641" s="230"/>
      <c r="G641" s="230"/>
      <c r="H641" s="230"/>
      <c r="I641" s="230"/>
      <c r="J641" s="230"/>
      <c r="K641" s="230"/>
      <c r="L641" s="230"/>
      <c r="M641" s="230"/>
      <c r="N641" s="230"/>
      <c r="O641" s="230"/>
      <c r="P641" s="230"/>
      <c r="Q641" s="230"/>
      <c r="R641" s="230"/>
      <c r="S641" s="230"/>
      <c r="T641" s="230"/>
      <c r="U641" s="230"/>
      <c r="V641" s="230"/>
      <c r="W641" s="230"/>
      <c r="X641" s="230"/>
      <c r="Y641" s="230"/>
      <c r="Z641" s="230"/>
    </row>
    <row r="642" spans="1:26" ht="15.75" customHeight="1">
      <c r="A642" s="230"/>
      <c r="B642" s="230"/>
      <c r="C642" s="230"/>
      <c r="D642" s="230"/>
      <c r="E642" s="230"/>
      <c r="F642" s="230"/>
      <c r="G642" s="230"/>
      <c r="H642" s="230"/>
      <c r="I642" s="230"/>
      <c r="J642" s="230"/>
      <c r="K642" s="230"/>
      <c r="L642" s="230"/>
      <c r="M642" s="230"/>
      <c r="N642" s="230"/>
      <c r="O642" s="230"/>
      <c r="P642" s="230"/>
      <c r="Q642" s="230"/>
      <c r="R642" s="230"/>
      <c r="S642" s="230"/>
      <c r="T642" s="230"/>
      <c r="U642" s="230"/>
      <c r="V642" s="230"/>
      <c r="W642" s="230"/>
      <c r="X642" s="230"/>
      <c r="Y642" s="230"/>
      <c r="Z642" s="230"/>
    </row>
    <row r="643" spans="1:26" ht="15.75" customHeight="1">
      <c r="A643" s="230"/>
      <c r="B643" s="230"/>
      <c r="C643" s="230"/>
      <c r="D643" s="230"/>
      <c r="E643" s="230"/>
      <c r="F643" s="230"/>
      <c r="G643" s="230"/>
      <c r="H643" s="230"/>
      <c r="I643" s="230"/>
      <c r="J643" s="230"/>
      <c r="K643" s="230"/>
      <c r="L643" s="230"/>
      <c r="M643" s="230"/>
      <c r="N643" s="230"/>
      <c r="O643" s="230"/>
      <c r="P643" s="230"/>
      <c r="Q643" s="230"/>
      <c r="R643" s="230"/>
      <c r="S643" s="230"/>
      <c r="T643" s="230"/>
      <c r="U643" s="230"/>
      <c r="V643" s="230"/>
      <c r="W643" s="230"/>
      <c r="X643" s="230"/>
      <c r="Y643" s="230"/>
      <c r="Z643" s="230"/>
    </row>
    <row r="644" spans="1:26" ht="15.75" customHeight="1">
      <c r="A644" s="230"/>
      <c r="B644" s="230"/>
      <c r="C644" s="230"/>
      <c r="D644" s="230"/>
      <c r="E644" s="230"/>
      <c r="F644" s="230"/>
      <c r="G644" s="230"/>
      <c r="H644" s="230"/>
      <c r="I644" s="230"/>
      <c r="J644" s="230"/>
      <c r="K644" s="230"/>
      <c r="L644" s="230"/>
      <c r="M644" s="230"/>
      <c r="N644" s="230"/>
      <c r="O644" s="230"/>
      <c r="P644" s="230"/>
      <c r="Q644" s="230"/>
      <c r="R644" s="230"/>
      <c r="S644" s="230"/>
      <c r="T644" s="230"/>
      <c r="U644" s="230"/>
      <c r="V644" s="230"/>
      <c r="W644" s="230"/>
      <c r="X644" s="230"/>
      <c r="Y644" s="230"/>
      <c r="Z644" s="230"/>
    </row>
    <row r="645" spans="1:26" ht="15.75" customHeight="1">
      <c r="A645" s="230"/>
      <c r="B645" s="230"/>
      <c r="C645" s="230"/>
      <c r="D645" s="230"/>
      <c r="E645" s="230"/>
      <c r="F645" s="230"/>
      <c r="G645" s="230"/>
      <c r="H645" s="230"/>
      <c r="I645" s="230"/>
      <c r="J645" s="230"/>
      <c r="K645" s="230"/>
      <c r="L645" s="230"/>
      <c r="M645" s="230"/>
      <c r="N645" s="230"/>
      <c r="O645" s="230"/>
      <c r="P645" s="230"/>
      <c r="Q645" s="230"/>
      <c r="R645" s="230"/>
      <c r="S645" s="230"/>
      <c r="T645" s="230"/>
      <c r="U645" s="230"/>
      <c r="V645" s="230"/>
      <c r="W645" s="230"/>
      <c r="X645" s="230"/>
      <c r="Y645" s="230"/>
      <c r="Z645" s="230"/>
    </row>
    <row r="646" spans="1:26" ht="15.75" customHeight="1">
      <c r="A646" s="230"/>
      <c r="B646" s="230"/>
      <c r="C646" s="230"/>
      <c r="D646" s="230"/>
      <c r="E646" s="230"/>
      <c r="F646" s="230"/>
      <c r="G646" s="230"/>
      <c r="H646" s="230"/>
      <c r="I646" s="230"/>
      <c r="J646" s="230"/>
      <c r="K646" s="230"/>
      <c r="L646" s="230"/>
      <c r="M646" s="230"/>
      <c r="N646" s="230"/>
      <c r="O646" s="230"/>
      <c r="P646" s="230"/>
      <c r="Q646" s="230"/>
      <c r="R646" s="230"/>
      <c r="S646" s="230"/>
      <c r="T646" s="230"/>
      <c r="U646" s="230"/>
      <c r="V646" s="230"/>
      <c r="W646" s="230"/>
      <c r="X646" s="230"/>
      <c r="Y646" s="230"/>
      <c r="Z646" s="230"/>
    </row>
    <row r="647" spans="1:26" ht="15.75" customHeight="1">
      <c r="A647" s="230"/>
      <c r="B647" s="230"/>
      <c r="C647" s="230"/>
      <c r="D647" s="230"/>
      <c r="E647" s="230"/>
      <c r="F647" s="230"/>
      <c r="G647" s="230"/>
      <c r="H647" s="230"/>
      <c r="I647" s="230"/>
      <c r="J647" s="230"/>
      <c r="K647" s="230"/>
      <c r="L647" s="230"/>
      <c r="M647" s="230"/>
      <c r="N647" s="230"/>
      <c r="O647" s="230"/>
      <c r="P647" s="230"/>
      <c r="Q647" s="230"/>
      <c r="R647" s="230"/>
      <c r="S647" s="230"/>
      <c r="T647" s="230"/>
      <c r="U647" s="230"/>
      <c r="V647" s="230"/>
      <c r="W647" s="230"/>
      <c r="X647" s="230"/>
      <c r="Y647" s="230"/>
      <c r="Z647" s="230"/>
    </row>
    <row r="648" spans="1:26" ht="15.75" customHeight="1">
      <c r="A648" s="230"/>
      <c r="B648" s="230"/>
      <c r="C648" s="230"/>
      <c r="D648" s="230"/>
      <c r="E648" s="230"/>
      <c r="F648" s="230"/>
      <c r="G648" s="230"/>
      <c r="H648" s="230"/>
      <c r="I648" s="230"/>
      <c r="J648" s="230"/>
      <c r="K648" s="230"/>
      <c r="L648" s="230"/>
      <c r="M648" s="230"/>
      <c r="N648" s="230"/>
      <c r="O648" s="230"/>
      <c r="P648" s="230"/>
      <c r="Q648" s="230"/>
      <c r="R648" s="230"/>
      <c r="S648" s="230"/>
      <c r="T648" s="230"/>
      <c r="U648" s="230"/>
      <c r="V648" s="230"/>
      <c r="W648" s="230"/>
      <c r="X648" s="230"/>
      <c r="Y648" s="230"/>
      <c r="Z648" s="230"/>
    </row>
    <row r="649" spans="1:26" ht="15.75" customHeight="1">
      <c r="A649" s="230"/>
      <c r="B649" s="230"/>
      <c r="C649" s="230"/>
      <c r="D649" s="230"/>
      <c r="E649" s="230"/>
      <c r="F649" s="230"/>
      <c r="G649" s="230"/>
      <c r="H649" s="230"/>
      <c r="I649" s="230"/>
      <c r="J649" s="230"/>
      <c r="K649" s="230"/>
      <c r="L649" s="230"/>
      <c r="M649" s="230"/>
      <c r="N649" s="230"/>
      <c r="O649" s="230"/>
      <c r="P649" s="230"/>
      <c r="Q649" s="230"/>
      <c r="R649" s="230"/>
      <c r="S649" s="230"/>
      <c r="T649" s="230"/>
      <c r="U649" s="230"/>
      <c r="V649" s="230"/>
      <c r="W649" s="230"/>
      <c r="X649" s="230"/>
      <c r="Y649" s="230"/>
      <c r="Z649" s="230"/>
    </row>
    <row r="650" spans="1:26" ht="15.75" customHeight="1">
      <c r="A650" s="230"/>
      <c r="B650" s="230"/>
      <c r="C650" s="230"/>
      <c r="D650" s="230"/>
      <c r="E650" s="230"/>
      <c r="F650" s="230"/>
      <c r="G650" s="230"/>
      <c r="H650" s="230"/>
      <c r="I650" s="230"/>
      <c r="J650" s="230"/>
      <c r="K650" s="230"/>
      <c r="L650" s="230"/>
      <c r="M650" s="230"/>
      <c r="N650" s="230"/>
      <c r="O650" s="230"/>
      <c r="P650" s="230"/>
      <c r="Q650" s="230"/>
      <c r="R650" s="230"/>
      <c r="S650" s="230"/>
      <c r="T650" s="230"/>
      <c r="U650" s="230"/>
      <c r="V650" s="230"/>
      <c r="W650" s="230"/>
      <c r="X650" s="230"/>
      <c r="Y650" s="230"/>
      <c r="Z650" s="230"/>
    </row>
    <row r="651" spans="1:26" ht="15.75" customHeight="1">
      <c r="A651" s="230"/>
      <c r="B651" s="230"/>
      <c r="C651" s="230"/>
      <c r="D651" s="230"/>
      <c r="E651" s="230"/>
      <c r="F651" s="230"/>
      <c r="G651" s="230"/>
      <c r="H651" s="230"/>
      <c r="I651" s="230"/>
      <c r="J651" s="230"/>
      <c r="K651" s="230"/>
      <c r="L651" s="230"/>
      <c r="M651" s="230"/>
      <c r="N651" s="230"/>
      <c r="O651" s="230"/>
      <c r="P651" s="230"/>
      <c r="Q651" s="230"/>
      <c r="R651" s="230"/>
      <c r="S651" s="230"/>
      <c r="T651" s="230"/>
      <c r="U651" s="230"/>
      <c r="V651" s="230"/>
      <c r="W651" s="230"/>
      <c r="X651" s="230"/>
      <c r="Y651" s="230"/>
      <c r="Z651" s="230"/>
    </row>
    <row r="652" spans="1:26" ht="15.75" customHeight="1">
      <c r="A652" s="230"/>
      <c r="B652" s="230"/>
      <c r="C652" s="230"/>
      <c r="D652" s="230"/>
      <c r="E652" s="230"/>
      <c r="F652" s="230"/>
      <c r="G652" s="230"/>
      <c r="H652" s="230"/>
      <c r="I652" s="230"/>
      <c r="J652" s="230"/>
      <c r="K652" s="230"/>
      <c r="L652" s="230"/>
      <c r="M652" s="230"/>
      <c r="N652" s="230"/>
      <c r="O652" s="230"/>
      <c r="P652" s="230"/>
      <c r="Q652" s="230"/>
      <c r="R652" s="230"/>
      <c r="S652" s="230"/>
      <c r="T652" s="230"/>
      <c r="U652" s="230"/>
      <c r="V652" s="230"/>
      <c r="W652" s="230"/>
      <c r="X652" s="230"/>
      <c r="Y652" s="230"/>
      <c r="Z652" s="230"/>
    </row>
    <row r="653" spans="1:26" ht="15.75" customHeight="1">
      <c r="A653" s="230"/>
      <c r="B653" s="230"/>
      <c r="C653" s="230"/>
      <c r="D653" s="230"/>
      <c r="E653" s="230"/>
      <c r="F653" s="230"/>
      <c r="G653" s="230"/>
      <c r="H653" s="230"/>
      <c r="I653" s="230"/>
      <c r="J653" s="230"/>
      <c r="K653" s="230"/>
      <c r="L653" s="230"/>
      <c r="M653" s="230"/>
      <c r="N653" s="230"/>
      <c r="O653" s="230"/>
      <c r="P653" s="230"/>
      <c r="Q653" s="230"/>
      <c r="R653" s="230"/>
      <c r="S653" s="230"/>
      <c r="T653" s="230"/>
      <c r="U653" s="230"/>
      <c r="V653" s="230"/>
      <c r="W653" s="230"/>
      <c r="X653" s="230"/>
      <c r="Y653" s="230"/>
      <c r="Z653" s="230"/>
    </row>
    <row r="654" spans="1:26" ht="15.75" customHeight="1">
      <c r="A654" s="230"/>
      <c r="B654" s="230"/>
      <c r="C654" s="230"/>
      <c r="D654" s="230"/>
      <c r="E654" s="230"/>
      <c r="F654" s="230"/>
      <c r="G654" s="230"/>
      <c r="H654" s="230"/>
      <c r="I654" s="230"/>
      <c r="J654" s="230"/>
      <c r="K654" s="230"/>
      <c r="L654" s="230"/>
      <c r="M654" s="230"/>
      <c r="N654" s="230"/>
      <c r="O654" s="230"/>
      <c r="P654" s="230"/>
      <c r="Q654" s="230"/>
      <c r="R654" s="230"/>
      <c r="S654" s="230"/>
      <c r="T654" s="230"/>
      <c r="U654" s="230"/>
      <c r="V654" s="230"/>
      <c r="W654" s="230"/>
      <c r="X654" s="230"/>
      <c r="Y654" s="230"/>
      <c r="Z654" s="230"/>
    </row>
    <row r="655" spans="1:26" ht="15.75" customHeight="1">
      <c r="A655" s="230"/>
      <c r="B655" s="230"/>
      <c r="C655" s="230"/>
      <c r="D655" s="230"/>
      <c r="E655" s="230"/>
      <c r="F655" s="230"/>
      <c r="G655" s="230"/>
      <c r="H655" s="230"/>
      <c r="I655" s="230"/>
      <c r="J655" s="230"/>
      <c r="K655" s="230"/>
      <c r="L655" s="230"/>
      <c r="M655" s="230"/>
      <c r="N655" s="230"/>
      <c r="O655" s="230"/>
      <c r="P655" s="230"/>
      <c r="Q655" s="230"/>
      <c r="R655" s="230"/>
      <c r="S655" s="230"/>
      <c r="T655" s="230"/>
      <c r="U655" s="230"/>
      <c r="V655" s="230"/>
      <c r="W655" s="230"/>
      <c r="X655" s="230"/>
      <c r="Y655" s="230"/>
      <c r="Z655" s="230"/>
    </row>
    <row r="656" spans="1:26" ht="15.75" customHeight="1">
      <c r="A656" s="230"/>
      <c r="B656" s="230"/>
      <c r="C656" s="230"/>
      <c r="D656" s="230"/>
      <c r="E656" s="230"/>
      <c r="F656" s="230"/>
      <c r="G656" s="230"/>
      <c r="H656" s="230"/>
      <c r="I656" s="230"/>
      <c r="J656" s="230"/>
      <c r="K656" s="230"/>
      <c r="L656" s="230"/>
      <c r="M656" s="230"/>
      <c r="N656" s="230"/>
      <c r="O656" s="230"/>
      <c r="P656" s="230"/>
      <c r="Q656" s="230"/>
      <c r="R656" s="230"/>
      <c r="S656" s="230"/>
      <c r="T656" s="230"/>
      <c r="U656" s="230"/>
      <c r="V656" s="230"/>
      <c r="W656" s="230"/>
      <c r="X656" s="230"/>
      <c r="Y656" s="230"/>
      <c r="Z656" s="230"/>
    </row>
    <row r="657" spans="1:26" ht="15.75" customHeight="1">
      <c r="A657" s="230"/>
      <c r="B657" s="230"/>
      <c r="C657" s="230"/>
      <c r="D657" s="230"/>
      <c r="E657" s="230"/>
      <c r="F657" s="230"/>
      <c r="G657" s="230"/>
      <c r="H657" s="230"/>
      <c r="I657" s="230"/>
      <c r="J657" s="230"/>
      <c r="K657" s="230"/>
      <c r="L657" s="230"/>
      <c r="M657" s="230"/>
      <c r="N657" s="230"/>
      <c r="O657" s="230"/>
      <c r="P657" s="230"/>
      <c r="Q657" s="230"/>
      <c r="R657" s="230"/>
      <c r="S657" s="230"/>
      <c r="T657" s="230"/>
      <c r="U657" s="230"/>
      <c r="V657" s="230"/>
      <c r="W657" s="230"/>
      <c r="X657" s="230"/>
      <c r="Y657" s="230"/>
      <c r="Z657" s="230"/>
    </row>
    <row r="658" spans="1:26" ht="15.75" customHeight="1">
      <c r="A658" s="230"/>
      <c r="B658" s="230"/>
      <c r="C658" s="230"/>
      <c r="D658" s="230"/>
      <c r="E658" s="230"/>
      <c r="F658" s="230"/>
      <c r="G658" s="230"/>
      <c r="H658" s="230"/>
      <c r="I658" s="230"/>
      <c r="J658" s="230"/>
      <c r="K658" s="230"/>
      <c r="L658" s="230"/>
      <c r="M658" s="230"/>
      <c r="N658" s="230"/>
      <c r="O658" s="230"/>
      <c r="P658" s="230"/>
      <c r="Q658" s="230"/>
      <c r="R658" s="230"/>
      <c r="S658" s="230"/>
      <c r="T658" s="230"/>
      <c r="U658" s="230"/>
      <c r="V658" s="230"/>
      <c r="W658" s="230"/>
      <c r="X658" s="230"/>
      <c r="Y658" s="230"/>
      <c r="Z658" s="230"/>
    </row>
    <row r="659" spans="1:26" ht="15.75" customHeight="1">
      <c r="A659" s="230"/>
      <c r="B659" s="230"/>
      <c r="C659" s="230"/>
      <c r="D659" s="230"/>
      <c r="E659" s="230"/>
      <c r="F659" s="230"/>
      <c r="G659" s="230"/>
      <c r="H659" s="230"/>
      <c r="I659" s="230"/>
      <c r="J659" s="230"/>
      <c r="K659" s="230"/>
      <c r="L659" s="230"/>
      <c r="M659" s="230"/>
      <c r="N659" s="230"/>
      <c r="O659" s="230"/>
      <c r="P659" s="230"/>
      <c r="Q659" s="230"/>
      <c r="R659" s="230"/>
      <c r="S659" s="230"/>
      <c r="T659" s="230"/>
      <c r="U659" s="230"/>
      <c r="V659" s="230"/>
      <c r="W659" s="230"/>
      <c r="X659" s="230"/>
      <c r="Y659" s="230"/>
      <c r="Z659" s="230"/>
    </row>
    <row r="660" spans="1:26" ht="15.75" customHeight="1">
      <c r="A660" s="230"/>
      <c r="B660" s="230"/>
      <c r="C660" s="230"/>
      <c r="D660" s="230"/>
      <c r="E660" s="230"/>
      <c r="F660" s="230"/>
      <c r="G660" s="230"/>
      <c r="H660" s="230"/>
      <c r="I660" s="230"/>
      <c r="J660" s="230"/>
      <c r="K660" s="230"/>
      <c r="L660" s="230"/>
      <c r="M660" s="230"/>
      <c r="N660" s="230"/>
      <c r="O660" s="230"/>
      <c r="P660" s="230"/>
      <c r="Q660" s="230"/>
      <c r="R660" s="230"/>
      <c r="S660" s="230"/>
      <c r="T660" s="230"/>
      <c r="U660" s="230"/>
      <c r="V660" s="230"/>
      <c r="W660" s="230"/>
      <c r="X660" s="230"/>
      <c r="Y660" s="230"/>
      <c r="Z660" s="230"/>
    </row>
    <row r="661" spans="1:26" ht="15.75" customHeight="1">
      <c r="A661" s="230"/>
      <c r="B661" s="230"/>
      <c r="C661" s="230"/>
      <c r="D661" s="230"/>
      <c r="E661" s="230"/>
      <c r="F661" s="230"/>
      <c r="G661" s="230"/>
      <c r="H661" s="230"/>
      <c r="I661" s="230"/>
      <c r="J661" s="230"/>
      <c r="K661" s="230"/>
      <c r="L661" s="230"/>
      <c r="M661" s="230"/>
      <c r="N661" s="230"/>
      <c r="O661" s="230"/>
      <c r="P661" s="230"/>
      <c r="Q661" s="230"/>
      <c r="R661" s="230"/>
      <c r="S661" s="230"/>
      <c r="T661" s="230"/>
      <c r="U661" s="230"/>
      <c r="V661" s="230"/>
      <c r="W661" s="230"/>
      <c r="X661" s="230"/>
      <c r="Y661" s="230"/>
      <c r="Z661" s="230"/>
    </row>
    <row r="662" spans="1:26" ht="15.75" customHeight="1">
      <c r="A662" s="230"/>
      <c r="B662" s="230"/>
      <c r="C662" s="230"/>
      <c r="D662" s="230"/>
      <c r="E662" s="230"/>
      <c r="F662" s="230"/>
      <c r="G662" s="230"/>
      <c r="H662" s="230"/>
      <c r="I662" s="230"/>
      <c r="J662" s="230"/>
      <c r="K662" s="230"/>
      <c r="L662" s="230"/>
      <c r="M662" s="230"/>
      <c r="N662" s="230"/>
      <c r="O662" s="230"/>
      <c r="P662" s="230"/>
      <c r="Q662" s="230"/>
      <c r="R662" s="230"/>
      <c r="S662" s="230"/>
      <c r="T662" s="230"/>
      <c r="U662" s="230"/>
      <c r="V662" s="230"/>
      <c r="W662" s="230"/>
      <c r="X662" s="230"/>
      <c r="Y662" s="230"/>
      <c r="Z662" s="230"/>
    </row>
    <row r="663" spans="1:26" ht="15.75" customHeight="1">
      <c r="A663" s="230"/>
      <c r="B663" s="230"/>
      <c r="C663" s="230"/>
      <c r="D663" s="230"/>
      <c r="E663" s="230"/>
      <c r="F663" s="230"/>
      <c r="G663" s="230"/>
      <c r="H663" s="230"/>
      <c r="I663" s="230"/>
      <c r="J663" s="230"/>
      <c r="K663" s="230"/>
      <c r="L663" s="230"/>
      <c r="M663" s="230"/>
      <c r="N663" s="230"/>
      <c r="O663" s="230"/>
      <c r="P663" s="230"/>
      <c r="Q663" s="230"/>
      <c r="R663" s="230"/>
      <c r="S663" s="230"/>
      <c r="T663" s="230"/>
      <c r="U663" s="230"/>
      <c r="V663" s="230"/>
      <c r="W663" s="230"/>
      <c r="X663" s="230"/>
      <c r="Y663" s="230"/>
      <c r="Z663" s="230"/>
    </row>
    <row r="664" spans="1:26" ht="15.75" customHeight="1">
      <c r="A664" s="230"/>
      <c r="B664" s="230"/>
      <c r="C664" s="230"/>
      <c r="D664" s="230"/>
      <c r="E664" s="230"/>
      <c r="F664" s="230"/>
      <c r="G664" s="230"/>
      <c r="H664" s="230"/>
      <c r="I664" s="230"/>
      <c r="J664" s="230"/>
      <c r="K664" s="230"/>
      <c r="L664" s="230"/>
      <c r="M664" s="230"/>
      <c r="N664" s="230"/>
      <c r="O664" s="230"/>
      <c r="P664" s="230"/>
      <c r="Q664" s="230"/>
      <c r="R664" s="230"/>
      <c r="S664" s="230"/>
      <c r="T664" s="230"/>
      <c r="U664" s="230"/>
      <c r="V664" s="230"/>
      <c r="W664" s="230"/>
      <c r="X664" s="230"/>
      <c r="Y664" s="230"/>
      <c r="Z664" s="230"/>
    </row>
    <row r="665" spans="1:26" ht="15.75" customHeight="1">
      <c r="A665" s="230"/>
      <c r="B665" s="230"/>
      <c r="C665" s="230"/>
      <c r="D665" s="230"/>
      <c r="E665" s="230"/>
      <c r="F665" s="230"/>
      <c r="G665" s="230"/>
      <c r="H665" s="230"/>
      <c r="I665" s="230"/>
      <c r="J665" s="230"/>
      <c r="K665" s="230"/>
      <c r="L665" s="230"/>
      <c r="M665" s="230"/>
      <c r="N665" s="230"/>
      <c r="O665" s="230"/>
      <c r="P665" s="230"/>
      <c r="Q665" s="230"/>
      <c r="R665" s="230"/>
      <c r="S665" s="230"/>
      <c r="T665" s="230"/>
      <c r="U665" s="230"/>
      <c r="V665" s="230"/>
      <c r="W665" s="230"/>
      <c r="X665" s="230"/>
      <c r="Y665" s="230"/>
      <c r="Z665" s="230"/>
    </row>
    <row r="666" spans="1:26" ht="15.75" customHeight="1">
      <c r="A666" s="230"/>
      <c r="B666" s="230"/>
      <c r="C666" s="230"/>
      <c r="D666" s="230"/>
      <c r="E666" s="230"/>
      <c r="F666" s="230"/>
      <c r="G666" s="230"/>
      <c r="H666" s="230"/>
      <c r="I666" s="230"/>
      <c r="J666" s="230"/>
      <c r="K666" s="230"/>
      <c r="L666" s="230"/>
      <c r="M666" s="230"/>
      <c r="N666" s="230"/>
      <c r="O666" s="230"/>
      <c r="P666" s="230"/>
      <c r="Q666" s="230"/>
      <c r="R666" s="230"/>
      <c r="S666" s="230"/>
      <c r="T666" s="230"/>
      <c r="U666" s="230"/>
      <c r="V666" s="230"/>
      <c r="W666" s="230"/>
      <c r="X666" s="230"/>
      <c r="Y666" s="230"/>
      <c r="Z666" s="230"/>
    </row>
    <row r="667" spans="1:26" ht="15.75" customHeight="1">
      <c r="A667" s="230"/>
      <c r="B667" s="230"/>
      <c r="C667" s="230"/>
      <c r="D667" s="230"/>
      <c r="E667" s="230"/>
      <c r="F667" s="230"/>
      <c r="G667" s="230"/>
      <c r="H667" s="230"/>
      <c r="I667" s="230"/>
      <c r="J667" s="230"/>
      <c r="K667" s="230"/>
      <c r="L667" s="230"/>
      <c r="M667" s="230"/>
      <c r="N667" s="230"/>
      <c r="O667" s="230"/>
      <c r="P667" s="230"/>
      <c r="Q667" s="230"/>
      <c r="R667" s="230"/>
      <c r="S667" s="230"/>
      <c r="T667" s="230"/>
      <c r="U667" s="230"/>
      <c r="V667" s="230"/>
      <c r="W667" s="230"/>
      <c r="X667" s="230"/>
      <c r="Y667" s="230"/>
      <c r="Z667" s="230"/>
    </row>
    <row r="668" spans="1:26" ht="15.75" customHeight="1">
      <c r="A668" s="230"/>
      <c r="B668" s="230"/>
      <c r="C668" s="230"/>
      <c r="D668" s="230"/>
      <c r="E668" s="230"/>
      <c r="F668" s="230"/>
      <c r="G668" s="230"/>
      <c r="H668" s="230"/>
      <c r="I668" s="230"/>
      <c r="J668" s="230"/>
      <c r="K668" s="230"/>
      <c r="L668" s="230"/>
      <c r="M668" s="230"/>
      <c r="N668" s="230"/>
      <c r="O668" s="230"/>
      <c r="P668" s="230"/>
      <c r="Q668" s="230"/>
      <c r="R668" s="230"/>
      <c r="S668" s="230"/>
      <c r="T668" s="230"/>
      <c r="U668" s="230"/>
      <c r="V668" s="230"/>
      <c r="W668" s="230"/>
      <c r="X668" s="230"/>
      <c r="Y668" s="230"/>
      <c r="Z668" s="230"/>
    </row>
    <row r="669" spans="1:26" ht="15.75" customHeight="1">
      <c r="A669" s="230"/>
      <c r="B669" s="230"/>
      <c r="C669" s="230"/>
      <c r="D669" s="230"/>
      <c r="E669" s="230"/>
      <c r="F669" s="230"/>
      <c r="G669" s="230"/>
      <c r="H669" s="230"/>
      <c r="I669" s="230"/>
      <c r="J669" s="230"/>
      <c r="K669" s="230"/>
      <c r="L669" s="230"/>
      <c r="M669" s="230"/>
      <c r="N669" s="230"/>
      <c r="O669" s="230"/>
      <c r="P669" s="230"/>
      <c r="Q669" s="230"/>
      <c r="R669" s="230"/>
      <c r="S669" s="230"/>
      <c r="T669" s="230"/>
      <c r="U669" s="230"/>
      <c r="V669" s="230"/>
      <c r="W669" s="230"/>
      <c r="X669" s="230"/>
      <c r="Y669" s="230"/>
      <c r="Z669" s="230"/>
    </row>
    <row r="670" spans="1:26" ht="15.75" customHeight="1">
      <c r="A670" s="230"/>
      <c r="B670" s="230"/>
      <c r="C670" s="230"/>
      <c r="D670" s="230"/>
      <c r="E670" s="230"/>
      <c r="F670" s="230"/>
      <c r="G670" s="230"/>
      <c r="H670" s="230"/>
      <c r="I670" s="230"/>
      <c r="J670" s="230"/>
      <c r="K670" s="230"/>
      <c r="L670" s="230"/>
      <c r="M670" s="230"/>
      <c r="N670" s="230"/>
      <c r="O670" s="230"/>
      <c r="P670" s="230"/>
      <c r="Q670" s="230"/>
      <c r="R670" s="230"/>
      <c r="S670" s="230"/>
      <c r="T670" s="230"/>
      <c r="U670" s="230"/>
      <c r="V670" s="230"/>
      <c r="W670" s="230"/>
      <c r="X670" s="230"/>
      <c r="Y670" s="230"/>
      <c r="Z670" s="230"/>
    </row>
    <row r="671" spans="1:26" ht="15.75" customHeight="1">
      <c r="A671" s="230"/>
      <c r="B671" s="230"/>
      <c r="C671" s="230"/>
      <c r="D671" s="230"/>
      <c r="E671" s="230"/>
      <c r="F671" s="230"/>
      <c r="G671" s="230"/>
      <c r="H671" s="230"/>
      <c r="I671" s="230"/>
      <c r="J671" s="230"/>
      <c r="K671" s="230"/>
      <c r="L671" s="230"/>
      <c r="M671" s="230"/>
      <c r="N671" s="230"/>
      <c r="O671" s="230"/>
      <c r="P671" s="230"/>
      <c r="Q671" s="230"/>
      <c r="R671" s="230"/>
      <c r="S671" s="230"/>
      <c r="T671" s="230"/>
      <c r="U671" s="230"/>
      <c r="V671" s="230"/>
      <c r="W671" s="230"/>
      <c r="X671" s="230"/>
      <c r="Y671" s="230"/>
      <c r="Z671" s="230"/>
    </row>
    <row r="672" spans="1:26" ht="15.75" customHeight="1">
      <c r="A672" s="230"/>
      <c r="B672" s="230"/>
      <c r="C672" s="230"/>
      <c r="D672" s="230"/>
      <c r="E672" s="230"/>
      <c r="F672" s="230"/>
      <c r="G672" s="230"/>
      <c r="H672" s="230"/>
      <c r="I672" s="230"/>
      <c r="J672" s="230"/>
      <c r="K672" s="230"/>
      <c r="L672" s="230"/>
      <c r="M672" s="230"/>
      <c r="N672" s="230"/>
      <c r="O672" s="230"/>
      <c r="P672" s="230"/>
      <c r="Q672" s="230"/>
      <c r="R672" s="230"/>
      <c r="S672" s="230"/>
      <c r="T672" s="230"/>
      <c r="U672" s="230"/>
      <c r="V672" s="230"/>
      <c r="W672" s="230"/>
      <c r="X672" s="230"/>
      <c r="Y672" s="230"/>
      <c r="Z672" s="230"/>
    </row>
    <row r="673" spans="1:26" ht="15.75" customHeight="1">
      <c r="A673" s="230"/>
      <c r="B673" s="230"/>
      <c r="C673" s="230"/>
      <c r="D673" s="230"/>
      <c r="E673" s="230"/>
      <c r="F673" s="230"/>
      <c r="G673" s="230"/>
      <c r="H673" s="230"/>
      <c r="I673" s="230"/>
      <c r="J673" s="230"/>
      <c r="K673" s="230"/>
      <c r="L673" s="230"/>
      <c r="M673" s="230"/>
      <c r="N673" s="230"/>
      <c r="O673" s="230"/>
      <c r="P673" s="230"/>
      <c r="Q673" s="230"/>
      <c r="R673" s="230"/>
      <c r="S673" s="230"/>
      <c r="T673" s="230"/>
      <c r="U673" s="230"/>
      <c r="V673" s="230"/>
      <c r="W673" s="230"/>
      <c r="X673" s="230"/>
      <c r="Y673" s="230"/>
      <c r="Z673" s="230"/>
    </row>
    <row r="674" spans="1:26" ht="15.75" customHeight="1">
      <c r="A674" s="230"/>
      <c r="B674" s="230"/>
      <c r="C674" s="230"/>
      <c r="D674" s="230"/>
      <c r="E674" s="230"/>
      <c r="F674" s="230"/>
      <c r="G674" s="230"/>
      <c r="H674" s="230"/>
      <c r="I674" s="230"/>
      <c r="J674" s="230"/>
      <c r="K674" s="230"/>
      <c r="L674" s="230"/>
      <c r="M674" s="230"/>
      <c r="N674" s="230"/>
      <c r="O674" s="230"/>
      <c r="P674" s="230"/>
      <c r="Q674" s="230"/>
      <c r="R674" s="230"/>
      <c r="S674" s="230"/>
      <c r="T674" s="230"/>
      <c r="U674" s="230"/>
      <c r="V674" s="230"/>
      <c r="W674" s="230"/>
      <c r="X674" s="230"/>
      <c r="Y674" s="230"/>
      <c r="Z674" s="230"/>
    </row>
    <row r="675" spans="1:26" ht="15.75" customHeight="1">
      <c r="A675" s="230"/>
      <c r="B675" s="230"/>
      <c r="C675" s="230"/>
      <c r="D675" s="230"/>
      <c r="E675" s="230"/>
      <c r="F675" s="230"/>
      <c r="G675" s="230"/>
      <c r="H675" s="230"/>
      <c r="I675" s="230"/>
      <c r="J675" s="230"/>
      <c r="K675" s="230"/>
      <c r="L675" s="230"/>
      <c r="M675" s="230"/>
      <c r="N675" s="230"/>
      <c r="O675" s="230"/>
      <c r="P675" s="230"/>
      <c r="Q675" s="230"/>
      <c r="R675" s="230"/>
      <c r="S675" s="230"/>
      <c r="T675" s="230"/>
      <c r="U675" s="230"/>
      <c r="V675" s="230"/>
      <c r="W675" s="230"/>
      <c r="X675" s="230"/>
      <c r="Y675" s="230"/>
      <c r="Z675" s="230"/>
    </row>
    <row r="676" spans="1:26" ht="15.75" customHeight="1">
      <c r="A676" s="230"/>
      <c r="B676" s="230"/>
      <c r="C676" s="230"/>
      <c r="D676" s="230"/>
      <c r="E676" s="230"/>
      <c r="F676" s="230"/>
      <c r="G676" s="230"/>
      <c r="H676" s="230"/>
      <c r="I676" s="230"/>
      <c r="J676" s="230"/>
      <c r="K676" s="230"/>
      <c r="L676" s="230"/>
      <c r="M676" s="230"/>
      <c r="N676" s="230"/>
      <c r="O676" s="230"/>
      <c r="P676" s="230"/>
      <c r="Q676" s="230"/>
      <c r="R676" s="230"/>
      <c r="S676" s="230"/>
      <c r="T676" s="230"/>
      <c r="U676" s="230"/>
      <c r="V676" s="230"/>
      <c r="W676" s="230"/>
      <c r="X676" s="230"/>
      <c r="Y676" s="230"/>
      <c r="Z676" s="230"/>
    </row>
    <row r="677" spans="1:26" ht="15.75" customHeight="1">
      <c r="A677" s="230"/>
      <c r="B677" s="230"/>
      <c r="C677" s="230"/>
      <c r="D677" s="230"/>
      <c r="E677" s="230"/>
      <c r="F677" s="230"/>
      <c r="G677" s="230"/>
      <c r="H677" s="230"/>
      <c r="I677" s="230"/>
      <c r="J677" s="230"/>
      <c r="K677" s="230"/>
      <c r="L677" s="230"/>
      <c r="M677" s="230"/>
      <c r="N677" s="230"/>
      <c r="O677" s="230"/>
      <c r="P677" s="230"/>
      <c r="Q677" s="230"/>
      <c r="R677" s="230"/>
      <c r="S677" s="230"/>
      <c r="T677" s="230"/>
      <c r="U677" s="230"/>
      <c r="V677" s="230"/>
      <c r="W677" s="230"/>
      <c r="X677" s="230"/>
      <c r="Y677" s="230"/>
      <c r="Z677" s="230"/>
    </row>
    <row r="678" spans="1:26" ht="15.75" customHeight="1">
      <c r="A678" s="230"/>
      <c r="B678" s="230"/>
      <c r="C678" s="230"/>
      <c r="D678" s="230"/>
      <c r="E678" s="230"/>
      <c r="F678" s="230"/>
      <c r="G678" s="230"/>
      <c r="H678" s="230"/>
      <c r="I678" s="230"/>
      <c r="J678" s="230"/>
      <c r="K678" s="230"/>
      <c r="L678" s="230"/>
      <c r="M678" s="230"/>
      <c r="N678" s="230"/>
      <c r="O678" s="230"/>
      <c r="P678" s="230"/>
      <c r="Q678" s="230"/>
      <c r="R678" s="230"/>
      <c r="S678" s="230"/>
      <c r="T678" s="230"/>
      <c r="U678" s="230"/>
      <c r="V678" s="230"/>
      <c r="W678" s="230"/>
      <c r="X678" s="230"/>
      <c r="Y678" s="230"/>
      <c r="Z678" s="230"/>
    </row>
    <row r="679" spans="1:26" ht="15.75" customHeight="1">
      <c r="A679" s="230"/>
      <c r="B679" s="230"/>
      <c r="C679" s="230"/>
      <c r="D679" s="230"/>
      <c r="E679" s="230"/>
      <c r="F679" s="230"/>
      <c r="G679" s="230"/>
      <c r="H679" s="230"/>
      <c r="I679" s="230"/>
      <c r="J679" s="230"/>
      <c r="K679" s="230"/>
      <c r="L679" s="230"/>
      <c r="M679" s="230"/>
      <c r="N679" s="230"/>
      <c r="O679" s="230"/>
      <c r="P679" s="230"/>
      <c r="Q679" s="230"/>
      <c r="R679" s="230"/>
      <c r="S679" s="230"/>
      <c r="T679" s="230"/>
      <c r="U679" s="230"/>
      <c r="V679" s="230"/>
      <c r="W679" s="230"/>
      <c r="X679" s="230"/>
      <c r="Y679" s="230"/>
      <c r="Z679" s="230"/>
    </row>
    <row r="680" spans="1:26" ht="15.75" customHeight="1">
      <c r="A680" s="230"/>
      <c r="B680" s="230"/>
      <c r="C680" s="230"/>
      <c r="D680" s="230"/>
      <c r="E680" s="230"/>
      <c r="F680" s="230"/>
      <c r="G680" s="230"/>
      <c r="H680" s="230"/>
      <c r="I680" s="230"/>
      <c r="J680" s="230"/>
      <c r="K680" s="230"/>
      <c r="L680" s="230"/>
      <c r="M680" s="230"/>
      <c r="N680" s="230"/>
      <c r="O680" s="230"/>
      <c r="P680" s="230"/>
      <c r="Q680" s="230"/>
      <c r="R680" s="230"/>
      <c r="S680" s="230"/>
      <c r="T680" s="230"/>
      <c r="U680" s="230"/>
      <c r="V680" s="230"/>
      <c r="W680" s="230"/>
      <c r="X680" s="230"/>
      <c r="Y680" s="230"/>
      <c r="Z680" s="230"/>
    </row>
    <row r="681" spans="1:26" ht="15.75" customHeight="1">
      <c r="A681" s="230"/>
      <c r="B681" s="230"/>
      <c r="C681" s="230"/>
      <c r="D681" s="230"/>
      <c r="E681" s="230"/>
      <c r="F681" s="230"/>
      <c r="G681" s="230"/>
      <c r="H681" s="230"/>
      <c r="I681" s="230"/>
      <c r="J681" s="230"/>
      <c r="K681" s="230"/>
      <c r="L681" s="230"/>
      <c r="M681" s="230"/>
      <c r="N681" s="230"/>
      <c r="O681" s="230"/>
      <c r="P681" s="230"/>
      <c r="Q681" s="230"/>
      <c r="R681" s="230"/>
      <c r="S681" s="230"/>
      <c r="T681" s="230"/>
      <c r="U681" s="230"/>
      <c r="V681" s="230"/>
      <c r="W681" s="230"/>
      <c r="X681" s="230"/>
      <c r="Y681" s="230"/>
      <c r="Z681" s="230"/>
    </row>
    <row r="682" spans="1:26" ht="15.75" customHeight="1">
      <c r="A682" s="230"/>
      <c r="B682" s="230"/>
      <c r="C682" s="230"/>
      <c r="D682" s="230"/>
      <c r="E682" s="230"/>
      <c r="F682" s="230"/>
      <c r="G682" s="230"/>
      <c r="H682" s="230"/>
      <c r="I682" s="230"/>
      <c r="J682" s="230"/>
      <c r="K682" s="230"/>
      <c r="L682" s="230"/>
      <c r="M682" s="230"/>
      <c r="N682" s="230"/>
      <c r="O682" s="230"/>
      <c r="P682" s="230"/>
      <c r="Q682" s="230"/>
      <c r="R682" s="230"/>
      <c r="S682" s="230"/>
      <c r="T682" s="230"/>
      <c r="U682" s="230"/>
      <c r="V682" s="230"/>
      <c r="W682" s="230"/>
      <c r="X682" s="230"/>
      <c r="Y682" s="230"/>
      <c r="Z682" s="230"/>
    </row>
    <row r="683" spans="1:26" ht="15.75" customHeight="1">
      <c r="A683" s="230"/>
      <c r="B683" s="230"/>
      <c r="C683" s="230"/>
      <c r="D683" s="230"/>
      <c r="E683" s="230"/>
      <c r="F683" s="230"/>
      <c r="G683" s="230"/>
      <c r="H683" s="230"/>
      <c r="I683" s="230"/>
      <c r="J683" s="230"/>
      <c r="K683" s="230"/>
      <c r="L683" s="230"/>
      <c r="M683" s="230"/>
      <c r="N683" s="230"/>
      <c r="O683" s="230"/>
      <c r="P683" s="230"/>
      <c r="Q683" s="230"/>
      <c r="R683" s="230"/>
      <c r="S683" s="230"/>
      <c r="T683" s="230"/>
      <c r="U683" s="230"/>
      <c r="V683" s="230"/>
      <c r="W683" s="230"/>
      <c r="X683" s="230"/>
      <c r="Y683" s="230"/>
      <c r="Z683" s="230"/>
    </row>
    <row r="684" spans="1:26" ht="15.75" customHeight="1">
      <c r="A684" s="230"/>
      <c r="B684" s="230"/>
      <c r="C684" s="230"/>
      <c r="D684" s="230"/>
      <c r="E684" s="230"/>
      <c r="F684" s="230"/>
      <c r="G684" s="230"/>
      <c r="H684" s="230"/>
      <c r="I684" s="230"/>
      <c r="J684" s="230"/>
      <c r="K684" s="230"/>
      <c r="L684" s="230"/>
      <c r="M684" s="230"/>
      <c r="N684" s="230"/>
      <c r="O684" s="230"/>
      <c r="P684" s="230"/>
      <c r="Q684" s="230"/>
      <c r="R684" s="230"/>
      <c r="S684" s="230"/>
      <c r="T684" s="230"/>
      <c r="U684" s="230"/>
      <c r="V684" s="230"/>
      <c r="W684" s="230"/>
      <c r="X684" s="230"/>
      <c r="Y684" s="230"/>
      <c r="Z684" s="230"/>
    </row>
    <row r="685" spans="1:26" ht="15.75" customHeight="1">
      <c r="A685" s="230"/>
      <c r="B685" s="230"/>
      <c r="C685" s="230"/>
      <c r="D685" s="230"/>
      <c r="E685" s="230"/>
      <c r="F685" s="230"/>
      <c r="G685" s="230"/>
      <c r="H685" s="230"/>
      <c r="I685" s="230"/>
      <c r="J685" s="230"/>
      <c r="K685" s="230"/>
      <c r="L685" s="230"/>
      <c r="M685" s="230"/>
      <c r="N685" s="230"/>
      <c r="O685" s="230"/>
      <c r="P685" s="230"/>
      <c r="Q685" s="230"/>
      <c r="R685" s="230"/>
      <c r="S685" s="230"/>
      <c r="T685" s="230"/>
      <c r="U685" s="230"/>
      <c r="V685" s="230"/>
      <c r="W685" s="230"/>
      <c r="X685" s="230"/>
      <c r="Y685" s="230"/>
      <c r="Z685" s="230"/>
    </row>
    <row r="686" spans="1:26" ht="15.75" customHeight="1">
      <c r="A686" s="230"/>
      <c r="B686" s="230"/>
      <c r="C686" s="230"/>
      <c r="D686" s="230"/>
      <c r="E686" s="230"/>
      <c r="F686" s="230"/>
      <c r="G686" s="230"/>
      <c r="H686" s="230"/>
      <c r="I686" s="230"/>
      <c r="J686" s="230"/>
      <c r="K686" s="230"/>
      <c r="L686" s="230"/>
      <c r="M686" s="230"/>
      <c r="N686" s="230"/>
      <c r="O686" s="230"/>
      <c r="P686" s="230"/>
      <c r="Q686" s="230"/>
      <c r="R686" s="230"/>
      <c r="S686" s="230"/>
      <c r="T686" s="230"/>
      <c r="U686" s="230"/>
      <c r="V686" s="230"/>
      <c r="W686" s="230"/>
      <c r="X686" s="230"/>
      <c r="Y686" s="230"/>
      <c r="Z686" s="230"/>
    </row>
    <row r="687" spans="1:26" ht="15.75" customHeight="1">
      <c r="A687" s="230"/>
      <c r="B687" s="230"/>
      <c r="C687" s="230"/>
      <c r="D687" s="230"/>
      <c r="E687" s="230"/>
      <c r="F687" s="230"/>
      <c r="G687" s="230"/>
      <c r="H687" s="230"/>
      <c r="I687" s="230"/>
      <c r="J687" s="230"/>
      <c r="K687" s="230"/>
      <c r="L687" s="230"/>
      <c r="M687" s="230"/>
      <c r="N687" s="230"/>
      <c r="O687" s="230"/>
      <c r="P687" s="230"/>
      <c r="Q687" s="230"/>
      <c r="R687" s="230"/>
      <c r="S687" s="230"/>
      <c r="T687" s="230"/>
      <c r="U687" s="230"/>
      <c r="V687" s="230"/>
      <c r="W687" s="230"/>
      <c r="X687" s="230"/>
      <c r="Y687" s="230"/>
      <c r="Z687" s="230"/>
    </row>
    <row r="688" spans="1:26" ht="15.75" customHeight="1">
      <c r="A688" s="230"/>
      <c r="B688" s="230"/>
      <c r="C688" s="230"/>
      <c r="D688" s="230"/>
      <c r="E688" s="230"/>
      <c r="F688" s="230"/>
      <c r="G688" s="230"/>
      <c r="H688" s="230"/>
      <c r="I688" s="230"/>
      <c r="J688" s="230"/>
      <c r="K688" s="230"/>
      <c r="L688" s="230"/>
      <c r="M688" s="230"/>
      <c r="N688" s="230"/>
      <c r="O688" s="230"/>
      <c r="P688" s="230"/>
      <c r="Q688" s="230"/>
      <c r="R688" s="230"/>
      <c r="S688" s="230"/>
      <c r="T688" s="230"/>
      <c r="U688" s="230"/>
      <c r="V688" s="230"/>
      <c r="W688" s="230"/>
      <c r="X688" s="230"/>
      <c r="Y688" s="230"/>
      <c r="Z688" s="230"/>
    </row>
    <row r="689" spans="1:26" ht="15.75" customHeight="1">
      <c r="A689" s="230"/>
      <c r="B689" s="230"/>
      <c r="C689" s="230"/>
      <c r="D689" s="230"/>
      <c r="E689" s="230"/>
      <c r="F689" s="230"/>
      <c r="G689" s="230"/>
      <c r="H689" s="230"/>
      <c r="I689" s="230"/>
      <c r="J689" s="230"/>
      <c r="K689" s="230"/>
      <c r="L689" s="230"/>
      <c r="M689" s="230"/>
      <c r="N689" s="230"/>
      <c r="O689" s="230"/>
      <c r="P689" s="230"/>
      <c r="Q689" s="230"/>
      <c r="R689" s="230"/>
      <c r="S689" s="230"/>
      <c r="T689" s="230"/>
      <c r="U689" s="230"/>
      <c r="V689" s="230"/>
      <c r="W689" s="230"/>
      <c r="X689" s="230"/>
      <c r="Y689" s="230"/>
      <c r="Z689" s="230"/>
    </row>
    <row r="690" spans="1:26" ht="15.75" customHeight="1">
      <c r="A690" s="230"/>
      <c r="B690" s="230"/>
      <c r="C690" s="230"/>
      <c r="D690" s="230"/>
      <c r="E690" s="230"/>
      <c r="F690" s="230"/>
      <c r="G690" s="230"/>
      <c r="H690" s="230"/>
      <c r="I690" s="230"/>
      <c r="J690" s="230"/>
      <c r="K690" s="230"/>
      <c r="L690" s="230"/>
      <c r="M690" s="230"/>
      <c r="N690" s="230"/>
      <c r="O690" s="230"/>
      <c r="P690" s="230"/>
      <c r="Q690" s="230"/>
      <c r="R690" s="230"/>
      <c r="S690" s="230"/>
      <c r="T690" s="230"/>
      <c r="U690" s="230"/>
      <c r="V690" s="230"/>
      <c r="W690" s="230"/>
      <c r="X690" s="230"/>
      <c r="Y690" s="230"/>
      <c r="Z690" s="230"/>
    </row>
    <row r="691" spans="1:26" ht="15.75" customHeight="1">
      <c r="A691" s="230"/>
      <c r="B691" s="230"/>
      <c r="C691" s="230"/>
      <c r="D691" s="230"/>
      <c r="E691" s="230"/>
      <c r="F691" s="230"/>
      <c r="G691" s="230"/>
      <c r="H691" s="230"/>
      <c r="I691" s="230"/>
      <c r="J691" s="230"/>
      <c r="K691" s="230"/>
      <c r="L691" s="230"/>
      <c r="M691" s="230"/>
      <c r="N691" s="230"/>
      <c r="O691" s="230"/>
      <c r="P691" s="230"/>
      <c r="Q691" s="230"/>
      <c r="R691" s="230"/>
      <c r="S691" s="230"/>
      <c r="T691" s="230"/>
      <c r="U691" s="230"/>
      <c r="V691" s="230"/>
      <c r="W691" s="230"/>
      <c r="X691" s="230"/>
      <c r="Y691" s="230"/>
      <c r="Z691" s="230"/>
    </row>
    <row r="692" spans="1:26" ht="15.75" customHeight="1">
      <c r="A692" s="230"/>
      <c r="B692" s="230"/>
      <c r="C692" s="230"/>
      <c r="D692" s="230"/>
      <c r="E692" s="230"/>
      <c r="F692" s="230"/>
      <c r="G692" s="230"/>
      <c r="H692" s="230"/>
      <c r="I692" s="230"/>
      <c r="J692" s="230"/>
      <c r="K692" s="230"/>
      <c r="L692" s="230"/>
      <c r="M692" s="230"/>
      <c r="N692" s="230"/>
      <c r="O692" s="230"/>
      <c r="P692" s="230"/>
      <c r="Q692" s="230"/>
      <c r="R692" s="230"/>
      <c r="S692" s="230"/>
      <c r="T692" s="230"/>
      <c r="U692" s="230"/>
      <c r="V692" s="230"/>
      <c r="W692" s="230"/>
      <c r="X692" s="230"/>
      <c r="Y692" s="230"/>
      <c r="Z692" s="230"/>
    </row>
    <row r="693" spans="1:26" ht="15.75" customHeight="1">
      <c r="A693" s="230"/>
      <c r="B693" s="230"/>
      <c r="C693" s="230"/>
      <c r="D693" s="230"/>
      <c r="E693" s="230"/>
      <c r="F693" s="230"/>
      <c r="G693" s="230"/>
      <c r="H693" s="230"/>
      <c r="I693" s="230"/>
      <c r="J693" s="230"/>
      <c r="K693" s="230"/>
      <c r="L693" s="230"/>
      <c r="M693" s="230"/>
      <c r="N693" s="230"/>
      <c r="O693" s="230"/>
      <c r="P693" s="230"/>
      <c r="Q693" s="230"/>
      <c r="R693" s="230"/>
      <c r="S693" s="230"/>
      <c r="T693" s="230"/>
      <c r="U693" s="230"/>
      <c r="V693" s="230"/>
      <c r="W693" s="230"/>
      <c r="X693" s="230"/>
      <c r="Y693" s="230"/>
      <c r="Z693" s="230"/>
    </row>
    <row r="694" spans="1:26" ht="15.75" customHeight="1">
      <c r="A694" s="230"/>
      <c r="B694" s="230"/>
      <c r="C694" s="230"/>
      <c r="D694" s="230"/>
      <c r="E694" s="230"/>
      <c r="F694" s="230"/>
      <c r="G694" s="230"/>
      <c r="H694" s="230"/>
      <c r="I694" s="230"/>
      <c r="J694" s="230"/>
      <c r="K694" s="230"/>
      <c r="L694" s="230"/>
      <c r="M694" s="230"/>
      <c r="N694" s="230"/>
      <c r="O694" s="230"/>
      <c r="P694" s="230"/>
      <c r="Q694" s="230"/>
      <c r="R694" s="230"/>
      <c r="S694" s="230"/>
      <c r="T694" s="230"/>
      <c r="U694" s="230"/>
      <c r="V694" s="230"/>
      <c r="W694" s="230"/>
      <c r="X694" s="230"/>
      <c r="Y694" s="230"/>
      <c r="Z694" s="230"/>
    </row>
    <row r="695" spans="1:26" ht="15.75" customHeight="1">
      <c r="A695" s="230"/>
      <c r="B695" s="230"/>
      <c r="C695" s="230"/>
      <c r="D695" s="230"/>
      <c r="E695" s="230"/>
      <c r="F695" s="230"/>
      <c r="G695" s="230"/>
      <c r="H695" s="230"/>
      <c r="I695" s="230"/>
      <c r="J695" s="230"/>
      <c r="K695" s="230"/>
      <c r="L695" s="230"/>
      <c r="M695" s="230"/>
      <c r="N695" s="230"/>
      <c r="O695" s="230"/>
      <c r="P695" s="230"/>
      <c r="Q695" s="230"/>
      <c r="R695" s="230"/>
      <c r="S695" s="230"/>
      <c r="T695" s="230"/>
      <c r="U695" s="230"/>
      <c r="V695" s="230"/>
      <c r="W695" s="230"/>
      <c r="X695" s="230"/>
      <c r="Y695" s="230"/>
      <c r="Z695" s="230"/>
    </row>
    <row r="696" spans="1:26" ht="15.75" customHeight="1">
      <c r="A696" s="230"/>
      <c r="B696" s="230"/>
      <c r="C696" s="230"/>
      <c r="D696" s="230"/>
      <c r="E696" s="230"/>
      <c r="F696" s="230"/>
      <c r="G696" s="230"/>
      <c r="H696" s="230"/>
      <c r="I696" s="230"/>
      <c r="J696" s="230"/>
      <c r="K696" s="230"/>
      <c r="L696" s="230"/>
      <c r="M696" s="230"/>
      <c r="N696" s="230"/>
      <c r="O696" s="230"/>
      <c r="P696" s="230"/>
      <c r="Q696" s="230"/>
      <c r="R696" s="230"/>
      <c r="S696" s="230"/>
      <c r="T696" s="230"/>
      <c r="U696" s="230"/>
      <c r="V696" s="230"/>
      <c r="W696" s="230"/>
      <c r="X696" s="230"/>
      <c r="Y696" s="230"/>
      <c r="Z696" s="230"/>
    </row>
    <row r="697" spans="1:26" ht="15.75" customHeight="1">
      <c r="A697" s="230"/>
      <c r="B697" s="230"/>
      <c r="C697" s="230"/>
      <c r="D697" s="230"/>
      <c r="E697" s="230"/>
      <c r="F697" s="230"/>
      <c r="G697" s="230"/>
      <c r="H697" s="230"/>
      <c r="I697" s="230"/>
      <c r="J697" s="230"/>
      <c r="K697" s="230"/>
      <c r="L697" s="230"/>
      <c r="M697" s="230"/>
      <c r="N697" s="230"/>
      <c r="O697" s="230"/>
      <c r="P697" s="230"/>
      <c r="Q697" s="230"/>
      <c r="R697" s="230"/>
      <c r="S697" s="230"/>
      <c r="T697" s="230"/>
      <c r="U697" s="230"/>
      <c r="V697" s="230"/>
      <c r="W697" s="230"/>
      <c r="X697" s="230"/>
      <c r="Y697" s="230"/>
      <c r="Z697" s="230"/>
    </row>
    <row r="698" spans="1:26" ht="15.75" customHeight="1">
      <c r="A698" s="230"/>
      <c r="B698" s="230"/>
      <c r="C698" s="230"/>
      <c r="D698" s="230"/>
      <c r="E698" s="230"/>
      <c r="F698" s="230"/>
      <c r="G698" s="230"/>
      <c r="H698" s="230"/>
      <c r="I698" s="230"/>
      <c r="J698" s="230"/>
      <c r="K698" s="230"/>
      <c r="L698" s="230"/>
      <c r="M698" s="230"/>
      <c r="N698" s="230"/>
      <c r="O698" s="230"/>
      <c r="P698" s="230"/>
      <c r="Q698" s="230"/>
      <c r="R698" s="230"/>
      <c r="S698" s="230"/>
      <c r="T698" s="230"/>
      <c r="U698" s="230"/>
      <c r="V698" s="230"/>
      <c r="W698" s="230"/>
      <c r="X698" s="230"/>
      <c r="Y698" s="230"/>
      <c r="Z698" s="230"/>
    </row>
    <row r="699" spans="1:26" ht="15.75" customHeight="1">
      <c r="A699" s="230"/>
      <c r="B699" s="230"/>
      <c r="C699" s="230"/>
      <c r="D699" s="230"/>
      <c r="E699" s="230"/>
      <c r="F699" s="230"/>
      <c r="G699" s="230"/>
      <c r="H699" s="230"/>
      <c r="I699" s="230"/>
      <c r="J699" s="230"/>
      <c r="K699" s="230"/>
      <c r="L699" s="230"/>
      <c r="M699" s="230"/>
      <c r="N699" s="230"/>
      <c r="O699" s="230"/>
      <c r="P699" s="230"/>
      <c r="Q699" s="230"/>
      <c r="R699" s="230"/>
      <c r="S699" s="230"/>
      <c r="T699" s="230"/>
      <c r="U699" s="230"/>
      <c r="V699" s="230"/>
      <c r="W699" s="230"/>
      <c r="X699" s="230"/>
      <c r="Y699" s="230"/>
      <c r="Z699" s="230"/>
    </row>
    <row r="700" spans="1:26" ht="15.75" customHeight="1">
      <c r="A700" s="230"/>
      <c r="B700" s="230"/>
      <c r="C700" s="230"/>
      <c r="D700" s="230"/>
      <c r="E700" s="230"/>
      <c r="F700" s="230"/>
      <c r="G700" s="230"/>
      <c r="H700" s="230"/>
      <c r="I700" s="230"/>
      <c r="J700" s="230"/>
      <c r="K700" s="230"/>
      <c r="L700" s="230"/>
      <c r="M700" s="230"/>
      <c r="N700" s="230"/>
      <c r="O700" s="230"/>
      <c r="P700" s="230"/>
      <c r="Q700" s="230"/>
      <c r="R700" s="230"/>
      <c r="S700" s="230"/>
      <c r="T700" s="230"/>
      <c r="U700" s="230"/>
      <c r="V700" s="230"/>
      <c r="W700" s="230"/>
      <c r="X700" s="230"/>
      <c r="Y700" s="230"/>
      <c r="Z700" s="230"/>
    </row>
    <row r="701" spans="1:26" ht="15.75" customHeight="1">
      <c r="A701" s="230"/>
      <c r="B701" s="230"/>
      <c r="C701" s="230"/>
      <c r="D701" s="230"/>
      <c r="E701" s="230"/>
      <c r="F701" s="230"/>
      <c r="G701" s="230"/>
      <c r="H701" s="230"/>
      <c r="I701" s="230"/>
      <c r="J701" s="230"/>
      <c r="K701" s="230"/>
      <c r="L701" s="230"/>
      <c r="M701" s="230"/>
      <c r="N701" s="230"/>
      <c r="O701" s="230"/>
      <c r="P701" s="230"/>
      <c r="Q701" s="230"/>
      <c r="R701" s="230"/>
      <c r="S701" s="230"/>
      <c r="T701" s="230"/>
      <c r="U701" s="230"/>
      <c r="V701" s="230"/>
      <c r="W701" s="230"/>
      <c r="X701" s="230"/>
      <c r="Y701" s="230"/>
      <c r="Z701" s="230"/>
    </row>
    <row r="702" spans="1:26" ht="15.75" customHeight="1">
      <c r="A702" s="230"/>
      <c r="B702" s="230"/>
      <c r="C702" s="230"/>
      <c r="D702" s="230"/>
      <c r="E702" s="230"/>
      <c r="F702" s="230"/>
      <c r="G702" s="230"/>
      <c r="H702" s="230"/>
      <c r="I702" s="230"/>
      <c r="J702" s="230"/>
      <c r="K702" s="230"/>
      <c r="L702" s="230"/>
      <c r="M702" s="230"/>
      <c r="N702" s="230"/>
      <c r="O702" s="230"/>
      <c r="P702" s="230"/>
      <c r="Q702" s="230"/>
      <c r="R702" s="230"/>
      <c r="S702" s="230"/>
      <c r="T702" s="230"/>
      <c r="U702" s="230"/>
      <c r="V702" s="230"/>
      <c r="W702" s="230"/>
      <c r="X702" s="230"/>
      <c r="Y702" s="230"/>
      <c r="Z702" s="230"/>
    </row>
    <row r="703" spans="1:26" ht="15.75" customHeight="1">
      <c r="A703" s="230"/>
      <c r="B703" s="230"/>
      <c r="C703" s="230"/>
      <c r="D703" s="230"/>
      <c r="E703" s="230"/>
      <c r="F703" s="230"/>
      <c r="G703" s="230"/>
      <c r="H703" s="230"/>
      <c r="I703" s="230"/>
      <c r="J703" s="230"/>
      <c r="K703" s="230"/>
      <c r="L703" s="230"/>
      <c r="M703" s="230"/>
      <c r="N703" s="230"/>
      <c r="O703" s="230"/>
      <c r="P703" s="230"/>
      <c r="Q703" s="230"/>
      <c r="R703" s="230"/>
      <c r="S703" s="230"/>
      <c r="T703" s="230"/>
      <c r="U703" s="230"/>
      <c r="V703" s="230"/>
      <c r="W703" s="230"/>
      <c r="X703" s="230"/>
      <c r="Y703" s="230"/>
      <c r="Z703" s="230"/>
    </row>
    <row r="704" spans="1:26" ht="15.75" customHeight="1">
      <c r="A704" s="230"/>
      <c r="B704" s="230"/>
      <c r="C704" s="230"/>
      <c r="D704" s="230"/>
      <c r="E704" s="230"/>
      <c r="F704" s="230"/>
      <c r="G704" s="230"/>
      <c r="H704" s="230"/>
      <c r="I704" s="230"/>
      <c r="J704" s="230"/>
      <c r="K704" s="230"/>
      <c r="L704" s="230"/>
      <c r="M704" s="230"/>
      <c r="N704" s="230"/>
      <c r="O704" s="230"/>
      <c r="P704" s="230"/>
      <c r="Q704" s="230"/>
      <c r="R704" s="230"/>
      <c r="S704" s="230"/>
      <c r="T704" s="230"/>
      <c r="U704" s="230"/>
      <c r="V704" s="230"/>
      <c r="W704" s="230"/>
      <c r="X704" s="230"/>
      <c r="Y704" s="230"/>
      <c r="Z704" s="230"/>
    </row>
    <row r="705" spans="1:26" ht="15.75" customHeight="1">
      <c r="A705" s="230"/>
      <c r="B705" s="230"/>
      <c r="C705" s="230"/>
      <c r="D705" s="230"/>
      <c r="E705" s="230"/>
      <c r="F705" s="230"/>
      <c r="G705" s="230"/>
      <c r="H705" s="230"/>
      <c r="I705" s="230"/>
      <c r="J705" s="230"/>
      <c r="K705" s="230"/>
      <c r="L705" s="230"/>
      <c r="M705" s="230"/>
      <c r="N705" s="230"/>
      <c r="O705" s="230"/>
      <c r="P705" s="230"/>
      <c r="Q705" s="230"/>
      <c r="R705" s="230"/>
      <c r="S705" s="230"/>
      <c r="T705" s="230"/>
      <c r="U705" s="230"/>
      <c r="V705" s="230"/>
      <c r="W705" s="230"/>
      <c r="X705" s="230"/>
      <c r="Y705" s="230"/>
      <c r="Z705" s="230"/>
    </row>
    <row r="706" spans="1:26" ht="15.75" customHeight="1">
      <c r="A706" s="230"/>
      <c r="B706" s="230"/>
      <c r="C706" s="230"/>
      <c r="D706" s="230"/>
      <c r="E706" s="230"/>
      <c r="F706" s="230"/>
      <c r="G706" s="230"/>
      <c r="H706" s="230"/>
      <c r="I706" s="230"/>
      <c r="J706" s="230"/>
      <c r="K706" s="230"/>
      <c r="L706" s="230"/>
      <c r="M706" s="230"/>
      <c r="N706" s="230"/>
      <c r="O706" s="230"/>
      <c r="P706" s="230"/>
      <c r="Q706" s="230"/>
      <c r="R706" s="230"/>
      <c r="S706" s="230"/>
      <c r="T706" s="230"/>
      <c r="U706" s="230"/>
      <c r="V706" s="230"/>
      <c r="W706" s="230"/>
      <c r="X706" s="230"/>
      <c r="Y706" s="230"/>
      <c r="Z706" s="230"/>
    </row>
    <row r="707" spans="1:26" ht="15.75" customHeight="1">
      <c r="A707" s="230"/>
      <c r="B707" s="230"/>
      <c r="C707" s="230"/>
      <c r="D707" s="230"/>
      <c r="E707" s="230"/>
      <c r="F707" s="230"/>
      <c r="G707" s="230"/>
      <c r="H707" s="230"/>
      <c r="I707" s="230"/>
      <c r="J707" s="230"/>
      <c r="K707" s="230"/>
      <c r="L707" s="230"/>
      <c r="M707" s="230"/>
      <c r="N707" s="230"/>
      <c r="O707" s="230"/>
      <c r="P707" s="230"/>
      <c r="Q707" s="230"/>
      <c r="R707" s="230"/>
      <c r="S707" s="230"/>
      <c r="T707" s="230"/>
      <c r="U707" s="230"/>
      <c r="V707" s="230"/>
      <c r="W707" s="230"/>
      <c r="X707" s="230"/>
      <c r="Y707" s="230"/>
      <c r="Z707" s="230"/>
    </row>
    <row r="708" spans="1:26" ht="15.75" customHeight="1">
      <c r="A708" s="230"/>
      <c r="B708" s="230"/>
      <c r="C708" s="230"/>
      <c r="D708" s="230"/>
      <c r="E708" s="230"/>
      <c r="F708" s="230"/>
      <c r="G708" s="230"/>
      <c r="H708" s="230"/>
      <c r="I708" s="230"/>
      <c r="J708" s="230"/>
      <c r="K708" s="230"/>
      <c r="L708" s="230"/>
      <c r="M708" s="230"/>
      <c r="N708" s="230"/>
      <c r="O708" s="230"/>
      <c r="P708" s="230"/>
      <c r="Q708" s="230"/>
      <c r="R708" s="230"/>
      <c r="S708" s="230"/>
      <c r="T708" s="230"/>
      <c r="U708" s="230"/>
      <c r="V708" s="230"/>
      <c r="W708" s="230"/>
      <c r="X708" s="230"/>
      <c r="Y708" s="230"/>
      <c r="Z708" s="230"/>
    </row>
    <row r="709" spans="1:26" ht="15.75" customHeight="1">
      <c r="A709" s="230"/>
      <c r="B709" s="230"/>
      <c r="C709" s="230"/>
      <c r="D709" s="230"/>
      <c r="E709" s="230"/>
      <c r="F709" s="230"/>
      <c r="G709" s="230"/>
      <c r="H709" s="230"/>
      <c r="I709" s="230"/>
      <c r="J709" s="230"/>
      <c r="K709" s="230"/>
      <c r="L709" s="230"/>
      <c r="M709" s="230"/>
      <c r="N709" s="230"/>
      <c r="O709" s="230"/>
      <c r="P709" s="230"/>
      <c r="Q709" s="230"/>
      <c r="R709" s="230"/>
      <c r="S709" s="230"/>
      <c r="T709" s="230"/>
      <c r="U709" s="230"/>
      <c r="V709" s="230"/>
      <c r="W709" s="230"/>
      <c r="X709" s="230"/>
      <c r="Y709" s="230"/>
      <c r="Z709" s="230"/>
    </row>
    <row r="710" spans="1:26" ht="15.75" customHeight="1">
      <c r="A710" s="230"/>
      <c r="B710" s="230"/>
      <c r="C710" s="230"/>
      <c r="D710" s="230"/>
      <c r="E710" s="230"/>
      <c r="F710" s="230"/>
      <c r="G710" s="230"/>
      <c r="H710" s="230"/>
      <c r="I710" s="230"/>
      <c r="J710" s="230"/>
      <c r="K710" s="230"/>
      <c r="L710" s="230"/>
      <c r="M710" s="230"/>
      <c r="N710" s="230"/>
      <c r="O710" s="230"/>
      <c r="P710" s="230"/>
      <c r="Q710" s="230"/>
      <c r="R710" s="230"/>
      <c r="S710" s="230"/>
      <c r="T710" s="230"/>
      <c r="U710" s="230"/>
      <c r="V710" s="230"/>
      <c r="W710" s="230"/>
      <c r="X710" s="230"/>
      <c r="Y710" s="230"/>
      <c r="Z710" s="230"/>
    </row>
    <row r="711" spans="1:26" ht="15.75" customHeight="1">
      <c r="A711" s="230"/>
      <c r="B711" s="230"/>
      <c r="C711" s="230"/>
      <c r="D711" s="230"/>
      <c r="E711" s="230"/>
      <c r="F711" s="230"/>
      <c r="G711" s="230"/>
      <c r="H711" s="230"/>
      <c r="I711" s="230"/>
      <c r="J711" s="230"/>
      <c r="K711" s="230"/>
      <c r="L711" s="230"/>
      <c r="M711" s="230"/>
      <c r="N711" s="230"/>
      <c r="O711" s="230"/>
      <c r="P711" s="230"/>
      <c r="Q711" s="230"/>
      <c r="R711" s="230"/>
      <c r="S711" s="230"/>
      <c r="T711" s="230"/>
      <c r="U711" s="230"/>
      <c r="V711" s="230"/>
      <c r="W711" s="230"/>
      <c r="X711" s="230"/>
      <c r="Y711" s="230"/>
      <c r="Z711" s="230"/>
    </row>
    <row r="712" spans="1:26" ht="15.75" customHeight="1">
      <c r="A712" s="230"/>
      <c r="B712" s="230"/>
      <c r="C712" s="230"/>
      <c r="D712" s="230"/>
      <c r="E712" s="230"/>
      <c r="F712" s="230"/>
      <c r="G712" s="230"/>
      <c r="H712" s="230"/>
      <c r="I712" s="230"/>
      <c r="J712" s="230"/>
      <c r="K712" s="230"/>
      <c r="L712" s="230"/>
      <c r="M712" s="230"/>
      <c r="N712" s="230"/>
      <c r="O712" s="230"/>
      <c r="P712" s="230"/>
      <c r="Q712" s="230"/>
      <c r="R712" s="230"/>
      <c r="S712" s="230"/>
      <c r="T712" s="230"/>
      <c r="U712" s="230"/>
      <c r="V712" s="230"/>
      <c r="W712" s="230"/>
      <c r="X712" s="230"/>
      <c r="Y712" s="230"/>
      <c r="Z712" s="230"/>
    </row>
    <row r="713" spans="1:26" ht="15.75" customHeight="1">
      <c r="A713" s="230"/>
      <c r="B713" s="230"/>
      <c r="C713" s="230"/>
      <c r="D713" s="230"/>
      <c r="E713" s="230"/>
      <c r="F713" s="230"/>
      <c r="G713" s="230"/>
      <c r="H713" s="230"/>
      <c r="I713" s="230"/>
      <c r="J713" s="230"/>
      <c r="K713" s="230"/>
      <c r="L713" s="230"/>
      <c r="M713" s="230"/>
      <c r="N713" s="230"/>
      <c r="O713" s="230"/>
      <c r="P713" s="230"/>
      <c r="Q713" s="230"/>
      <c r="R713" s="230"/>
      <c r="S713" s="230"/>
      <c r="T713" s="230"/>
      <c r="U713" s="230"/>
      <c r="V713" s="230"/>
      <c r="W713" s="230"/>
      <c r="X713" s="230"/>
      <c r="Y713" s="230"/>
      <c r="Z713" s="230"/>
    </row>
    <row r="714" spans="1:26" ht="15.75" customHeight="1">
      <c r="A714" s="230"/>
      <c r="B714" s="230"/>
      <c r="C714" s="230"/>
      <c r="D714" s="230"/>
      <c r="E714" s="230"/>
      <c r="F714" s="230"/>
      <c r="G714" s="230"/>
      <c r="H714" s="230"/>
      <c r="I714" s="230"/>
      <c r="J714" s="230"/>
      <c r="K714" s="230"/>
      <c r="L714" s="230"/>
      <c r="M714" s="230"/>
      <c r="N714" s="230"/>
      <c r="O714" s="230"/>
      <c r="P714" s="230"/>
      <c r="Q714" s="230"/>
      <c r="R714" s="230"/>
      <c r="S714" s="230"/>
      <c r="T714" s="230"/>
      <c r="U714" s="230"/>
      <c r="V714" s="230"/>
      <c r="W714" s="230"/>
      <c r="X714" s="230"/>
      <c r="Y714" s="230"/>
      <c r="Z714" s="230"/>
    </row>
    <row r="715" spans="1:26" ht="15.75" customHeight="1">
      <c r="A715" s="230"/>
      <c r="B715" s="230"/>
      <c r="C715" s="230"/>
      <c r="D715" s="230"/>
      <c r="E715" s="230"/>
      <c r="F715" s="230"/>
      <c r="G715" s="230"/>
      <c r="H715" s="230"/>
      <c r="I715" s="230"/>
      <c r="J715" s="230"/>
      <c r="K715" s="230"/>
      <c r="L715" s="230"/>
      <c r="M715" s="230"/>
      <c r="N715" s="230"/>
      <c r="O715" s="230"/>
      <c r="P715" s="230"/>
      <c r="Q715" s="230"/>
      <c r="R715" s="230"/>
      <c r="S715" s="230"/>
      <c r="T715" s="230"/>
      <c r="U715" s="230"/>
      <c r="V715" s="230"/>
      <c r="W715" s="230"/>
      <c r="X715" s="230"/>
      <c r="Y715" s="230"/>
      <c r="Z715" s="230"/>
    </row>
    <row r="716" spans="1:26" ht="15.75" customHeight="1">
      <c r="A716" s="230"/>
      <c r="B716" s="230"/>
      <c r="C716" s="230"/>
      <c r="D716" s="230"/>
      <c r="E716" s="230"/>
      <c r="F716" s="230"/>
      <c r="G716" s="230"/>
      <c r="H716" s="230"/>
      <c r="I716" s="230"/>
      <c r="J716" s="230"/>
      <c r="K716" s="230"/>
      <c r="L716" s="230"/>
      <c r="M716" s="230"/>
      <c r="N716" s="230"/>
      <c r="O716" s="230"/>
      <c r="P716" s="230"/>
      <c r="Q716" s="230"/>
      <c r="R716" s="230"/>
      <c r="S716" s="230"/>
      <c r="T716" s="230"/>
      <c r="U716" s="230"/>
      <c r="V716" s="230"/>
      <c r="W716" s="230"/>
      <c r="X716" s="230"/>
      <c r="Y716" s="230"/>
      <c r="Z716" s="230"/>
    </row>
    <row r="717" spans="1:26" ht="15.75" customHeight="1">
      <c r="A717" s="230"/>
      <c r="B717" s="230"/>
      <c r="C717" s="230"/>
      <c r="D717" s="230"/>
      <c r="E717" s="230"/>
      <c r="F717" s="230"/>
      <c r="G717" s="230"/>
      <c r="H717" s="230"/>
      <c r="I717" s="230"/>
      <c r="J717" s="230"/>
      <c r="K717" s="230"/>
      <c r="L717" s="230"/>
      <c r="M717" s="230"/>
      <c r="N717" s="230"/>
      <c r="O717" s="230"/>
      <c r="P717" s="230"/>
      <c r="Q717" s="230"/>
      <c r="R717" s="230"/>
      <c r="S717" s="230"/>
      <c r="T717" s="230"/>
      <c r="U717" s="230"/>
      <c r="V717" s="230"/>
      <c r="W717" s="230"/>
      <c r="X717" s="230"/>
      <c r="Y717" s="230"/>
      <c r="Z717" s="230"/>
    </row>
    <row r="718" spans="1:26" ht="15.75" customHeight="1">
      <c r="A718" s="230"/>
      <c r="B718" s="230"/>
      <c r="C718" s="230"/>
      <c r="D718" s="230"/>
      <c r="E718" s="230"/>
      <c r="F718" s="230"/>
      <c r="G718" s="230"/>
      <c r="H718" s="230"/>
      <c r="I718" s="230"/>
      <c r="J718" s="230"/>
      <c r="K718" s="230"/>
      <c r="L718" s="230"/>
      <c r="M718" s="230"/>
      <c r="N718" s="230"/>
      <c r="O718" s="230"/>
      <c r="P718" s="230"/>
      <c r="Q718" s="230"/>
      <c r="R718" s="230"/>
      <c r="S718" s="230"/>
      <c r="T718" s="230"/>
      <c r="U718" s="230"/>
      <c r="V718" s="230"/>
      <c r="W718" s="230"/>
      <c r="X718" s="230"/>
      <c r="Y718" s="230"/>
      <c r="Z718" s="230"/>
    </row>
    <row r="719" spans="1:26" ht="15.75" customHeight="1">
      <c r="A719" s="230"/>
      <c r="B719" s="230"/>
      <c r="C719" s="230"/>
      <c r="D719" s="230"/>
      <c r="E719" s="230"/>
      <c r="F719" s="230"/>
      <c r="G719" s="230"/>
      <c r="H719" s="230"/>
      <c r="I719" s="230"/>
      <c r="J719" s="230"/>
      <c r="K719" s="230"/>
      <c r="L719" s="230"/>
      <c r="M719" s="230"/>
      <c r="N719" s="230"/>
      <c r="O719" s="230"/>
      <c r="P719" s="230"/>
      <c r="Q719" s="230"/>
      <c r="R719" s="230"/>
      <c r="S719" s="230"/>
      <c r="T719" s="230"/>
      <c r="U719" s="230"/>
      <c r="V719" s="230"/>
      <c r="W719" s="230"/>
      <c r="X719" s="230"/>
      <c r="Y719" s="230"/>
      <c r="Z719" s="230"/>
    </row>
    <row r="720" spans="1:26" ht="15.75" customHeight="1">
      <c r="A720" s="230"/>
      <c r="B720" s="230"/>
      <c r="C720" s="230"/>
      <c r="D720" s="230"/>
      <c r="E720" s="230"/>
      <c r="F720" s="230"/>
      <c r="G720" s="230"/>
      <c r="H720" s="230"/>
      <c r="I720" s="230"/>
      <c r="J720" s="230"/>
      <c r="K720" s="230"/>
      <c r="L720" s="230"/>
      <c r="M720" s="230"/>
      <c r="N720" s="230"/>
      <c r="O720" s="230"/>
      <c r="P720" s="230"/>
      <c r="Q720" s="230"/>
      <c r="R720" s="230"/>
      <c r="S720" s="230"/>
      <c r="T720" s="230"/>
      <c r="U720" s="230"/>
      <c r="V720" s="230"/>
      <c r="W720" s="230"/>
      <c r="X720" s="230"/>
      <c r="Y720" s="230"/>
      <c r="Z720" s="230"/>
    </row>
    <row r="721" spans="1:26" ht="15.75" customHeight="1">
      <c r="A721" s="230"/>
      <c r="B721" s="230"/>
      <c r="C721" s="230"/>
      <c r="D721" s="230"/>
      <c r="E721" s="230"/>
      <c r="F721" s="230"/>
      <c r="G721" s="230"/>
      <c r="H721" s="230"/>
      <c r="I721" s="230"/>
      <c r="J721" s="230"/>
      <c r="K721" s="230"/>
      <c r="L721" s="230"/>
      <c r="M721" s="230"/>
      <c r="N721" s="230"/>
      <c r="O721" s="230"/>
      <c r="P721" s="230"/>
      <c r="Q721" s="230"/>
      <c r="R721" s="230"/>
      <c r="S721" s="230"/>
      <c r="T721" s="230"/>
      <c r="U721" s="230"/>
      <c r="V721" s="230"/>
      <c r="W721" s="230"/>
      <c r="X721" s="230"/>
      <c r="Y721" s="230"/>
      <c r="Z721" s="230"/>
    </row>
    <row r="722" spans="1:26" ht="15.75" customHeight="1">
      <c r="A722" s="230"/>
      <c r="B722" s="230"/>
      <c r="C722" s="230"/>
      <c r="D722" s="230"/>
      <c r="E722" s="230"/>
      <c r="F722" s="230"/>
      <c r="G722" s="230"/>
      <c r="H722" s="230"/>
      <c r="I722" s="230"/>
      <c r="J722" s="230"/>
      <c r="K722" s="230"/>
      <c r="L722" s="230"/>
      <c r="M722" s="230"/>
      <c r="N722" s="230"/>
      <c r="O722" s="230"/>
      <c r="P722" s="230"/>
      <c r="Q722" s="230"/>
      <c r="R722" s="230"/>
      <c r="S722" s="230"/>
      <c r="T722" s="230"/>
      <c r="U722" s="230"/>
      <c r="V722" s="230"/>
      <c r="W722" s="230"/>
      <c r="X722" s="230"/>
      <c r="Y722" s="230"/>
      <c r="Z722" s="230"/>
    </row>
    <row r="723" spans="1:26" ht="15.75" customHeight="1">
      <c r="A723" s="230"/>
      <c r="B723" s="230"/>
      <c r="C723" s="230"/>
      <c r="D723" s="230"/>
      <c r="E723" s="230"/>
      <c r="F723" s="230"/>
      <c r="G723" s="230"/>
      <c r="H723" s="230"/>
      <c r="I723" s="230"/>
      <c r="J723" s="230"/>
      <c r="K723" s="230"/>
      <c r="L723" s="230"/>
      <c r="M723" s="230"/>
      <c r="N723" s="230"/>
      <c r="O723" s="230"/>
      <c r="P723" s="230"/>
      <c r="Q723" s="230"/>
      <c r="R723" s="230"/>
      <c r="S723" s="230"/>
      <c r="T723" s="230"/>
      <c r="U723" s="230"/>
      <c r="V723" s="230"/>
      <c r="W723" s="230"/>
      <c r="X723" s="230"/>
      <c r="Y723" s="230"/>
      <c r="Z723" s="230"/>
    </row>
    <row r="724" spans="1:26" ht="15.75" customHeight="1">
      <c r="A724" s="230"/>
      <c r="B724" s="230"/>
      <c r="C724" s="230"/>
      <c r="D724" s="230"/>
      <c r="E724" s="230"/>
      <c r="F724" s="230"/>
      <c r="G724" s="230"/>
      <c r="H724" s="230"/>
      <c r="I724" s="230"/>
      <c r="J724" s="230"/>
      <c r="K724" s="230"/>
      <c r="L724" s="230"/>
      <c r="M724" s="230"/>
      <c r="N724" s="230"/>
      <c r="O724" s="230"/>
      <c r="P724" s="230"/>
      <c r="Q724" s="230"/>
      <c r="R724" s="230"/>
      <c r="S724" s="230"/>
      <c r="T724" s="230"/>
      <c r="U724" s="230"/>
      <c r="V724" s="230"/>
      <c r="W724" s="230"/>
      <c r="X724" s="230"/>
      <c r="Y724" s="230"/>
      <c r="Z724" s="230"/>
    </row>
    <row r="725" spans="1:26" ht="15.75" customHeight="1">
      <c r="A725" s="230"/>
      <c r="B725" s="230"/>
      <c r="C725" s="230"/>
      <c r="D725" s="230"/>
      <c r="E725" s="230"/>
      <c r="F725" s="230"/>
      <c r="G725" s="230"/>
      <c r="H725" s="230"/>
      <c r="I725" s="230"/>
      <c r="J725" s="230"/>
      <c r="K725" s="230"/>
      <c r="L725" s="230"/>
      <c r="M725" s="230"/>
      <c r="N725" s="230"/>
      <c r="O725" s="230"/>
      <c r="P725" s="230"/>
      <c r="Q725" s="230"/>
      <c r="R725" s="230"/>
      <c r="S725" s="230"/>
      <c r="T725" s="230"/>
      <c r="U725" s="230"/>
      <c r="V725" s="230"/>
      <c r="W725" s="230"/>
      <c r="X725" s="230"/>
      <c r="Y725" s="230"/>
      <c r="Z725" s="230"/>
    </row>
    <row r="726" spans="1:26" ht="15.75" customHeight="1">
      <c r="A726" s="230"/>
      <c r="B726" s="230"/>
      <c r="C726" s="230"/>
      <c r="D726" s="230"/>
      <c r="E726" s="230"/>
      <c r="F726" s="230"/>
      <c r="G726" s="230"/>
      <c r="H726" s="230"/>
      <c r="I726" s="230"/>
      <c r="J726" s="230"/>
      <c r="K726" s="230"/>
      <c r="L726" s="230"/>
      <c r="M726" s="230"/>
      <c r="N726" s="230"/>
      <c r="O726" s="230"/>
      <c r="P726" s="230"/>
      <c r="Q726" s="230"/>
      <c r="R726" s="230"/>
      <c r="S726" s="230"/>
      <c r="T726" s="230"/>
      <c r="U726" s="230"/>
      <c r="V726" s="230"/>
      <c r="W726" s="230"/>
      <c r="X726" s="230"/>
      <c r="Y726" s="230"/>
      <c r="Z726" s="230"/>
    </row>
    <row r="727" spans="1:26" ht="15.75" customHeight="1">
      <c r="A727" s="230"/>
      <c r="B727" s="230"/>
      <c r="C727" s="230"/>
      <c r="D727" s="230"/>
      <c r="E727" s="230"/>
      <c r="F727" s="230"/>
      <c r="G727" s="230"/>
      <c r="H727" s="230"/>
      <c r="I727" s="230"/>
      <c r="J727" s="230"/>
      <c r="K727" s="230"/>
      <c r="L727" s="230"/>
      <c r="M727" s="230"/>
      <c r="N727" s="230"/>
      <c r="O727" s="230"/>
      <c r="P727" s="230"/>
      <c r="Q727" s="230"/>
      <c r="R727" s="230"/>
      <c r="S727" s="230"/>
      <c r="T727" s="230"/>
      <c r="U727" s="230"/>
      <c r="V727" s="230"/>
      <c r="W727" s="230"/>
      <c r="X727" s="230"/>
      <c r="Y727" s="230"/>
      <c r="Z727" s="230"/>
    </row>
    <row r="728" spans="1:26" ht="15.75" customHeight="1">
      <c r="A728" s="230"/>
      <c r="B728" s="230"/>
      <c r="C728" s="230"/>
      <c r="D728" s="230"/>
      <c r="E728" s="230"/>
      <c r="F728" s="230"/>
      <c r="G728" s="230"/>
      <c r="H728" s="230"/>
      <c r="I728" s="230"/>
      <c r="J728" s="230"/>
      <c r="K728" s="230"/>
      <c r="L728" s="230"/>
      <c r="M728" s="230"/>
      <c r="N728" s="230"/>
      <c r="O728" s="230"/>
      <c r="P728" s="230"/>
      <c r="Q728" s="230"/>
      <c r="R728" s="230"/>
      <c r="S728" s="230"/>
      <c r="T728" s="230"/>
      <c r="U728" s="230"/>
      <c r="V728" s="230"/>
      <c r="W728" s="230"/>
      <c r="X728" s="230"/>
      <c r="Y728" s="230"/>
      <c r="Z728" s="230"/>
    </row>
    <row r="729" spans="1:26" ht="15.75" customHeight="1">
      <c r="A729" s="230"/>
      <c r="B729" s="230"/>
      <c r="C729" s="230"/>
      <c r="D729" s="230"/>
      <c r="E729" s="230"/>
      <c r="F729" s="230"/>
      <c r="G729" s="230"/>
      <c r="H729" s="230"/>
      <c r="I729" s="230"/>
      <c r="J729" s="230"/>
      <c r="K729" s="230"/>
      <c r="L729" s="230"/>
      <c r="M729" s="230"/>
      <c r="N729" s="230"/>
      <c r="O729" s="230"/>
      <c r="P729" s="230"/>
      <c r="Q729" s="230"/>
      <c r="R729" s="230"/>
      <c r="S729" s="230"/>
      <c r="T729" s="230"/>
      <c r="U729" s="230"/>
      <c r="V729" s="230"/>
      <c r="W729" s="230"/>
      <c r="X729" s="230"/>
      <c r="Y729" s="230"/>
      <c r="Z729" s="230"/>
    </row>
    <row r="730" spans="1:26" ht="15.75" customHeight="1">
      <c r="A730" s="230"/>
      <c r="B730" s="230"/>
      <c r="C730" s="230"/>
      <c r="D730" s="230"/>
      <c r="E730" s="230"/>
      <c r="F730" s="230"/>
      <c r="G730" s="230"/>
      <c r="H730" s="230"/>
      <c r="I730" s="230"/>
      <c r="J730" s="230"/>
      <c r="K730" s="230"/>
      <c r="L730" s="230"/>
      <c r="M730" s="230"/>
      <c r="N730" s="230"/>
      <c r="O730" s="230"/>
      <c r="P730" s="230"/>
      <c r="Q730" s="230"/>
      <c r="R730" s="230"/>
      <c r="S730" s="230"/>
      <c r="T730" s="230"/>
      <c r="U730" s="230"/>
      <c r="V730" s="230"/>
      <c r="W730" s="230"/>
      <c r="X730" s="230"/>
      <c r="Y730" s="230"/>
      <c r="Z730" s="230"/>
    </row>
    <row r="731" spans="1:26" ht="15.75" customHeight="1">
      <c r="A731" s="230"/>
      <c r="B731" s="230"/>
      <c r="C731" s="230"/>
      <c r="D731" s="230"/>
      <c r="E731" s="230"/>
      <c r="F731" s="230"/>
      <c r="G731" s="230"/>
      <c r="H731" s="230"/>
      <c r="I731" s="230"/>
      <c r="J731" s="230"/>
      <c r="K731" s="230"/>
      <c r="L731" s="230"/>
      <c r="M731" s="230"/>
      <c r="N731" s="230"/>
      <c r="O731" s="230"/>
      <c r="P731" s="230"/>
      <c r="Q731" s="230"/>
      <c r="R731" s="230"/>
      <c r="S731" s="230"/>
      <c r="T731" s="230"/>
      <c r="U731" s="230"/>
      <c r="V731" s="230"/>
      <c r="W731" s="230"/>
      <c r="X731" s="230"/>
      <c r="Y731" s="230"/>
      <c r="Z731" s="230"/>
    </row>
    <row r="732" spans="1:26" ht="15.75" customHeight="1">
      <c r="A732" s="230"/>
      <c r="B732" s="230"/>
      <c r="C732" s="230"/>
      <c r="D732" s="230"/>
      <c r="E732" s="230"/>
      <c r="F732" s="230"/>
      <c r="G732" s="230"/>
      <c r="H732" s="230"/>
      <c r="I732" s="230"/>
      <c r="J732" s="230"/>
      <c r="K732" s="230"/>
      <c r="L732" s="230"/>
      <c r="M732" s="230"/>
      <c r="N732" s="230"/>
      <c r="O732" s="230"/>
      <c r="P732" s="230"/>
      <c r="Q732" s="230"/>
      <c r="R732" s="230"/>
      <c r="S732" s="230"/>
      <c r="T732" s="230"/>
      <c r="U732" s="230"/>
      <c r="V732" s="230"/>
      <c r="W732" s="230"/>
      <c r="X732" s="230"/>
      <c r="Y732" s="230"/>
      <c r="Z732" s="230"/>
    </row>
    <row r="733" spans="1:26" ht="15.75" customHeight="1">
      <c r="A733" s="230"/>
      <c r="B733" s="230"/>
      <c r="C733" s="230"/>
      <c r="D733" s="230"/>
      <c r="E733" s="230"/>
      <c r="F733" s="230"/>
      <c r="G733" s="230"/>
      <c r="H733" s="230"/>
      <c r="I733" s="230"/>
      <c r="J733" s="230"/>
      <c r="K733" s="230"/>
      <c r="L733" s="230"/>
      <c r="M733" s="230"/>
      <c r="N733" s="230"/>
      <c r="O733" s="230"/>
      <c r="P733" s="230"/>
      <c r="Q733" s="230"/>
      <c r="R733" s="230"/>
      <c r="S733" s="230"/>
      <c r="T733" s="230"/>
      <c r="U733" s="230"/>
      <c r="V733" s="230"/>
      <c r="W733" s="230"/>
      <c r="X733" s="230"/>
      <c r="Y733" s="230"/>
      <c r="Z733" s="230"/>
    </row>
    <row r="734" spans="1:26" ht="15.75" customHeight="1">
      <c r="A734" s="230"/>
      <c r="B734" s="230"/>
      <c r="C734" s="230"/>
      <c r="D734" s="230"/>
      <c r="E734" s="230"/>
      <c r="F734" s="230"/>
      <c r="G734" s="230"/>
      <c r="H734" s="230"/>
      <c r="I734" s="230"/>
      <c r="J734" s="230"/>
      <c r="K734" s="230"/>
      <c r="L734" s="230"/>
      <c r="M734" s="230"/>
      <c r="N734" s="230"/>
      <c r="O734" s="230"/>
      <c r="P734" s="230"/>
      <c r="Q734" s="230"/>
      <c r="R734" s="230"/>
      <c r="S734" s="230"/>
      <c r="T734" s="230"/>
      <c r="U734" s="230"/>
      <c r="V734" s="230"/>
      <c r="W734" s="230"/>
      <c r="X734" s="230"/>
      <c r="Y734" s="230"/>
      <c r="Z734" s="230"/>
    </row>
    <row r="735" spans="1:26" ht="15.75" customHeight="1">
      <c r="A735" s="230"/>
      <c r="B735" s="230"/>
      <c r="C735" s="230"/>
      <c r="D735" s="230"/>
      <c r="E735" s="230"/>
      <c r="F735" s="230"/>
      <c r="G735" s="230"/>
      <c r="H735" s="230"/>
      <c r="I735" s="230"/>
      <c r="J735" s="230"/>
      <c r="K735" s="230"/>
      <c r="L735" s="230"/>
      <c r="M735" s="230"/>
      <c r="N735" s="230"/>
      <c r="O735" s="230"/>
      <c r="P735" s="230"/>
      <c r="Q735" s="230"/>
      <c r="R735" s="230"/>
      <c r="S735" s="230"/>
      <c r="T735" s="230"/>
      <c r="U735" s="230"/>
      <c r="V735" s="230"/>
      <c r="W735" s="230"/>
      <c r="X735" s="230"/>
      <c r="Y735" s="230"/>
      <c r="Z735" s="230"/>
    </row>
    <row r="736" spans="1:26" ht="15.75" customHeight="1">
      <c r="A736" s="230"/>
      <c r="B736" s="230"/>
      <c r="C736" s="230"/>
      <c r="D736" s="230"/>
      <c r="E736" s="230"/>
      <c r="F736" s="230"/>
      <c r="G736" s="230"/>
      <c r="H736" s="230"/>
      <c r="I736" s="230"/>
      <c r="J736" s="230"/>
      <c r="K736" s="230"/>
      <c r="L736" s="230"/>
      <c r="M736" s="230"/>
      <c r="N736" s="230"/>
      <c r="O736" s="230"/>
      <c r="P736" s="230"/>
      <c r="Q736" s="230"/>
      <c r="R736" s="230"/>
      <c r="S736" s="230"/>
      <c r="T736" s="230"/>
      <c r="U736" s="230"/>
      <c r="V736" s="230"/>
      <c r="W736" s="230"/>
      <c r="X736" s="230"/>
      <c r="Y736" s="230"/>
      <c r="Z736" s="230"/>
    </row>
    <row r="737" spans="1:26" ht="15.75" customHeight="1">
      <c r="A737" s="230"/>
      <c r="B737" s="230"/>
      <c r="C737" s="230"/>
      <c r="D737" s="230"/>
      <c r="E737" s="230"/>
      <c r="F737" s="230"/>
      <c r="G737" s="230"/>
      <c r="H737" s="230"/>
      <c r="I737" s="230"/>
      <c r="J737" s="230"/>
      <c r="K737" s="230"/>
      <c r="L737" s="230"/>
      <c r="M737" s="230"/>
      <c r="N737" s="230"/>
      <c r="O737" s="230"/>
      <c r="P737" s="230"/>
      <c r="Q737" s="230"/>
      <c r="R737" s="230"/>
      <c r="S737" s="230"/>
      <c r="T737" s="230"/>
      <c r="U737" s="230"/>
      <c r="V737" s="230"/>
      <c r="W737" s="230"/>
      <c r="X737" s="230"/>
      <c r="Y737" s="230"/>
      <c r="Z737" s="230"/>
    </row>
    <row r="738" spans="1:26" ht="15.75" customHeight="1">
      <c r="A738" s="230"/>
      <c r="B738" s="230"/>
      <c r="C738" s="230"/>
      <c r="D738" s="230"/>
      <c r="E738" s="230"/>
      <c r="F738" s="230"/>
      <c r="G738" s="230"/>
      <c r="H738" s="230"/>
      <c r="I738" s="230"/>
      <c r="J738" s="230"/>
      <c r="K738" s="230"/>
      <c r="L738" s="230"/>
      <c r="M738" s="230"/>
      <c r="N738" s="230"/>
      <c r="O738" s="230"/>
      <c r="P738" s="230"/>
      <c r="Q738" s="230"/>
      <c r="R738" s="230"/>
      <c r="S738" s="230"/>
      <c r="T738" s="230"/>
      <c r="U738" s="230"/>
      <c r="V738" s="230"/>
      <c r="W738" s="230"/>
      <c r="X738" s="230"/>
      <c r="Y738" s="230"/>
      <c r="Z738" s="230"/>
    </row>
    <row r="739" spans="1:26" ht="15.75" customHeight="1">
      <c r="A739" s="230"/>
      <c r="B739" s="230"/>
      <c r="C739" s="230"/>
      <c r="D739" s="230"/>
      <c r="E739" s="230"/>
      <c r="F739" s="230"/>
      <c r="G739" s="230"/>
      <c r="H739" s="230"/>
      <c r="I739" s="230"/>
      <c r="J739" s="230"/>
      <c r="K739" s="230"/>
      <c r="L739" s="230"/>
      <c r="M739" s="230"/>
      <c r="N739" s="230"/>
      <c r="O739" s="230"/>
      <c r="P739" s="230"/>
      <c r="Q739" s="230"/>
      <c r="R739" s="230"/>
      <c r="S739" s="230"/>
      <c r="T739" s="230"/>
      <c r="U739" s="230"/>
      <c r="V739" s="230"/>
      <c r="W739" s="230"/>
      <c r="X739" s="230"/>
      <c r="Y739" s="230"/>
      <c r="Z739" s="230"/>
    </row>
    <row r="740" spans="1:26" ht="15.75" customHeight="1">
      <c r="A740" s="230"/>
      <c r="B740" s="230"/>
      <c r="C740" s="230"/>
      <c r="D740" s="230"/>
      <c r="E740" s="230"/>
      <c r="F740" s="230"/>
      <c r="G740" s="230"/>
      <c r="H740" s="230"/>
      <c r="I740" s="230"/>
      <c r="J740" s="230"/>
      <c r="K740" s="230"/>
      <c r="L740" s="230"/>
      <c r="M740" s="230"/>
      <c r="N740" s="230"/>
      <c r="O740" s="230"/>
      <c r="P740" s="230"/>
      <c r="Q740" s="230"/>
      <c r="R740" s="230"/>
      <c r="S740" s="230"/>
      <c r="T740" s="230"/>
      <c r="U740" s="230"/>
      <c r="V740" s="230"/>
      <c r="W740" s="230"/>
      <c r="X740" s="230"/>
      <c r="Y740" s="230"/>
      <c r="Z740" s="230"/>
    </row>
    <row r="741" spans="1:26" ht="15.75" customHeight="1">
      <c r="A741" s="230"/>
      <c r="B741" s="230"/>
      <c r="C741" s="230"/>
      <c r="D741" s="230"/>
      <c r="E741" s="230"/>
      <c r="F741" s="230"/>
      <c r="G741" s="230"/>
      <c r="H741" s="230"/>
      <c r="I741" s="230"/>
      <c r="J741" s="230"/>
      <c r="K741" s="230"/>
      <c r="L741" s="230"/>
      <c r="M741" s="230"/>
      <c r="N741" s="230"/>
      <c r="O741" s="230"/>
      <c r="P741" s="230"/>
      <c r="Q741" s="230"/>
      <c r="R741" s="230"/>
      <c r="S741" s="230"/>
      <c r="T741" s="230"/>
      <c r="U741" s="230"/>
      <c r="V741" s="230"/>
      <c r="W741" s="230"/>
      <c r="X741" s="230"/>
      <c r="Y741" s="230"/>
      <c r="Z741" s="230"/>
    </row>
    <row r="742" spans="1:26" ht="15.75" customHeight="1">
      <c r="A742" s="230"/>
      <c r="B742" s="230"/>
      <c r="C742" s="230"/>
      <c r="D742" s="230"/>
      <c r="E742" s="230"/>
      <c r="F742" s="230"/>
      <c r="G742" s="230"/>
      <c r="H742" s="230"/>
      <c r="I742" s="230"/>
      <c r="J742" s="230"/>
      <c r="K742" s="230"/>
      <c r="L742" s="230"/>
      <c r="M742" s="230"/>
      <c r="N742" s="230"/>
      <c r="O742" s="230"/>
      <c r="P742" s="230"/>
      <c r="Q742" s="230"/>
      <c r="R742" s="230"/>
      <c r="S742" s="230"/>
      <c r="T742" s="230"/>
      <c r="U742" s="230"/>
      <c r="V742" s="230"/>
      <c r="W742" s="230"/>
      <c r="X742" s="230"/>
      <c r="Y742" s="230"/>
      <c r="Z742" s="230"/>
    </row>
    <row r="743" spans="1:26" ht="15.75" customHeight="1">
      <c r="A743" s="230"/>
      <c r="B743" s="230"/>
      <c r="C743" s="230"/>
      <c r="D743" s="230"/>
      <c r="E743" s="230"/>
      <c r="F743" s="230"/>
      <c r="G743" s="230"/>
      <c r="H743" s="230"/>
      <c r="I743" s="230"/>
      <c r="J743" s="230"/>
      <c r="K743" s="230"/>
      <c r="L743" s="230"/>
      <c r="M743" s="230"/>
      <c r="N743" s="230"/>
      <c r="O743" s="230"/>
      <c r="P743" s="230"/>
      <c r="Q743" s="230"/>
      <c r="R743" s="230"/>
      <c r="S743" s="230"/>
      <c r="T743" s="230"/>
      <c r="U743" s="230"/>
      <c r="V743" s="230"/>
      <c r="W743" s="230"/>
      <c r="X743" s="230"/>
      <c r="Y743" s="230"/>
      <c r="Z743" s="230"/>
    </row>
    <row r="744" spans="1:26" ht="15.75" customHeight="1">
      <c r="A744" s="230"/>
      <c r="B744" s="230"/>
      <c r="C744" s="230"/>
      <c r="D744" s="230"/>
      <c r="E744" s="230"/>
      <c r="F744" s="230"/>
      <c r="G744" s="230"/>
      <c r="H744" s="230"/>
      <c r="I744" s="230"/>
      <c r="J744" s="230"/>
      <c r="K744" s="230"/>
      <c r="L744" s="230"/>
      <c r="M744" s="230"/>
      <c r="N744" s="230"/>
      <c r="O744" s="230"/>
      <c r="P744" s="230"/>
      <c r="Q744" s="230"/>
      <c r="R744" s="230"/>
      <c r="S744" s="230"/>
      <c r="T744" s="230"/>
      <c r="U744" s="230"/>
      <c r="V744" s="230"/>
      <c r="W744" s="230"/>
      <c r="X744" s="230"/>
      <c r="Y744" s="230"/>
      <c r="Z744" s="230"/>
    </row>
    <row r="745" spans="1:26" ht="15.75" customHeight="1">
      <c r="A745" s="230"/>
      <c r="B745" s="230"/>
      <c r="C745" s="230"/>
      <c r="D745" s="230"/>
      <c r="E745" s="230"/>
      <c r="F745" s="230"/>
      <c r="G745" s="230"/>
      <c r="H745" s="230"/>
      <c r="I745" s="230"/>
      <c r="J745" s="230"/>
      <c r="K745" s="230"/>
      <c r="L745" s="230"/>
      <c r="M745" s="230"/>
      <c r="N745" s="230"/>
      <c r="O745" s="230"/>
      <c r="P745" s="230"/>
      <c r="Q745" s="230"/>
      <c r="R745" s="230"/>
      <c r="S745" s="230"/>
      <c r="T745" s="230"/>
      <c r="U745" s="230"/>
      <c r="V745" s="230"/>
      <c r="W745" s="230"/>
      <c r="X745" s="230"/>
      <c r="Y745" s="230"/>
      <c r="Z745" s="230"/>
    </row>
    <row r="746" spans="1:26" ht="15.75" customHeight="1">
      <c r="A746" s="230"/>
      <c r="B746" s="230"/>
      <c r="C746" s="230"/>
      <c r="D746" s="230"/>
      <c r="E746" s="230"/>
      <c r="F746" s="230"/>
      <c r="G746" s="230"/>
      <c r="H746" s="230"/>
      <c r="I746" s="230"/>
      <c r="J746" s="230"/>
      <c r="K746" s="230"/>
      <c r="L746" s="230"/>
      <c r="M746" s="230"/>
      <c r="N746" s="230"/>
      <c r="O746" s="230"/>
      <c r="P746" s="230"/>
      <c r="Q746" s="230"/>
      <c r="R746" s="230"/>
      <c r="S746" s="230"/>
      <c r="T746" s="230"/>
      <c r="U746" s="230"/>
      <c r="V746" s="230"/>
      <c r="W746" s="230"/>
      <c r="X746" s="230"/>
      <c r="Y746" s="230"/>
      <c r="Z746" s="230"/>
    </row>
    <row r="747" spans="1:26" ht="15.75" customHeight="1">
      <c r="A747" s="230"/>
      <c r="B747" s="230"/>
      <c r="C747" s="230"/>
      <c r="D747" s="230"/>
      <c r="E747" s="230"/>
      <c r="F747" s="230"/>
      <c r="G747" s="230"/>
      <c r="H747" s="230"/>
      <c r="I747" s="230"/>
      <c r="J747" s="230"/>
      <c r="K747" s="230"/>
      <c r="L747" s="230"/>
      <c r="M747" s="230"/>
      <c r="N747" s="230"/>
      <c r="O747" s="230"/>
      <c r="P747" s="230"/>
      <c r="Q747" s="230"/>
      <c r="R747" s="230"/>
      <c r="S747" s="230"/>
      <c r="T747" s="230"/>
      <c r="U747" s="230"/>
      <c r="V747" s="230"/>
      <c r="W747" s="230"/>
      <c r="X747" s="230"/>
      <c r="Y747" s="230"/>
      <c r="Z747" s="230"/>
    </row>
    <row r="748" spans="1:26" ht="15.75" customHeight="1">
      <c r="A748" s="230"/>
      <c r="B748" s="230"/>
      <c r="C748" s="230"/>
      <c r="D748" s="230"/>
      <c r="E748" s="230"/>
      <c r="F748" s="230"/>
      <c r="G748" s="230"/>
      <c r="H748" s="230"/>
      <c r="I748" s="230"/>
      <c r="J748" s="230"/>
      <c r="K748" s="230"/>
      <c r="L748" s="230"/>
      <c r="M748" s="230"/>
      <c r="N748" s="230"/>
      <c r="O748" s="230"/>
      <c r="P748" s="230"/>
      <c r="Q748" s="230"/>
      <c r="R748" s="230"/>
      <c r="S748" s="230"/>
      <c r="T748" s="230"/>
      <c r="U748" s="230"/>
      <c r="V748" s="230"/>
      <c r="W748" s="230"/>
      <c r="X748" s="230"/>
      <c r="Y748" s="230"/>
      <c r="Z748" s="230"/>
    </row>
    <row r="749" spans="1:26" ht="15.75" customHeight="1">
      <c r="A749" s="230"/>
      <c r="B749" s="230"/>
      <c r="C749" s="230"/>
      <c r="D749" s="230"/>
      <c r="E749" s="230"/>
      <c r="F749" s="230"/>
      <c r="G749" s="230"/>
      <c r="H749" s="230"/>
      <c r="I749" s="230"/>
      <c r="J749" s="230"/>
      <c r="K749" s="230"/>
      <c r="L749" s="230"/>
      <c r="M749" s="230"/>
      <c r="N749" s="230"/>
      <c r="O749" s="230"/>
      <c r="P749" s="230"/>
      <c r="Q749" s="230"/>
      <c r="R749" s="230"/>
      <c r="S749" s="230"/>
      <c r="T749" s="230"/>
      <c r="U749" s="230"/>
      <c r="V749" s="230"/>
      <c r="W749" s="230"/>
      <c r="X749" s="230"/>
      <c r="Y749" s="230"/>
      <c r="Z749" s="230"/>
    </row>
    <row r="750" spans="1:26" ht="15.75" customHeight="1">
      <c r="A750" s="230"/>
      <c r="B750" s="230"/>
      <c r="C750" s="230"/>
      <c r="D750" s="230"/>
      <c r="E750" s="230"/>
      <c r="F750" s="230"/>
      <c r="G750" s="230"/>
      <c r="H750" s="230"/>
      <c r="I750" s="230"/>
      <c r="J750" s="230"/>
      <c r="K750" s="230"/>
      <c r="L750" s="230"/>
      <c r="M750" s="230"/>
      <c r="N750" s="230"/>
      <c r="O750" s="230"/>
      <c r="P750" s="230"/>
      <c r="Q750" s="230"/>
      <c r="R750" s="230"/>
      <c r="S750" s="230"/>
      <c r="T750" s="230"/>
      <c r="U750" s="230"/>
      <c r="V750" s="230"/>
      <c r="W750" s="230"/>
      <c r="X750" s="230"/>
      <c r="Y750" s="230"/>
      <c r="Z750" s="230"/>
    </row>
    <row r="751" spans="1:26" ht="15.75" customHeight="1">
      <c r="A751" s="230"/>
      <c r="B751" s="230"/>
      <c r="C751" s="230"/>
      <c r="D751" s="230"/>
      <c r="E751" s="230"/>
      <c r="F751" s="230"/>
      <c r="G751" s="230"/>
      <c r="H751" s="230"/>
      <c r="I751" s="230"/>
      <c r="J751" s="230"/>
      <c r="K751" s="230"/>
      <c r="L751" s="230"/>
      <c r="M751" s="230"/>
      <c r="N751" s="230"/>
      <c r="O751" s="230"/>
      <c r="P751" s="230"/>
      <c r="Q751" s="230"/>
      <c r="R751" s="230"/>
      <c r="S751" s="230"/>
      <c r="T751" s="230"/>
      <c r="U751" s="230"/>
      <c r="V751" s="230"/>
      <c r="W751" s="230"/>
      <c r="X751" s="230"/>
      <c r="Y751" s="230"/>
      <c r="Z751" s="230"/>
    </row>
    <row r="752" spans="1:26" ht="15.75" customHeight="1">
      <c r="A752" s="230"/>
      <c r="B752" s="230"/>
      <c r="C752" s="230"/>
      <c r="D752" s="230"/>
      <c r="E752" s="230"/>
      <c r="F752" s="230"/>
      <c r="G752" s="230"/>
      <c r="H752" s="230"/>
      <c r="I752" s="230"/>
      <c r="J752" s="230"/>
      <c r="K752" s="230"/>
      <c r="L752" s="230"/>
      <c r="M752" s="230"/>
      <c r="N752" s="230"/>
      <c r="O752" s="230"/>
      <c r="P752" s="230"/>
      <c r="Q752" s="230"/>
      <c r="R752" s="230"/>
      <c r="S752" s="230"/>
      <c r="T752" s="230"/>
      <c r="U752" s="230"/>
      <c r="V752" s="230"/>
      <c r="W752" s="230"/>
      <c r="X752" s="230"/>
      <c r="Y752" s="230"/>
      <c r="Z752" s="230"/>
    </row>
    <row r="753" spans="1:26" ht="15.75" customHeight="1">
      <c r="A753" s="230"/>
      <c r="B753" s="230"/>
      <c r="C753" s="230"/>
      <c r="D753" s="230"/>
      <c r="E753" s="230"/>
      <c r="F753" s="230"/>
      <c r="G753" s="230"/>
      <c r="H753" s="230"/>
      <c r="I753" s="230"/>
      <c r="J753" s="230"/>
      <c r="K753" s="230"/>
      <c r="L753" s="230"/>
      <c r="M753" s="230"/>
      <c r="N753" s="230"/>
      <c r="O753" s="230"/>
      <c r="P753" s="230"/>
      <c r="Q753" s="230"/>
      <c r="R753" s="230"/>
      <c r="S753" s="230"/>
      <c r="T753" s="230"/>
      <c r="U753" s="230"/>
      <c r="V753" s="230"/>
      <c r="W753" s="230"/>
      <c r="X753" s="230"/>
      <c r="Y753" s="230"/>
      <c r="Z753" s="230"/>
    </row>
    <row r="754" spans="1:26" ht="15.75" customHeight="1">
      <c r="A754" s="230"/>
      <c r="B754" s="230"/>
      <c r="C754" s="230"/>
      <c r="D754" s="230"/>
      <c r="E754" s="230"/>
      <c r="F754" s="230"/>
      <c r="G754" s="230"/>
      <c r="H754" s="230"/>
      <c r="I754" s="230"/>
      <c r="J754" s="230"/>
      <c r="K754" s="230"/>
      <c r="L754" s="230"/>
      <c r="M754" s="230"/>
      <c r="N754" s="230"/>
      <c r="O754" s="230"/>
      <c r="P754" s="230"/>
      <c r="Q754" s="230"/>
      <c r="R754" s="230"/>
      <c r="S754" s="230"/>
      <c r="T754" s="230"/>
      <c r="U754" s="230"/>
      <c r="V754" s="230"/>
      <c r="W754" s="230"/>
      <c r="X754" s="230"/>
      <c r="Y754" s="230"/>
      <c r="Z754" s="230"/>
    </row>
    <row r="755" spans="1:26" ht="15.75" customHeight="1">
      <c r="A755" s="230"/>
      <c r="B755" s="230"/>
      <c r="C755" s="230"/>
      <c r="D755" s="230"/>
      <c r="E755" s="230"/>
      <c r="F755" s="230"/>
      <c r="G755" s="230"/>
      <c r="H755" s="230"/>
      <c r="I755" s="230"/>
      <c r="J755" s="230"/>
      <c r="K755" s="230"/>
      <c r="L755" s="230"/>
      <c r="M755" s="230"/>
      <c r="N755" s="230"/>
      <c r="O755" s="230"/>
      <c r="P755" s="230"/>
      <c r="Q755" s="230"/>
      <c r="R755" s="230"/>
      <c r="S755" s="230"/>
      <c r="T755" s="230"/>
      <c r="U755" s="230"/>
      <c r="V755" s="230"/>
      <c r="W755" s="230"/>
      <c r="X755" s="230"/>
      <c r="Y755" s="230"/>
      <c r="Z755" s="230"/>
    </row>
    <row r="756" spans="1:26" ht="15.75" customHeight="1">
      <c r="A756" s="230"/>
      <c r="B756" s="230"/>
      <c r="C756" s="230"/>
      <c r="D756" s="230"/>
      <c r="E756" s="230"/>
      <c r="F756" s="230"/>
      <c r="G756" s="230"/>
      <c r="H756" s="230"/>
      <c r="I756" s="230"/>
      <c r="J756" s="230"/>
      <c r="K756" s="230"/>
      <c r="L756" s="230"/>
      <c r="M756" s="230"/>
      <c r="N756" s="230"/>
      <c r="O756" s="230"/>
      <c r="P756" s="230"/>
      <c r="Q756" s="230"/>
      <c r="R756" s="230"/>
      <c r="S756" s="230"/>
      <c r="T756" s="230"/>
      <c r="U756" s="230"/>
      <c r="V756" s="230"/>
      <c r="W756" s="230"/>
      <c r="X756" s="230"/>
      <c r="Y756" s="230"/>
      <c r="Z756" s="230"/>
    </row>
    <row r="757" spans="1:26" ht="15.75" customHeight="1">
      <c r="A757" s="230"/>
      <c r="B757" s="230"/>
      <c r="C757" s="230"/>
      <c r="D757" s="230"/>
      <c r="E757" s="230"/>
      <c r="F757" s="230"/>
      <c r="G757" s="230"/>
      <c r="H757" s="230"/>
      <c r="I757" s="230"/>
      <c r="J757" s="230"/>
      <c r="K757" s="230"/>
      <c r="L757" s="230"/>
      <c r="M757" s="230"/>
      <c r="N757" s="230"/>
      <c r="O757" s="230"/>
      <c r="P757" s="230"/>
      <c r="Q757" s="230"/>
      <c r="R757" s="230"/>
      <c r="S757" s="230"/>
      <c r="T757" s="230"/>
      <c r="U757" s="230"/>
      <c r="V757" s="230"/>
      <c r="W757" s="230"/>
      <c r="X757" s="230"/>
      <c r="Y757" s="230"/>
      <c r="Z757" s="230"/>
    </row>
    <row r="758" spans="1:26" ht="15.75" customHeight="1">
      <c r="A758" s="230"/>
      <c r="B758" s="230"/>
      <c r="C758" s="230"/>
      <c r="D758" s="230"/>
      <c r="E758" s="230"/>
      <c r="F758" s="230"/>
      <c r="G758" s="230"/>
      <c r="H758" s="230"/>
      <c r="I758" s="230"/>
      <c r="J758" s="230"/>
      <c r="K758" s="230"/>
      <c r="L758" s="230"/>
      <c r="M758" s="230"/>
      <c r="N758" s="230"/>
      <c r="O758" s="230"/>
      <c r="P758" s="230"/>
      <c r="Q758" s="230"/>
      <c r="R758" s="230"/>
      <c r="S758" s="230"/>
      <c r="T758" s="230"/>
      <c r="U758" s="230"/>
      <c r="V758" s="230"/>
      <c r="W758" s="230"/>
      <c r="X758" s="230"/>
      <c r="Y758" s="230"/>
      <c r="Z758" s="230"/>
    </row>
    <row r="759" spans="1:26" ht="15.75" customHeight="1">
      <c r="A759" s="230"/>
      <c r="B759" s="230"/>
      <c r="C759" s="230"/>
      <c r="D759" s="230"/>
      <c r="E759" s="230"/>
      <c r="F759" s="230"/>
      <c r="G759" s="230"/>
      <c r="H759" s="230"/>
      <c r="I759" s="230"/>
      <c r="J759" s="230"/>
      <c r="K759" s="230"/>
      <c r="L759" s="230"/>
      <c r="M759" s="230"/>
      <c r="N759" s="230"/>
      <c r="O759" s="230"/>
      <c r="P759" s="230"/>
      <c r="Q759" s="230"/>
      <c r="R759" s="230"/>
      <c r="S759" s="230"/>
      <c r="T759" s="230"/>
      <c r="U759" s="230"/>
      <c r="V759" s="230"/>
      <c r="W759" s="230"/>
      <c r="X759" s="230"/>
      <c r="Y759" s="230"/>
      <c r="Z759" s="230"/>
    </row>
    <row r="760" spans="1:26" ht="15.75" customHeight="1">
      <c r="A760" s="230"/>
      <c r="B760" s="230"/>
      <c r="C760" s="230"/>
      <c r="D760" s="230"/>
      <c r="E760" s="230"/>
      <c r="F760" s="230"/>
      <c r="G760" s="230"/>
      <c r="H760" s="230"/>
      <c r="I760" s="230"/>
      <c r="J760" s="230"/>
      <c r="K760" s="230"/>
      <c r="L760" s="230"/>
      <c r="M760" s="230"/>
      <c r="N760" s="230"/>
      <c r="O760" s="230"/>
      <c r="P760" s="230"/>
      <c r="Q760" s="230"/>
      <c r="R760" s="230"/>
      <c r="S760" s="230"/>
      <c r="T760" s="230"/>
      <c r="U760" s="230"/>
      <c r="V760" s="230"/>
      <c r="W760" s="230"/>
      <c r="X760" s="230"/>
      <c r="Y760" s="230"/>
      <c r="Z760" s="230"/>
    </row>
    <row r="761" spans="1:26" ht="15.75" customHeight="1">
      <c r="A761" s="230"/>
      <c r="B761" s="230"/>
      <c r="C761" s="230"/>
      <c r="D761" s="230"/>
      <c r="E761" s="230"/>
      <c r="F761" s="230"/>
      <c r="G761" s="230"/>
      <c r="H761" s="230"/>
      <c r="I761" s="230"/>
      <c r="J761" s="230"/>
      <c r="K761" s="230"/>
      <c r="L761" s="230"/>
      <c r="M761" s="230"/>
      <c r="N761" s="230"/>
      <c r="O761" s="230"/>
      <c r="P761" s="230"/>
      <c r="Q761" s="230"/>
      <c r="R761" s="230"/>
      <c r="S761" s="230"/>
      <c r="T761" s="230"/>
      <c r="U761" s="230"/>
      <c r="V761" s="230"/>
      <c r="W761" s="230"/>
      <c r="X761" s="230"/>
      <c r="Y761" s="230"/>
      <c r="Z761" s="230"/>
    </row>
    <row r="762" spans="1:26" ht="15.75" customHeight="1">
      <c r="A762" s="230"/>
      <c r="B762" s="230"/>
      <c r="C762" s="230"/>
      <c r="D762" s="230"/>
      <c r="E762" s="230"/>
      <c r="F762" s="230"/>
      <c r="G762" s="230"/>
      <c r="H762" s="230"/>
      <c r="I762" s="230"/>
      <c r="J762" s="230"/>
      <c r="K762" s="230"/>
      <c r="L762" s="230"/>
      <c r="M762" s="230"/>
      <c r="N762" s="230"/>
      <c r="O762" s="230"/>
      <c r="P762" s="230"/>
      <c r="Q762" s="230"/>
      <c r="R762" s="230"/>
      <c r="S762" s="230"/>
      <c r="T762" s="230"/>
      <c r="U762" s="230"/>
      <c r="V762" s="230"/>
      <c r="W762" s="230"/>
      <c r="X762" s="230"/>
      <c r="Y762" s="230"/>
      <c r="Z762" s="230"/>
    </row>
    <row r="763" spans="1:26" ht="15.75" customHeight="1">
      <c r="A763" s="230"/>
      <c r="B763" s="230"/>
      <c r="C763" s="230"/>
      <c r="D763" s="230"/>
      <c r="E763" s="230"/>
      <c r="F763" s="230"/>
      <c r="G763" s="230"/>
      <c r="H763" s="230"/>
      <c r="I763" s="230"/>
      <c r="J763" s="230"/>
      <c r="K763" s="230"/>
      <c r="L763" s="230"/>
      <c r="M763" s="230"/>
      <c r="N763" s="230"/>
      <c r="O763" s="230"/>
      <c r="P763" s="230"/>
      <c r="Q763" s="230"/>
      <c r="R763" s="230"/>
      <c r="S763" s="230"/>
      <c r="T763" s="230"/>
      <c r="U763" s="230"/>
      <c r="V763" s="230"/>
      <c r="W763" s="230"/>
      <c r="X763" s="230"/>
      <c r="Y763" s="230"/>
      <c r="Z763" s="230"/>
    </row>
    <row r="764" spans="1:26" ht="15.75" customHeight="1">
      <c r="A764" s="230"/>
      <c r="B764" s="230"/>
      <c r="C764" s="230"/>
      <c r="D764" s="230"/>
      <c r="E764" s="230"/>
      <c r="F764" s="230"/>
      <c r="G764" s="230"/>
      <c r="H764" s="230"/>
      <c r="I764" s="230"/>
      <c r="J764" s="230"/>
      <c r="K764" s="230"/>
      <c r="L764" s="230"/>
      <c r="M764" s="230"/>
      <c r="N764" s="230"/>
      <c r="O764" s="230"/>
      <c r="P764" s="230"/>
      <c r="Q764" s="230"/>
      <c r="R764" s="230"/>
      <c r="S764" s="230"/>
      <c r="T764" s="230"/>
      <c r="U764" s="230"/>
      <c r="V764" s="230"/>
      <c r="W764" s="230"/>
      <c r="X764" s="230"/>
      <c r="Y764" s="230"/>
      <c r="Z764" s="230"/>
    </row>
    <row r="765" spans="1:26" ht="15.75" customHeight="1">
      <c r="A765" s="230"/>
      <c r="B765" s="230"/>
      <c r="C765" s="230"/>
      <c r="D765" s="230"/>
      <c r="E765" s="230"/>
      <c r="F765" s="230"/>
      <c r="G765" s="230"/>
      <c r="H765" s="230"/>
      <c r="I765" s="230"/>
      <c r="J765" s="230"/>
      <c r="K765" s="230"/>
      <c r="L765" s="230"/>
      <c r="M765" s="230"/>
      <c r="N765" s="230"/>
      <c r="O765" s="230"/>
      <c r="P765" s="230"/>
      <c r="Q765" s="230"/>
      <c r="R765" s="230"/>
      <c r="S765" s="230"/>
      <c r="T765" s="230"/>
      <c r="U765" s="230"/>
      <c r="V765" s="230"/>
      <c r="W765" s="230"/>
      <c r="X765" s="230"/>
      <c r="Y765" s="230"/>
      <c r="Z765" s="230"/>
    </row>
    <row r="766" spans="1:26" ht="15.75" customHeight="1">
      <c r="A766" s="230"/>
      <c r="B766" s="230"/>
      <c r="C766" s="230"/>
      <c r="D766" s="230"/>
      <c r="E766" s="230"/>
      <c r="F766" s="230"/>
      <c r="G766" s="230"/>
      <c r="H766" s="230"/>
      <c r="I766" s="230"/>
      <c r="J766" s="230"/>
      <c r="K766" s="230"/>
      <c r="L766" s="230"/>
      <c r="M766" s="230"/>
      <c r="N766" s="230"/>
      <c r="O766" s="230"/>
      <c r="P766" s="230"/>
      <c r="Q766" s="230"/>
      <c r="R766" s="230"/>
      <c r="S766" s="230"/>
      <c r="T766" s="230"/>
      <c r="U766" s="230"/>
      <c r="V766" s="230"/>
      <c r="W766" s="230"/>
      <c r="X766" s="230"/>
      <c r="Y766" s="230"/>
      <c r="Z766" s="230"/>
    </row>
    <row r="767" spans="1:26" ht="15.75" customHeight="1">
      <c r="A767" s="230"/>
      <c r="B767" s="230"/>
      <c r="C767" s="230"/>
      <c r="D767" s="230"/>
      <c r="E767" s="230"/>
      <c r="F767" s="230"/>
      <c r="G767" s="230"/>
      <c r="H767" s="230"/>
      <c r="I767" s="230"/>
      <c r="J767" s="230"/>
      <c r="K767" s="230"/>
      <c r="L767" s="230"/>
      <c r="M767" s="230"/>
      <c r="N767" s="230"/>
      <c r="O767" s="230"/>
      <c r="P767" s="230"/>
      <c r="Q767" s="230"/>
      <c r="R767" s="230"/>
      <c r="S767" s="230"/>
      <c r="T767" s="230"/>
      <c r="U767" s="230"/>
      <c r="V767" s="230"/>
      <c r="W767" s="230"/>
      <c r="X767" s="230"/>
      <c r="Y767" s="230"/>
      <c r="Z767" s="230"/>
    </row>
    <row r="768" spans="1:26" ht="15.75" customHeight="1">
      <c r="A768" s="230"/>
      <c r="B768" s="230"/>
      <c r="C768" s="230"/>
      <c r="D768" s="230"/>
      <c r="E768" s="230"/>
      <c r="F768" s="230"/>
      <c r="G768" s="230"/>
      <c r="H768" s="230"/>
      <c r="I768" s="230"/>
      <c r="J768" s="230"/>
      <c r="K768" s="230"/>
      <c r="L768" s="230"/>
      <c r="M768" s="230"/>
      <c r="N768" s="230"/>
      <c r="O768" s="230"/>
      <c r="P768" s="230"/>
      <c r="Q768" s="230"/>
      <c r="R768" s="230"/>
      <c r="S768" s="230"/>
      <c r="T768" s="230"/>
      <c r="U768" s="230"/>
      <c r="V768" s="230"/>
      <c r="W768" s="230"/>
      <c r="X768" s="230"/>
      <c r="Y768" s="230"/>
      <c r="Z768" s="230"/>
    </row>
    <row r="769" spans="1:26" ht="15.75" customHeight="1">
      <c r="A769" s="230"/>
      <c r="B769" s="230"/>
      <c r="C769" s="230"/>
      <c r="D769" s="230"/>
      <c r="E769" s="230"/>
      <c r="F769" s="230"/>
      <c r="G769" s="230"/>
      <c r="H769" s="230"/>
      <c r="I769" s="230"/>
      <c r="J769" s="230"/>
      <c r="K769" s="230"/>
      <c r="L769" s="230"/>
      <c r="M769" s="230"/>
      <c r="N769" s="230"/>
      <c r="O769" s="230"/>
      <c r="P769" s="230"/>
      <c r="Q769" s="230"/>
      <c r="R769" s="230"/>
      <c r="S769" s="230"/>
      <c r="T769" s="230"/>
      <c r="U769" s="230"/>
      <c r="V769" s="230"/>
      <c r="W769" s="230"/>
      <c r="X769" s="230"/>
      <c r="Y769" s="230"/>
      <c r="Z769" s="230"/>
    </row>
    <row r="770" spans="1:26" ht="15.75" customHeight="1">
      <c r="A770" s="230"/>
      <c r="B770" s="230"/>
      <c r="C770" s="230"/>
      <c r="D770" s="230"/>
      <c r="E770" s="230"/>
      <c r="F770" s="230"/>
      <c r="G770" s="230"/>
      <c r="H770" s="230"/>
      <c r="I770" s="230"/>
      <c r="J770" s="230"/>
      <c r="K770" s="230"/>
      <c r="L770" s="230"/>
      <c r="M770" s="230"/>
      <c r="N770" s="230"/>
      <c r="O770" s="230"/>
      <c r="P770" s="230"/>
      <c r="Q770" s="230"/>
      <c r="R770" s="230"/>
      <c r="S770" s="230"/>
      <c r="T770" s="230"/>
      <c r="U770" s="230"/>
      <c r="V770" s="230"/>
      <c r="W770" s="230"/>
      <c r="X770" s="230"/>
      <c r="Y770" s="230"/>
      <c r="Z770" s="230"/>
    </row>
    <row r="771" spans="1:26" ht="15.75" customHeight="1">
      <c r="A771" s="230"/>
      <c r="B771" s="230"/>
      <c r="C771" s="230"/>
      <c r="D771" s="230"/>
      <c r="E771" s="230"/>
      <c r="F771" s="230"/>
      <c r="G771" s="230"/>
      <c r="H771" s="230"/>
      <c r="I771" s="230"/>
      <c r="J771" s="230"/>
      <c r="K771" s="230"/>
      <c r="L771" s="230"/>
      <c r="M771" s="230"/>
      <c r="N771" s="230"/>
      <c r="O771" s="230"/>
      <c r="P771" s="230"/>
      <c r="Q771" s="230"/>
      <c r="R771" s="230"/>
      <c r="S771" s="230"/>
      <c r="T771" s="230"/>
      <c r="U771" s="230"/>
      <c r="V771" s="230"/>
      <c r="W771" s="230"/>
      <c r="X771" s="230"/>
      <c r="Y771" s="230"/>
      <c r="Z771" s="230"/>
    </row>
    <row r="772" spans="1:26" ht="15.75" customHeight="1">
      <c r="A772" s="230"/>
      <c r="B772" s="230"/>
      <c r="C772" s="230"/>
      <c r="D772" s="230"/>
      <c r="E772" s="230"/>
      <c r="F772" s="230"/>
      <c r="G772" s="230"/>
      <c r="H772" s="230"/>
      <c r="I772" s="230"/>
      <c r="J772" s="230"/>
      <c r="K772" s="230"/>
      <c r="L772" s="230"/>
      <c r="M772" s="230"/>
      <c r="N772" s="230"/>
      <c r="O772" s="230"/>
      <c r="P772" s="230"/>
      <c r="Q772" s="230"/>
      <c r="R772" s="230"/>
      <c r="S772" s="230"/>
      <c r="T772" s="230"/>
      <c r="U772" s="230"/>
      <c r="V772" s="230"/>
      <c r="W772" s="230"/>
      <c r="X772" s="230"/>
      <c r="Y772" s="230"/>
      <c r="Z772" s="230"/>
    </row>
    <row r="773" spans="1:26" ht="15.75" customHeight="1">
      <c r="A773" s="230"/>
      <c r="B773" s="230"/>
      <c r="C773" s="230"/>
      <c r="D773" s="230"/>
      <c r="E773" s="230"/>
      <c r="F773" s="230"/>
      <c r="G773" s="230"/>
      <c r="H773" s="230"/>
      <c r="I773" s="230"/>
      <c r="J773" s="230"/>
      <c r="K773" s="230"/>
      <c r="L773" s="230"/>
      <c r="M773" s="230"/>
      <c r="N773" s="230"/>
      <c r="O773" s="230"/>
      <c r="P773" s="230"/>
      <c r="Q773" s="230"/>
      <c r="R773" s="230"/>
      <c r="S773" s="230"/>
      <c r="T773" s="230"/>
      <c r="U773" s="230"/>
      <c r="V773" s="230"/>
      <c r="W773" s="230"/>
      <c r="X773" s="230"/>
      <c r="Y773" s="230"/>
      <c r="Z773" s="230"/>
    </row>
    <row r="774" spans="1:26" ht="15.75" customHeight="1">
      <c r="A774" s="230"/>
      <c r="B774" s="230"/>
      <c r="C774" s="230"/>
      <c r="D774" s="230"/>
      <c r="E774" s="230"/>
      <c r="F774" s="230"/>
      <c r="G774" s="230"/>
      <c r="H774" s="230"/>
      <c r="I774" s="230"/>
      <c r="J774" s="230"/>
      <c r="K774" s="230"/>
      <c r="L774" s="230"/>
      <c r="M774" s="230"/>
      <c r="N774" s="230"/>
      <c r="O774" s="230"/>
      <c r="P774" s="230"/>
      <c r="Q774" s="230"/>
      <c r="R774" s="230"/>
      <c r="S774" s="230"/>
      <c r="T774" s="230"/>
      <c r="U774" s="230"/>
      <c r="V774" s="230"/>
      <c r="W774" s="230"/>
      <c r="X774" s="230"/>
      <c r="Y774" s="230"/>
      <c r="Z774" s="230"/>
    </row>
    <row r="775" spans="1:26" ht="15.75" customHeight="1">
      <c r="A775" s="230"/>
      <c r="B775" s="230"/>
      <c r="C775" s="230"/>
      <c r="D775" s="230"/>
      <c r="E775" s="230"/>
      <c r="F775" s="230"/>
      <c r="G775" s="230"/>
      <c r="H775" s="230"/>
      <c r="I775" s="230"/>
      <c r="J775" s="230"/>
      <c r="K775" s="230"/>
      <c r="L775" s="230"/>
      <c r="M775" s="230"/>
      <c r="N775" s="230"/>
      <c r="O775" s="230"/>
      <c r="P775" s="230"/>
      <c r="Q775" s="230"/>
      <c r="R775" s="230"/>
      <c r="S775" s="230"/>
      <c r="T775" s="230"/>
      <c r="U775" s="230"/>
      <c r="V775" s="230"/>
      <c r="W775" s="230"/>
      <c r="X775" s="230"/>
      <c r="Y775" s="230"/>
      <c r="Z775" s="230"/>
    </row>
    <row r="776" spans="1:26" ht="15.75" customHeight="1">
      <c r="A776" s="230"/>
      <c r="B776" s="230"/>
      <c r="C776" s="230"/>
      <c r="D776" s="230"/>
      <c r="E776" s="230"/>
      <c r="F776" s="230"/>
      <c r="G776" s="230"/>
      <c r="H776" s="230"/>
      <c r="I776" s="230"/>
      <c r="J776" s="230"/>
      <c r="K776" s="230"/>
      <c r="L776" s="230"/>
      <c r="M776" s="230"/>
      <c r="N776" s="230"/>
      <c r="O776" s="230"/>
      <c r="P776" s="230"/>
      <c r="Q776" s="230"/>
      <c r="R776" s="230"/>
      <c r="S776" s="230"/>
      <c r="T776" s="230"/>
      <c r="U776" s="230"/>
      <c r="V776" s="230"/>
      <c r="W776" s="230"/>
      <c r="X776" s="230"/>
      <c r="Y776" s="230"/>
      <c r="Z776" s="230"/>
    </row>
    <row r="777" spans="1:26" ht="15.75" customHeight="1">
      <c r="A777" s="230"/>
      <c r="B777" s="230"/>
      <c r="C777" s="230"/>
      <c r="D777" s="230"/>
      <c r="E777" s="230"/>
      <c r="F777" s="230"/>
      <c r="G777" s="230"/>
      <c r="H777" s="230"/>
      <c r="I777" s="230"/>
      <c r="J777" s="230"/>
      <c r="K777" s="230"/>
      <c r="L777" s="230"/>
      <c r="M777" s="230"/>
      <c r="N777" s="230"/>
      <c r="O777" s="230"/>
      <c r="P777" s="230"/>
      <c r="Q777" s="230"/>
      <c r="R777" s="230"/>
      <c r="S777" s="230"/>
      <c r="T777" s="230"/>
      <c r="U777" s="230"/>
      <c r="V777" s="230"/>
      <c r="W777" s="230"/>
      <c r="X777" s="230"/>
      <c r="Y777" s="230"/>
      <c r="Z777" s="230"/>
    </row>
    <row r="778" spans="1:26" ht="15.75" customHeight="1">
      <c r="A778" s="230"/>
      <c r="B778" s="230"/>
      <c r="C778" s="230"/>
      <c r="D778" s="230"/>
      <c r="E778" s="230"/>
      <c r="F778" s="230"/>
      <c r="G778" s="230"/>
      <c r="H778" s="230"/>
      <c r="I778" s="230"/>
      <c r="J778" s="230"/>
      <c r="K778" s="230"/>
      <c r="L778" s="230"/>
      <c r="M778" s="230"/>
      <c r="N778" s="230"/>
      <c r="O778" s="230"/>
      <c r="P778" s="230"/>
      <c r="Q778" s="230"/>
      <c r="R778" s="230"/>
      <c r="S778" s="230"/>
      <c r="T778" s="230"/>
      <c r="U778" s="230"/>
      <c r="V778" s="230"/>
      <c r="W778" s="230"/>
      <c r="X778" s="230"/>
      <c r="Y778" s="230"/>
      <c r="Z778" s="230"/>
    </row>
    <row r="779" spans="1:26" ht="15.75" customHeight="1">
      <c r="A779" s="230"/>
      <c r="B779" s="230"/>
      <c r="C779" s="230"/>
      <c r="D779" s="230"/>
      <c r="E779" s="230"/>
      <c r="F779" s="230"/>
      <c r="G779" s="230"/>
      <c r="H779" s="230"/>
      <c r="I779" s="230"/>
      <c r="J779" s="230"/>
      <c r="K779" s="230"/>
      <c r="L779" s="230"/>
      <c r="M779" s="230"/>
      <c r="N779" s="230"/>
      <c r="O779" s="230"/>
      <c r="P779" s="230"/>
      <c r="Q779" s="230"/>
      <c r="R779" s="230"/>
      <c r="S779" s="230"/>
      <c r="T779" s="230"/>
      <c r="U779" s="230"/>
      <c r="V779" s="230"/>
      <c r="W779" s="230"/>
      <c r="X779" s="230"/>
      <c r="Y779" s="230"/>
      <c r="Z779" s="230"/>
    </row>
    <row r="780" spans="1:26" ht="15.75" customHeight="1">
      <c r="A780" s="230"/>
      <c r="B780" s="230"/>
      <c r="C780" s="230"/>
      <c r="D780" s="230"/>
      <c r="E780" s="230"/>
      <c r="F780" s="230"/>
      <c r="G780" s="230"/>
      <c r="H780" s="230"/>
      <c r="I780" s="230"/>
      <c r="J780" s="230"/>
      <c r="K780" s="230"/>
      <c r="L780" s="230"/>
      <c r="M780" s="230"/>
      <c r="N780" s="230"/>
      <c r="O780" s="230"/>
      <c r="P780" s="230"/>
      <c r="Q780" s="230"/>
      <c r="R780" s="230"/>
      <c r="S780" s="230"/>
      <c r="T780" s="230"/>
      <c r="U780" s="230"/>
      <c r="V780" s="230"/>
      <c r="W780" s="230"/>
      <c r="X780" s="230"/>
      <c r="Y780" s="230"/>
      <c r="Z780" s="230"/>
    </row>
    <row r="781" spans="1:26" ht="15.75" customHeight="1">
      <c r="A781" s="230"/>
      <c r="B781" s="230"/>
      <c r="C781" s="230"/>
      <c r="D781" s="230"/>
      <c r="E781" s="230"/>
      <c r="F781" s="230"/>
      <c r="G781" s="230"/>
      <c r="H781" s="230"/>
      <c r="I781" s="230"/>
      <c r="J781" s="230"/>
      <c r="K781" s="230"/>
      <c r="L781" s="230"/>
      <c r="M781" s="230"/>
      <c r="N781" s="230"/>
      <c r="O781" s="230"/>
      <c r="P781" s="230"/>
      <c r="Q781" s="230"/>
      <c r="R781" s="230"/>
      <c r="S781" s="230"/>
      <c r="T781" s="230"/>
      <c r="U781" s="230"/>
      <c r="V781" s="230"/>
      <c r="W781" s="230"/>
      <c r="X781" s="230"/>
      <c r="Y781" s="230"/>
      <c r="Z781" s="230"/>
    </row>
    <row r="782" spans="1:26" ht="15.75" customHeight="1">
      <c r="A782" s="230"/>
      <c r="B782" s="230"/>
      <c r="C782" s="230"/>
      <c r="D782" s="230"/>
      <c r="E782" s="230"/>
      <c r="F782" s="230"/>
      <c r="G782" s="230"/>
      <c r="H782" s="230"/>
      <c r="I782" s="230"/>
      <c r="J782" s="230"/>
      <c r="K782" s="230"/>
      <c r="L782" s="230"/>
      <c r="M782" s="230"/>
      <c r="N782" s="230"/>
      <c r="O782" s="230"/>
      <c r="P782" s="230"/>
      <c r="Q782" s="230"/>
      <c r="R782" s="230"/>
      <c r="S782" s="230"/>
      <c r="T782" s="230"/>
      <c r="U782" s="230"/>
      <c r="V782" s="230"/>
      <c r="W782" s="230"/>
      <c r="X782" s="230"/>
      <c r="Y782" s="230"/>
      <c r="Z782" s="230"/>
    </row>
    <row r="783" spans="1:26" ht="15.75" customHeight="1">
      <c r="A783" s="230"/>
      <c r="B783" s="230"/>
      <c r="C783" s="230"/>
      <c r="D783" s="230"/>
      <c r="E783" s="230"/>
      <c r="F783" s="230"/>
      <c r="G783" s="230"/>
      <c r="H783" s="230"/>
      <c r="I783" s="230"/>
      <c r="J783" s="230"/>
      <c r="K783" s="230"/>
      <c r="L783" s="230"/>
      <c r="M783" s="230"/>
      <c r="N783" s="230"/>
      <c r="O783" s="230"/>
      <c r="P783" s="230"/>
      <c r="Q783" s="230"/>
      <c r="R783" s="230"/>
      <c r="S783" s="230"/>
      <c r="T783" s="230"/>
      <c r="U783" s="230"/>
      <c r="V783" s="230"/>
      <c r="W783" s="230"/>
      <c r="X783" s="230"/>
      <c r="Y783" s="230"/>
      <c r="Z783" s="230"/>
    </row>
    <row r="784" spans="1:26" ht="15.75" customHeight="1">
      <c r="A784" s="230"/>
      <c r="B784" s="230"/>
      <c r="C784" s="230"/>
      <c r="D784" s="230"/>
      <c r="E784" s="230"/>
      <c r="F784" s="230"/>
      <c r="G784" s="230"/>
      <c r="H784" s="230"/>
      <c r="I784" s="230"/>
      <c r="J784" s="230"/>
      <c r="K784" s="230"/>
      <c r="L784" s="230"/>
      <c r="M784" s="230"/>
      <c r="N784" s="230"/>
      <c r="O784" s="230"/>
      <c r="P784" s="230"/>
      <c r="Q784" s="230"/>
      <c r="R784" s="230"/>
      <c r="S784" s="230"/>
      <c r="T784" s="230"/>
      <c r="U784" s="230"/>
      <c r="V784" s="230"/>
      <c r="W784" s="230"/>
      <c r="X784" s="230"/>
      <c r="Y784" s="230"/>
      <c r="Z784" s="230"/>
    </row>
    <row r="785" spans="1:26" ht="15.75" customHeight="1">
      <c r="A785" s="230"/>
      <c r="B785" s="230"/>
      <c r="C785" s="230"/>
      <c r="D785" s="230"/>
      <c r="E785" s="230"/>
      <c r="F785" s="230"/>
      <c r="G785" s="230"/>
      <c r="H785" s="230"/>
      <c r="I785" s="230"/>
      <c r="J785" s="230"/>
      <c r="K785" s="230"/>
      <c r="L785" s="230"/>
      <c r="M785" s="230"/>
      <c r="N785" s="230"/>
      <c r="O785" s="230"/>
      <c r="P785" s="230"/>
      <c r="Q785" s="230"/>
      <c r="R785" s="230"/>
      <c r="S785" s="230"/>
      <c r="T785" s="230"/>
      <c r="U785" s="230"/>
      <c r="V785" s="230"/>
      <c r="W785" s="230"/>
      <c r="X785" s="230"/>
      <c r="Y785" s="230"/>
      <c r="Z785" s="230"/>
    </row>
    <row r="786" spans="1:26" ht="15.75" customHeight="1">
      <c r="A786" s="230"/>
      <c r="B786" s="230"/>
      <c r="C786" s="230"/>
      <c r="D786" s="230"/>
      <c r="E786" s="230"/>
      <c r="F786" s="230"/>
      <c r="G786" s="230"/>
      <c r="H786" s="230"/>
      <c r="I786" s="230"/>
      <c r="J786" s="230"/>
      <c r="K786" s="230"/>
      <c r="L786" s="230"/>
      <c r="M786" s="230"/>
      <c r="N786" s="230"/>
      <c r="O786" s="230"/>
      <c r="P786" s="230"/>
      <c r="Q786" s="230"/>
      <c r="R786" s="230"/>
      <c r="S786" s="230"/>
      <c r="T786" s="230"/>
      <c r="U786" s="230"/>
      <c r="V786" s="230"/>
      <c r="W786" s="230"/>
      <c r="X786" s="230"/>
      <c r="Y786" s="230"/>
      <c r="Z786" s="230"/>
    </row>
    <row r="787" spans="1:26" ht="15.75" customHeight="1">
      <c r="A787" s="230"/>
      <c r="B787" s="230"/>
      <c r="C787" s="230"/>
      <c r="D787" s="230"/>
      <c r="E787" s="230"/>
      <c r="F787" s="230"/>
      <c r="G787" s="230"/>
      <c r="H787" s="230"/>
      <c r="I787" s="230"/>
      <c r="J787" s="230"/>
      <c r="K787" s="230"/>
      <c r="L787" s="230"/>
      <c r="M787" s="230"/>
      <c r="N787" s="230"/>
      <c r="O787" s="230"/>
      <c r="P787" s="230"/>
      <c r="Q787" s="230"/>
      <c r="R787" s="230"/>
      <c r="S787" s="230"/>
      <c r="T787" s="230"/>
      <c r="U787" s="230"/>
      <c r="V787" s="230"/>
      <c r="W787" s="230"/>
      <c r="X787" s="230"/>
      <c r="Y787" s="230"/>
      <c r="Z787" s="230"/>
    </row>
    <row r="788" spans="1:26" ht="15.75" customHeight="1">
      <c r="A788" s="230"/>
      <c r="B788" s="230"/>
      <c r="C788" s="230"/>
      <c r="D788" s="230"/>
      <c r="E788" s="230"/>
      <c r="F788" s="230"/>
      <c r="G788" s="230"/>
      <c r="H788" s="230"/>
      <c r="I788" s="230"/>
      <c r="J788" s="230"/>
      <c r="K788" s="230"/>
      <c r="L788" s="230"/>
      <c r="M788" s="230"/>
      <c r="N788" s="230"/>
      <c r="O788" s="230"/>
      <c r="P788" s="230"/>
      <c r="Q788" s="230"/>
      <c r="R788" s="230"/>
      <c r="S788" s="230"/>
      <c r="T788" s="230"/>
      <c r="U788" s="230"/>
      <c r="V788" s="230"/>
      <c r="W788" s="230"/>
      <c r="X788" s="230"/>
      <c r="Y788" s="230"/>
      <c r="Z788" s="230"/>
    </row>
    <row r="789" spans="1:26" ht="15.75" customHeight="1">
      <c r="A789" s="230"/>
      <c r="B789" s="230"/>
      <c r="C789" s="230"/>
      <c r="D789" s="230"/>
      <c r="E789" s="230"/>
      <c r="F789" s="230"/>
      <c r="G789" s="230"/>
      <c r="H789" s="230"/>
      <c r="I789" s="230"/>
      <c r="J789" s="230"/>
      <c r="K789" s="230"/>
      <c r="L789" s="230"/>
      <c r="M789" s="230"/>
      <c r="N789" s="230"/>
      <c r="O789" s="230"/>
      <c r="P789" s="230"/>
      <c r="Q789" s="230"/>
      <c r="R789" s="230"/>
      <c r="S789" s="230"/>
      <c r="T789" s="230"/>
      <c r="U789" s="230"/>
      <c r="V789" s="230"/>
      <c r="W789" s="230"/>
      <c r="X789" s="230"/>
      <c r="Y789" s="230"/>
      <c r="Z789" s="230"/>
    </row>
    <row r="790" spans="1:26" ht="15.75" customHeight="1">
      <c r="A790" s="230"/>
      <c r="B790" s="230"/>
      <c r="C790" s="230"/>
      <c r="D790" s="230"/>
      <c r="E790" s="230"/>
      <c r="F790" s="230"/>
      <c r="G790" s="230"/>
      <c r="H790" s="230"/>
      <c r="I790" s="230"/>
      <c r="J790" s="230"/>
      <c r="K790" s="230"/>
      <c r="L790" s="230"/>
      <c r="M790" s="230"/>
      <c r="N790" s="230"/>
      <c r="O790" s="230"/>
      <c r="P790" s="230"/>
      <c r="Q790" s="230"/>
      <c r="R790" s="230"/>
      <c r="S790" s="230"/>
      <c r="T790" s="230"/>
      <c r="U790" s="230"/>
      <c r="V790" s="230"/>
      <c r="W790" s="230"/>
      <c r="X790" s="230"/>
      <c r="Y790" s="230"/>
      <c r="Z790" s="230"/>
    </row>
    <row r="791" spans="1:26" ht="15.75" customHeight="1">
      <c r="A791" s="230"/>
      <c r="B791" s="230"/>
      <c r="C791" s="230"/>
      <c r="D791" s="230"/>
      <c r="E791" s="230"/>
      <c r="F791" s="230"/>
      <c r="G791" s="230"/>
      <c r="H791" s="230"/>
      <c r="I791" s="230"/>
      <c r="J791" s="230"/>
      <c r="K791" s="230"/>
      <c r="L791" s="230"/>
      <c r="M791" s="230"/>
      <c r="N791" s="230"/>
      <c r="O791" s="230"/>
      <c r="P791" s="230"/>
      <c r="Q791" s="230"/>
      <c r="R791" s="230"/>
      <c r="S791" s="230"/>
      <c r="T791" s="230"/>
      <c r="U791" s="230"/>
      <c r="V791" s="230"/>
      <c r="W791" s="230"/>
      <c r="X791" s="230"/>
      <c r="Y791" s="230"/>
      <c r="Z791" s="230"/>
    </row>
    <row r="792" spans="1:26" ht="15.75" customHeight="1">
      <c r="A792" s="230"/>
      <c r="B792" s="230"/>
      <c r="C792" s="230"/>
      <c r="D792" s="230"/>
      <c r="E792" s="230"/>
      <c r="F792" s="230"/>
      <c r="G792" s="230"/>
      <c r="H792" s="230"/>
      <c r="I792" s="230"/>
      <c r="J792" s="230"/>
      <c r="K792" s="230"/>
      <c r="L792" s="230"/>
      <c r="M792" s="230"/>
      <c r="N792" s="230"/>
      <c r="O792" s="230"/>
      <c r="P792" s="230"/>
      <c r="Q792" s="230"/>
      <c r="R792" s="230"/>
      <c r="S792" s="230"/>
      <c r="T792" s="230"/>
      <c r="U792" s="230"/>
      <c r="V792" s="230"/>
      <c r="W792" s="230"/>
      <c r="X792" s="230"/>
      <c r="Y792" s="230"/>
      <c r="Z792" s="230"/>
    </row>
    <row r="793" spans="1:26" ht="15.75" customHeight="1">
      <c r="A793" s="230"/>
      <c r="B793" s="230"/>
      <c r="C793" s="230"/>
      <c r="D793" s="230"/>
      <c r="E793" s="230"/>
      <c r="F793" s="230"/>
      <c r="G793" s="230"/>
      <c r="H793" s="230"/>
      <c r="I793" s="230"/>
      <c r="J793" s="230"/>
      <c r="K793" s="230"/>
      <c r="L793" s="230"/>
      <c r="M793" s="230"/>
      <c r="N793" s="230"/>
      <c r="O793" s="230"/>
      <c r="P793" s="230"/>
      <c r="Q793" s="230"/>
      <c r="R793" s="230"/>
      <c r="S793" s="230"/>
      <c r="T793" s="230"/>
      <c r="U793" s="230"/>
      <c r="V793" s="230"/>
      <c r="W793" s="230"/>
      <c r="X793" s="230"/>
      <c r="Y793" s="230"/>
      <c r="Z793" s="230"/>
    </row>
    <row r="794" spans="1:26" ht="15.75" customHeight="1">
      <c r="A794" s="230"/>
      <c r="B794" s="230"/>
      <c r="C794" s="230"/>
      <c r="D794" s="230"/>
      <c r="E794" s="230"/>
      <c r="F794" s="230"/>
      <c r="G794" s="230"/>
      <c r="H794" s="230"/>
      <c r="I794" s="230"/>
      <c r="J794" s="230"/>
      <c r="K794" s="230"/>
      <c r="L794" s="230"/>
      <c r="M794" s="230"/>
      <c r="N794" s="230"/>
      <c r="O794" s="230"/>
      <c r="P794" s="230"/>
      <c r="Q794" s="230"/>
      <c r="R794" s="230"/>
      <c r="S794" s="230"/>
      <c r="T794" s="230"/>
      <c r="U794" s="230"/>
      <c r="V794" s="230"/>
      <c r="W794" s="230"/>
      <c r="X794" s="230"/>
      <c r="Y794" s="230"/>
      <c r="Z794" s="230"/>
    </row>
    <row r="795" spans="1:26" ht="15.75" customHeight="1">
      <c r="A795" s="230"/>
      <c r="B795" s="230"/>
      <c r="C795" s="230"/>
      <c r="D795" s="230"/>
      <c r="E795" s="230"/>
      <c r="F795" s="230"/>
      <c r="G795" s="230"/>
      <c r="H795" s="230"/>
      <c r="I795" s="230"/>
      <c r="J795" s="230"/>
      <c r="K795" s="230"/>
      <c r="L795" s="230"/>
      <c r="M795" s="230"/>
      <c r="N795" s="230"/>
      <c r="O795" s="230"/>
      <c r="P795" s="230"/>
      <c r="Q795" s="230"/>
      <c r="R795" s="230"/>
      <c r="S795" s="230"/>
      <c r="T795" s="230"/>
      <c r="U795" s="230"/>
      <c r="V795" s="230"/>
      <c r="W795" s="230"/>
      <c r="X795" s="230"/>
      <c r="Y795" s="230"/>
      <c r="Z795" s="230"/>
    </row>
    <row r="796" spans="1:26" ht="15.75" customHeight="1">
      <c r="A796" s="230"/>
      <c r="B796" s="230"/>
      <c r="C796" s="230"/>
      <c r="D796" s="230"/>
      <c r="E796" s="230"/>
      <c r="F796" s="230"/>
      <c r="G796" s="230"/>
      <c r="H796" s="230"/>
      <c r="I796" s="230"/>
      <c r="J796" s="230"/>
      <c r="K796" s="230"/>
      <c r="L796" s="230"/>
      <c r="M796" s="230"/>
      <c r="N796" s="230"/>
      <c r="O796" s="230"/>
      <c r="P796" s="230"/>
      <c r="Q796" s="230"/>
      <c r="R796" s="230"/>
      <c r="S796" s="230"/>
      <c r="T796" s="230"/>
      <c r="U796" s="230"/>
      <c r="V796" s="230"/>
      <c r="W796" s="230"/>
      <c r="X796" s="230"/>
      <c r="Y796" s="230"/>
      <c r="Z796" s="230"/>
    </row>
    <row r="797" spans="1:26" ht="15.75" customHeight="1">
      <c r="A797" s="230"/>
      <c r="B797" s="230"/>
      <c r="C797" s="230"/>
      <c r="D797" s="230"/>
      <c r="E797" s="230"/>
      <c r="F797" s="230"/>
      <c r="G797" s="230"/>
      <c r="H797" s="230"/>
      <c r="I797" s="230"/>
      <c r="J797" s="230"/>
      <c r="K797" s="230"/>
      <c r="L797" s="230"/>
      <c r="M797" s="230"/>
      <c r="N797" s="230"/>
      <c r="O797" s="230"/>
      <c r="P797" s="230"/>
      <c r="Q797" s="230"/>
      <c r="R797" s="230"/>
      <c r="S797" s="230"/>
      <c r="T797" s="230"/>
      <c r="U797" s="230"/>
      <c r="V797" s="230"/>
      <c r="W797" s="230"/>
      <c r="X797" s="230"/>
      <c r="Y797" s="230"/>
      <c r="Z797" s="230"/>
    </row>
    <row r="798" spans="1:26" ht="15.75" customHeight="1">
      <c r="A798" s="230"/>
      <c r="B798" s="230"/>
      <c r="C798" s="230"/>
      <c r="D798" s="230"/>
      <c r="E798" s="230"/>
      <c r="F798" s="230"/>
      <c r="G798" s="230"/>
      <c r="H798" s="230"/>
      <c r="I798" s="230"/>
      <c r="J798" s="230"/>
      <c r="K798" s="230"/>
      <c r="L798" s="230"/>
      <c r="M798" s="230"/>
      <c r="N798" s="230"/>
      <c r="O798" s="230"/>
      <c r="P798" s="230"/>
      <c r="Q798" s="230"/>
      <c r="R798" s="230"/>
      <c r="S798" s="230"/>
      <c r="T798" s="230"/>
      <c r="U798" s="230"/>
      <c r="V798" s="230"/>
      <c r="W798" s="230"/>
      <c r="X798" s="230"/>
      <c r="Y798" s="230"/>
      <c r="Z798" s="230"/>
    </row>
    <row r="799" spans="1:26" ht="15.75" customHeight="1">
      <c r="A799" s="230"/>
      <c r="B799" s="230"/>
      <c r="C799" s="230"/>
      <c r="D799" s="230"/>
      <c r="E799" s="230"/>
      <c r="F799" s="230"/>
      <c r="G799" s="230"/>
      <c r="H799" s="230"/>
      <c r="I799" s="230"/>
      <c r="J799" s="230"/>
      <c r="K799" s="230"/>
      <c r="L799" s="230"/>
      <c r="M799" s="230"/>
      <c r="N799" s="230"/>
      <c r="O799" s="230"/>
      <c r="P799" s="230"/>
      <c r="Q799" s="230"/>
      <c r="R799" s="230"/>
      <c r="S799" s="230"/>
      <c r="T799" s="230"/>
      <c r="U799" s="230"/>
      <c r="V799" s="230"/>
      <c r="W799" s="230"/>
      <c r="X799" s="230"/>
      <c r="Y799" s="230"/>
      <c r="Z799" s="230"/>
    </row>
    <row r="800" spans="1:26" ht="15.75" customHeight="1">
      <c r="A800" s="230"/>
      <c r="B800" s="230"/>
      <c r="C800" s="230"/>
      <c r="D800" s="230"/>
      <c r="E800" s="230"/>
      <c r="F800" s="230"/>
      <c r="G800" s="230"/>
      <c r="H800" s="230"/>
      <c r="I800" s="230"/>
      <c r="J800" s="230"/>
      <c r="K800" s="230"/>
      <c r="L800" s="230"/>
      <c r="M800" s="230"/>
      <c r="N800" s="230"/>
      <c r="O800" s="230"/>
      <c r="P800" s="230"/>
      <c r="Q800" s="230"/>
      <c r="R800" s="230"/>
      <c r="S800" s="230"/>
      <c r="T800" s="230"/>
      <c r="U800" s="230"/>
      <c r="V800" s="230"/>
      <c r="W800" s="230"/>
      <c r="X800" s="230"/>
      <c r="Y800" s="230"/>
      <c r="Z800" s="230"/>
    </row>
    <row r="801" spans="1:26" ht="15.75" customHeight="1">
      <c r="A801" s="230"/>
      <c r="B801" s="230"/>
      <c r="C801" s="230"/>
      <c r="D801" s="230"/>
      <c r="E801" s="230"/>
      <c r="F801" s="230"/>
      <c r="G801" s="230"/>
      <c r="H801" s="230"/>
      <c r="I801" s="230"/>
      <c r="J801" s="230"/>
      <c r="K801" s="230"/>
      <c r="L801" s="230"/>
      <c r="M801" s="230"/>
      <c r="N801" s="230"/>
      <c r="O801" s="230"/>
      <c r="P801" s="230"/>
      <c r="Q801" s="230"/>
      <c r="R801" s="230"/>
      <c r="S801" s="230"/>
      <c r="T801" s="230"/>
      <c r="U801" s="230"/>
      <c r="V801" s="230"/>
      <c r="W801" s="230"/>
      <c r="X801" s="230"/>
      <c r="Y801" s="230"/>
      <c r="Z801" s="230"/>
    </row>
    <row r="802" spans="1:26" ht="15.75" customHeight="1">
      <c r="A802" s="230"/>
      <c r="B802" s="230"/>
      <c r="C802" s="230"/>
      <c r="D802" s="230"/>
      <c r="E802" s="230"/>
      <c r="F802" s="230"/>
      <c r="G802" s="230"/>
      <c r="H802" s="230"/>
      <c r="I802" s="230"/>
      <c r="J802" s="230"/>
      <c r="K802" s="230"/>
      <c r="L802" s="230"/>
      <c r="M802" s="230"/>
      <c r="N802" s="230"/>
      <c r="O802" s="230"/>
      <c r="P802" s="230"/>
      <c r="Q802" s="230"/>
      <c r="R802" s="230"/>
      <c r="S802" s="230"/>
      <c r="T802" s="230"/>
      <c r="U802" s="230"/>
      <c r="V802" s="230"/>
      <c r="W802" s="230"/>
      <c r="X802" s="230"/>
      <c r="Y802" s="230"/>
      <c r="Z802" s="230"/>
    </row>
    <row r="803" spans="1:26" ht="15.75" customHeight="1">
      <c r="A803" s="230"/>
      <c r="B803" s="230"/>
      <c r="C803" s="230"/>
      <c r="D803" s="230"/>
      <c r="E803" s="230"/>
      <c r="F803" s="230"/>
      <c r="G803" s="230"/>
      <c r="H803" s="230"/>
      <c r="I803" s="230"/>
      <c r="J803" s="230"/>
      <c r="K803" s="230"/>
      <c r="L803" s="230"/>
      <c r="M803" s="230"/>
      <c r="N803" s="230"/>
      <c r="O803" s="230"/>
      <c r="P803" s="230"/>
      <c r="Q803" s="230"/>
      <c r="R803" s="230"/>
      <c r="S803" s="230"/>
      <c r="T803" s="230"/>
      <c r="U803" s="230"/>
      <c r="V803" s="230"/>
      <c r="W803" s="230"/>
      <c r="X803" s="230"/>
      <c r="Y803" s="230"/>
      <c r="Z803" s="230"/>
    </row>
    <row r="804" spans="1:26" ht="15.75" customHeight="1">
      <c r="A804" s="230"/>
      <c r="B804" s="230"/>
      <c r="C804" s="230"/>
      <c r="D804" s="230"/>
      <c r="E804" s="230"/>
      <c r="F804" s="230"/>
      <c r="G804" s="230"/>
      <c r="H804" s="230"/>
      <c r="I804" s="230"/>
      <c r="J804" s="230"/>
      <c r="K804" s="230"/>
      <c r="L804" s="230"/>
      <c r="M804" s="230"/>
      <c r="N804" s="230"/>
      <c r="O804" s="230"/>
      <c r="P804" s="230"/>
      <c r="Q804" s="230"/>
      <c r="R804" s="230"/>
      <c r="S804" s="230"/>
      <c r="T804" s="230"/>
      <c r="U804" s="230"/>
      <c r="V804" s="230"/>
      <c r="W804" s="230"/>
      <c r="X804" s="230"/>
      <c r="Y804" s="230"/>
      <c r="Z804" s="230"/>
    </row>
    <row r="805" spans="1:26" ht="15.75" customHeight="1">
      <c r="A805" s="230"/>
      <c r="B805" s="230"/>
      <c r="C805" s="230"/>
      <c r="D805" s="230"/>
      <c r="E805" s="230"/>
      <c r="F805" s="230"/>
      <c r="G805" s="230"/>
      <c r="H805" s="230"/>
      <c r="I805" s="230"/>
      <c r="J805" s="230"/>
      <c r="K805" s="230"/>
      <c r="L805" s="230"/>
      <c r="M805" s="230"/>
      <c r="N805" s="230"/>
      <c r="O805" s="230"/>
      <c r="P805" s="230"/>
      <c r="Q805" s="230"/>
      <c r="R805" s="230"/>
      <c r="S805" s="230"/>
      <c r="T805" s="230"/>
      <c r="U805" s="230"/>
      <c r="V805" s="230"/>
      <c r="W805" s="230"/>
      <c r="X805" s="230"/>
      <c r="Y805" s="230"/>
      <c r="Z805" s="230"/>
    </row>
    <row r="806" spans="1:26" ht="15.75" customHeight="1">
      <c r="A806" s="230"/>
      <c r="B806" s="230"/>
      <c r="C806" s="230"/>
      <c r="D806" s="230"/>
      <c r="E806" s="230"/>
      <c r="F806" s="230"/>
      <c r="G806" s="230"/>
      <c r="H806" s="230"/>
      <c r="I806" s="230"/>
      <c r="J806" s="230"/>
      <c r="K806" s="230"/>
      <c r="L806" s="230"/>
      <c r="M806" s="230"/>
      <c r="N806" s="230"/>
      <c r="O806" s="230"/>
      <c r="P806" s="230"/>
      <c r="Q806" s="230"/>
      <c r="R806" s="230"/>
      <c r="S806" s="230"/>
      <c r="T806" s="230"/>
      <c r="U806" s="230"/>
      <c r="V806" s="230"/>
      <c r="W806" s="230"/>
      <c r="X806" s="230"/>
      <c r="Y806" s="230"/>
      <c r="Z806" s="230"/>
    </row>
    <row r="807" spans="1:26" ht="15.75" customHeight="1">
      <c r="A807" s="230"/>
      <c r="B807" s="230"/>
      <c r="C807" s="230"/>
      <c r="D807" s="230"/>
      <c r="E807" s="230"/>
      <c r="F807" s="230"/>
      <c r="G807" s="230"/>
      <c r="H807" s="230"/>
      <c r="I807" s="230"/>
      <c r="J807" s="230"/>
      <c r="K807" s="230"/>
      <c r="L807" s="230"/>
      <c r="M807" s="230"/>
      <c r="N807" s="230"/>
      <c r="O807" s="230"/>
      <c r="P807" s="230"/>
      <c r="Q807" s="230"/>
      <c r="R807" s="230"/>
      <c r="S807" s="230"/>
      <c r="T807" s="230"/>
      <c r="U807" s="230"/>
      <c r="V807" s="230"/>
      <c r="W807" s="230"/>
      <c r="X807" s="230"/>
      <c r="Y807" s="230"/>
      <c r="Z807" s="230"/>
    </row>
    <row r="808" spans="1:26" ht="15.75" customHeight="1">
      <c r="A808" s="230"/>
      <c r="B808" s="230"/>
      <c r="C808" s="230"/>
      <c r="D808" s="230"/>
      <c r="E808" s="230"/>
      <c r="F808" s="230"/>
      <c r="G808" s="230"/>
      <c r="H808" s="230"/>
      <c r="I808" s="230"/>
      <c r="J808" s="230"/>
      <c r="K808" s="230"/>
      <c r="L808" s="230"/>
      <c r="M808" s="230"/>
      <c r="N808" s="230"/>
      <c r="O808" s="230"/>
      <c r="P808" s="230"/>
      <c r="Q808" s="230"/>
      <c r="R808" s="230"/>
      <c r="S808" s="230"/>
      <c r="T808" s="230"/>
      <c r="U808" s="230"/>
      <c r="V808" s="230"/>
      <c r="W808" s="230"/>
      <c r="X808" s="230"/>
      <c r="Y808" s="230"/>
      <c r="Z808" s="230"/>
    </row>
    <row r="809" spans="1:26" ht="15.75" customHeight="1">
      <c r="A809" s="230"/>
      <c r="B809" s="230"/>
      <c r="C809" s="230"/>
      <c r="D809" s="230"/>
      <c r="E809" s="230"/>
      <c r="F809" s="230"/>
      <c r="G809" s="230"/>
      <c r="H809" s="230"/>
      <c r="I809" s="230"/>
      <c r="J809" s="230"/>
      <c r="K809" s="230"/>
      <c r="L809" s="230"/>
      <c r="M809" s="230"/>
      <c r="N809" s="230"/>
      <c r="O809" s="230"/>
      <c r="P809" s="230"/>
      <c r="Q809" s="230"/>
      <c r="R809" s="230"/>
      <c r="S809" s="230"/>
      <c r="T809" s="230"/>
      <c r="U809" s="230"/>
      <c r="V809" s="230"/>
      <c r="W809" s="230"/>
      <c r="X809" s="230"/>
      <c r="Y809" s="230"/>
      <c r="Z809" s="230"/>
    </row>
    <row r="810" spans="1:26" ht="15.75" customHeight="1">
      <c r="A810" s="230"/>
      <c r="B810" s="230"/>
      <c r="C810" s="230"/>
      <c r="D810" s="230"/>
      <c r="E810" s="230"/>
      <c r="F810" s="230"/>
      <c r="G810" s="230"/>
      <c r="H810" s="230"/>
      <c r="I810" s="230"/>
      <c r="J810" s="230"/>
      <c r="K810" s="230"/>
      <c r="L810" s="230"/>
      <c r="M810" s="230"/>
      <c r="N810" s="230"/>
      <c r="O810" s="230"/>
      <c r="P810" s="230"/>
      <c r="Q810" s="230"/>
      <c r="R810" s="230"/>
      <c r="S810" s="230"/>
      <c r="T810" s="230"/>
      <c r="U810" s="230"/>
      <c r="V810" s="230"/>
      <c r="W810" s="230"/>
      <c r="X810" s="230"/>
      <c r="Y810" s="230"/>
      <c r="Z810" s="230"/>
    </row>
    <row r="811" spans="1:26" ht="15.75" customHeight="1">
      <c r="A811" s="230"/>
      <c r="B811" s="230"/>
      <c r="C811" s="230"/>
      <c r="D811" s="230"/>
      <c r="E811" s="230"/>
      <c r="F811" s="230"/>
      <c r="G811" s="230"/>
      <c r="H811" s="230"/>
      <c r="I811" s="230"/>
      <c r="J811" s="230"/>
      <c r="K811" s="230"/>
      <c r="L811" s="230"/>
      <c r="M811" s="230"/>
      <c r="N811" s="230"/>
      <c r="O811" s="230"/>
      <c r="P811" s="230"/>
      <c r="Q811" s="230"/>
      <c r="R811" s="230"/>
      <c r="S811" s="230"/>
      <c r="T811" s="230"/>
      <c r="U811" s="230"/>
      <c r="V811" s="230"/>
      <c r="W811" s="230"/>
      <c r="X811" s="230"/>
      <c r="Y811" s="230"/>
      <c r="Z811" s="230"/>
    </row>
    <row r="812" spans="1:26" ht="15.75" customHeight="1">
      <c r="A812" s="230"/>
      <c r="B812" s="230"/>
      <c r="C812" s="230"/>
      <c r="D812" s="230"/>
      <c r="E812" s="230"/>
      <c r="F812" s="230"/>
      <c r="G812" s="230"/>
      <c r="H812" s="230"/>
      <c r="I812" s="230"/>
      <c r="J812" s="230"/>
      <c r="K812" s="230"/>
      <c r="L812" s="230"/>
      <c r="M812" s="230"/>
      <c r="N812" s="230"/>
      <c r="O812" s="230"/>
      <c r="P812" s="230"/>
      <c r="Q812" s="230"/>
      <c r="R812" s="230"/>
      <c r="S812" s="230"/>
      <c r="T812" s="230"/>
      <c r="U812" s="230"/>
      <c r="V812" s="230"/>
      <c r="W812" s="230"/>
      <c r="X812" s="230"/>
      <c r="Y812" s="230"/>
      <c r="Z812" s="230"/>
    </row>
    <row r="813" spans="1:26" ht="15.75" customHeight="1">
      <c r="A813" s="230"/>
      <c r="B813" s="230"/>
      <c r="C813" s="230"/>
      <c r="D813" s="230"/>
      <c r="E813" s="230"/>
      <c r="F813" s="230"/>
      <c r="G813" s="230"/>
      <c r="H813" s="230"/>
      <c r="I813" s="230"/>
      <c r="J813" s="230"/>
      <c r="K813" s="230"/>
      <c r="L813" s="230"/>
      <c r="M813" s="230"/>
      <c r="N813" s="230"/>
      <c r="O813" s="230"/>
      <c r="P813" s="230"/>
      <c r="Q813" s="230"/>
      <c r="R813" s="230"/>
      <c r="S813" s="230"/>
      <c r="T813" s="230"/>
      <c r="U813" s="230"/>
      <c r="V813" s="230"/>
      <c r="W813" s="230"/>
      <c r="X813" s="230"/>
      <c r="Y813" s="230"/>
      <c r="Z813" s="230"/>
    </row>
    <row r="814" spans="1:26" ht="15.75" customHeight="1">
      <c r="A814" s="230"/>
      <c r="B814" s="230"/>
      <c r="C814" s="230"/>
      <c r="D814" s="230"/>
      <c r="E814" s="230"/>
      <c r="F814" s="230"/>
      <c r="G814" s="230"/>
      <c r="H814" s="230"/>
      <c r="I814" s="230"/>
      <c r="J814" s="230"/>
      <c r="K814" s="230"/>
      <c r="L814" s="230"/>
      <c r="M814" s="230"/>
      <c r="N814" s="230"/>
      <c r="O814" s="230"/>
      <c r="P814" s="230"/>
      <c r="Q814" s="230"/>
      <c r="R814" s="230"/>
      <c r="S814" s="230"/>
      <c r="T814" s="230"/>
      <c r="U814" s="230"/>
      <c r="V814" s="230"/>
      <c r="W814" s="230"/>
      <c r="X814" s="230"/>
      <c r="Y814" s="230"/>
      <c r="Z814" s="230"/>
    </row>
    <row r="815" spans="1:26" ht="15.75" customHeight="1">
      <c r="A815" s="230"/>
      <c r="B815" s="230"/>
      <c r="C815" s="230"/>
      <c r="D815" s="230"/>
      <c r="E815" s="230"/>
      <c r="F815" s="230"/>
      <c r="G815" s="230"/>
      <c r="H815" s="230"/>
      <c r="I815" s="230"/>
      <c r="J815" s="230"/>
      <c r="K815" s="230"/>
      <c r="L815" s="230"/>
      <c r="M815" s="230"/>
      <c r="N815" s="230"/>
      <c r="O815" s="230"/>
      <c r="P815" s="230"/>
      <c r="Q815" s="230"/>
      <c r="R815" s="230"/>
      <c r="S815" s="230"/>
      <c r="T815" s="230"/>
      <c r="U815" s="230"/>
      <c r="V815" s="230"/>
      <c r="W815" s="230"/>
      <c r="X815" s="230"/>
      <c r="Y815" s="230"/>
      <c r="Z815" s="230"/>
    </row>
    <row r="816" spans="1:26" ht="15.75" customHeight="1">
      <c r="A816" s="230"/>
      <c r="B816" s="230"/>
      <c r="C816" s="230"/>
      <c r="D816" s="230"/>
      <c r="E816" s="230"/>
      <c r="F816" s="230"/>
      <c r="G816" s="230"/>
      <c r="H816" s="230"/>
      <c r="I816" s="230"/>
      <c r="J816" s="230"/>
      <c r="K816" s="230"/>
      <c r="L816" s="230"/>
      <c r="M816" s="230"/>
      <c r="N816" s="230"/>
      <c r="O816" s="230"/>
      <c r="P816" s="230"/>
      <c r="Q816" s="230"/>
      <c r="R816" s="230"/>
      <c r="S816" s="230"/>
      <c r="T816" s="230"/>
      <c r="U816" s="230"/>
      <c r="V816" s="230"/>
      <c r="W816" s="230"/>
      <c r="X816" s="230"/>
      <c r="Y816" s="230"/>
      <c r="Z816" s="230"/>
    </row>
    <row r="817" spans="1:26" ht="15.75" customHeight="1">
      <c r="A817" s="230"/>
      <c r="B817" s="230"/>
      <c r="C817" s="230"/>
      <c r="D817" s="230"/>
      <c r="E817" s="230"/>
      <c r="F817" s="230"/>
      <c r="G817" s="230"/>
      <c r="H817" s="230"/>
      <c r="I817" s="230"/>
      <c r="J817" s="230"/>
      <c r="K817" s="230"/>
      <c r="L817" s="230"/>
      <c r="M817" s="230"/>
      <c r="N817" s="230"/>
      <c r="O817" s="230"/>
      <c r="P817" s="230"/>
      <c r="Q817" s="230"/>
      <c r="R817" s="230"/>
      <c r="S817" s="230"/>
      <c r="T817" s="230"/>
      <c r="U817" s="230"/>
      <c r="V817" s="230"/>
      <c r="W817" s="230"/>
      <c r="X817" s="230"/>
      <c r="Y817" s="230"/>
      <c r="Z817" s="230"/>
    </row>
    <row r="818" spans="1:26" ht="15.75" customHeight="1">
      <c r="A818" s="230"/>
      <c r="B818" s="230"/>
      <c r="C818" s="230"/>
      <c r="D818" s="230"/>
      <c r="E818" s="230"/>
      <c r="F818" s="230"/>
      <c r="G818" s="230"/>
      <c r="H818" s="230"/>
      <c r="I818" s="230"/>
      <c r="J818" s="230"/>
      <c r="K818" s="230"/>
      <c r="L818" s="230"/>
      <c r="M818" s="230"/>
      <c r="N818" s="230"/>
      <c r="O818" s="230"/>
      <c r="P818" s="230"/>
      <c r="Q818" s="230"/>
      <c r="R818" s="230"/>
      <c r="S818" s="230"/>
      <c r="T818" s="230"/>
      <c r="U818" s="230"/>
      <c r="V818" s="230"/>
      <c r="W818" s="230"/>
      <c r="X818" s="230"/>
      <c r="Y818" s="230"/>
      <c r="Z818" s="230"/>
    </row>
    <row r="819" spans="1:26" ht="15.75" customHeight="1">
      <c r="A819" s="230"/>
      <c r="B819" s="230"/>
      <c r="C819" s="230"/>
      <c r="D819" s="230"/>
      <c r="E819" s="230"/>
      <c r="F819" s="230"/>
      <c r="G819" s="230"/>
      <c r="H819" s="230"/>
      <c r="I819" s="230"/>
      <c r="J819" s="230"/>
      <c r="K819" s="230"/>
      <c r="L819" s="230"/>
      <c r="M819" s="230"/>
      <c r="N819" s="230"/>
      <c r="O819" s="230"/>
      <c r="P819" s="230"/>
      <c r="Q819" s="230"/>
      <c r="R819" s="230"/>
      <c r="S819" s="230"/>
      <c r="T819" s="230"/>
      <c r="U819" s="230"/>
      <c r="V819" s="230"/>
      <c r="W819" s="230"/>
      <c r="X819" s="230"/>
      <c r="Y819" s="230"/>
      <c r="Z819" s="230"/>
    </row>
    <row r="820" spans="1:26" ht="15.75" customHeight="1">
      <c r="A820" s="230"/>
      <c r="B820" s="230"/>
      <c r="C820" s="230"/>
      <c r="D820" s="230"/>
      <c r="E820" s="230"/>
      <c r="F820" s="230"/>
      <c r="G820" s="230"/>
      <c r="H820" s="230"/>
      <c r="I820" s="230"/>
      <c r="J820" s="230"/>
      <c r="K820" s="230"/>
      <c r="L820" s="230"/>
      <c r="M820" s="230"/>
      <c r="N820" s="230"/>
      <c r="O820" s="230"/>
      <c r="P820" s="230"/>
      <c r="Q820" s="230"/>
      <c r="R820" s="230"/>
      <c r="S820" s="230"/>
      <c r="T820" s="230"/>
      <c r="U820" s="230"/>
      <c r="V820" s="230"/>
      <c r="W820" s="230"/>
      <c r="X820" s="230"/>
      <c r="Y820" s="230"/>
      <c r="Z820" s="230"/>
    </row>
    <row r="821" spans="1:26" ht="15.75" customHeight="1">
      <c r="A821" s="230"/>
      <c r="B821" s="230"/>
      <c r="C821" s="230"/>
      <c r="D821" s="230"/>
      <c r="E821" s="230"/>
      <c r="F821" s="230"/>
      <c r="G821" s="230"/>
      <c r="H821" s="230"/>
      <c r="I821" s="230"/>
      <c r="J821" s="230"/>
      <c r="K821" s="230"/>
      <c r="L821" s="230"/>
      <c r="M821" s="230"/>
      <c r="N821" s="230"/>
      <c r="O821" s="230"/>
      <c r="P821" s="230"/>
      <c r="Q821" s="230"/>
      <c r="R821" s="230"/>
      <c r="S821" s="230"/>
      <c r="T821" s="230"/>
      <c r="U821" s="230"/>
      <c r="V821" s="230"/>
      <c r="W821" s="230"/>
      <c r="X821" s="230"/>
      <c r="Y821" s="230"/>
      <c r="Z821" s="230"/>
    </row>
    <row r="822" spans="1:26" ht="15.75" customHeight="1">
      <c r="A822" s="230"/>
      <c r="B822" s="230"/>
      <c r="C822" s="230"/>
      <c r="D822" s="230"/>
      <c r="E822" s="230"/>
      <c r="F822" s="230"/>
      <c r="G822" s="230"/>
      <c r="H822" s="230"/>
      <c r="I822" s="230"/>
      <c r="J822" s="230"/>
      <c r="K822" s="230"/>
      <c r="L822" s="230"/>
      <c r="M822" s="230"/>
      <c r="N822" s="230"/>
      <c r="O822" s="230"/>
      <c r="P822" s="230"/>
      <c r="Q822" s="230"/>
      <c r="R822" s="230"/>
      <c r="S822" s="230"/>
      <c r="T822" s="230"/>
      <c r="U822" s="230"/>
      <c r="V822" s="230"/>
      <c r="W822" s="230"/>
      <c r="X822" s="230"/>
      <c r="Y822" s="230"/>
      <c r="Z822" s="230"/>
    </row>
    <row r="823" spans="1:26" ht="15.75" customHeight="1">
      <c r="A823" s="230"/>
      <c r="B823" s="230"/>
      <c r="C823" s="230"/>
      <c r="D823" s="230"/>
      <c r="E823" s="230"/>
      <c r="F823" s="230"/>
      <c r="G823" s="230"/>
      <c r="H823" s="230"/>
      <c r="I823" s="230"/>
      <c r="J823" s="230"/>
      <c r="K823" s="230"/>
      <c r="L823" s="230"/>
      <c r="M823" s="230"/>
      <c r="N823" s="230"/>
      <c r="O823" s="230"/>
      <c r="P823" s="230"/>
      <c r="Q823" s="230"/>
      <c r="R823" s="230"/>
      <c r="S823" s="230"/>
      <c r="T823" s="230"/>
      <c r="U823" s="230"/>
      <c r="V823" s="230"/>
      <c r="W823" s="230"/>
      <c r="X823" s="230"/>
      <c r="Y823" s="230"/>
      <c r="Z823" s="230"/>
    </row>
    <row r="824" spans="1:26" ht="15.75" customHeight="1">
      <c r="A824" s="230"/>
      <c r="B824" s="230"/>
      <c r="C824" s="230"/>
      <c r="D824" s="230"/>
      <c r="E824" s="230"/>
      <c r="F824" s="230"/>
      <c r="G824" s="230"/>
      <c r="H824" s="230"/>
      <c r="I824" s="230"/>
      <c r="J824" s="230"/>
      <c r="K824" s="230"/>
      <c r="L824" s="230"/>
      <c r="M824" s="230"/>
      <c r="N824" s="230"/>
      <c r="O824" s="230"/>
      <c r="P824" s="230"/>
      <c r="Q824" s="230"/>
      <c r="R824" s="230"/>
      <c r="S824" s="230"/>
      <c r="T824" s="230"/>
      <c r="U824" s="230"/>
      <c r="V824" s="230"/>
      <c r="W824" s="230"/>
      <c r="X824" s="230"/>
      <c r="Y824" s="230"/>
      <c r="Z824" s="230"/>
    </row>
    <row r="825" spans="1:26" ht="15.75" customHeight="1">
      <c r="A825" s="230"/>
      <c r="B825" s="230"/>
      <c r="C825" s="230"/>
      <c r="D825" s="230"/>
      <c r="E825" s="230"/>
      <c r="F825" s="230"/>
      <c r="G825" s="230"/>
      <c r="H825" s="230"/>
      <c r="I825" s="230"/>
      <c r="J825" s="230"/>
      <c r="K825" s="230"/>
      <c r="L825" s="230"/>
      <c r="M825" s="230"/>
      <c r="N825" s="230"/>
      <c r="O825" s="230"/>
      <c r="P825" s="230"/>
      <c r="Q825" s="230"/>
      <c r="R825" s="230"/>
      <c r="S825" s="230"/>
      <c r="T825" s="230"/>
      <c r="U825" s="230"/>
      <c r="V825" s="230"/>
      <c r="W825" s="230"/>
      <c r="X825" s="230"/>
      <c r="Y825" s="230"/>
      <c r="Z825" s="230"/>
    </row>
    <row r="826" spans="1:26" ht="15.75" customHeight="1">
      <c r="A826" s="230"/>
      <c r="B826" s="230"/>
      <c r="C826" s="230"/>
      <c r="D826" s="230"/>
      <c r="E826" s="230"/>
      <c r="F826" s="230"/>
      <c r="G826" s="230"/>
      <c r="H826" s="230"/>
      <c r="I826" s="230"/>
      <c r="J826" s="230"/>
      <c r="K826" s="230"/>
      <c r="L826" s="230"/>
      <c r="M826" s="230"/>
      <c r="N826" s="230"/>
      <c r="O826" s="230"/>
      <c r="P826" s="230"/>
      <c r="Q826" s="230"/>
      <c r="R826" s="230"/>
      <c r="S826" s="230"/>
      <c r="T826" s="230"/>
      <c r="U826" s="230"/>
      <c r="V826" s="230"/>
      <c r="W826" s="230"/>
      <c r="X826" s="230"/>
      <c r="Y826" s="230"/>
      <c r="Z826" s="230"/>
    </row>
    <row r="827" spans="1:26" ht="15.75" customHeight="1">
      <c r="A827" s="230"/>
      <c r="B827" s="230"/>
      <c r="C827" s="230"/>
      <c r="D827" s="230"/>
      <c r="E827" s="230"/>
      <c r="F827" s="230"/>
      <c r="G827" s="230"/>
      <c r="H827" s="230"/>
      <c r="I827" s="230"/>
      <c r="J827" s="230"/>
      <c r="K827" s="230"/>
      <c r="L827" s="230"/>
      <c r="M827" s="230"/>
      <c r="N827" s="230"/>
      <c r="O827" s="230"/>
      <c r="P827" s="230"/>
      <c r="Q827" s="230"/>
      <c r="R827" s="230"/>
      <c r="S827" s="230"/>
      <c r="T827" s="230"/>
      <c r="U827" s="230"/>
      <c r="V827" s="230"/>
      <c r="W827" s="230"/>
      <c r="X827" s="230"/>
      <c r="Y827" s="230"/>
      <c r="Z827" s="230"/>
    </row>
    <row r="828" spans="1:26" ht="15.75" customHeight="1">
      <c r="A828" s="230"/>
      <c r="B828" s="230"/>
      <c r="C828" s="230"/>
      <c r="D828" s="230"/>
      <c r="E828" s="230"/>
      <c r="F828" s="230"/>
      <c r="G828" s="230"/>
      <c r="H828" s="230"/>
      <c r="I828" s="230"/>
      <c r="J828" s="230"/>
      <c r="K828" s="230"/>
      <c r="L828" s="230"/>
      <c r="M828" s="230"/>
      <c r="N828" s="230"/>
      <c r="O828" s="230"/>
      <c r="P828" s="230"/>
      <c r="Q828" s="230"/>
      <c r="R828" s="230"/>
      <c r="S828" s="230"/>
      <c r="T828" s="230"/>
      <c r="U828" s="230"/>
      <c r="V828" s="230"/>
      <c r="W828" s="230"/>
      <c r="X828" s="230"/>
      <c r="Y828" s="230"/>
      <c r="Z828" s="230"/>
    </row>
    <row r="829" spans="1:26" ht="15.75" customHeight="1">
      <c r="A829" s="230"/>
      <c r="B829" s="230"/>
      <c r="C829" s="230"/>
      <c r="D829" s="230"/>
      <c r="E829" s="230"/>
      <c r="F829" s="230"/>
      <c r="G829" s="230"/>
      <c r="H829" s="230"/>
      <c r="I829" s="230"/>
      <c r="J829" s="230"/>
      <c r="K829" s="230"/>
      <c r="L829" s="230"/>
      <c r="M829" s="230"/>
      <c r="N829" s="230"/>
      <c r="O829" s="230"/>
      <c r="P829" s="230"/>
      <c r="Q829" s="230"/>
      <c r="R829" s="230"/>
      <c r="S829" s="230"/>
      <c r="T829" s="230"/>
      <c r="U829" s="230"/>
      <c r="V829" s="230"/>
      <c r="W829" s="230"/>
      <c r="X829" s="230"/>
      <c r="Y829" s="230"/>
      <c r="Z829" s="230"/>
    </row>
    <row r="830" spans="1:26" ht="15.75" customHeight="1">
      <c r="A830" s="230"/>
      <c r="B830" s="230"/>
      <c r="C830" s="230"/>
      <c r="D830" s="230"/>
      <c r="E830" s="230"/>
      <c r="F830" s="230"/>
      <c r="G830" s="230"/>
      <c r="H830" s="230"/>
      <c r="I830" s="230"/>
      <c r="J830" s="230"/>
      <c r="K830" s="230"/>
      <c r="L830" s="230"/>
      <c r="M830" s="230"/>
      <c r="N830" s="230"/>
      <c r="O830" s="230"/>
      <c r="P830" s="230"/>
      <c r="Q830" s="230"/>
      <c r="R830" s="230"/>
      <c r="S830" s="230"/>
      <c r="T830" s="230"/>
      <c r="U830" s="230"/>
      <c r="V830" s="230"/>
      <c r="W830" s="230"/>
      <c r="X830" s="230"/>
      <c r="Y830" s="230"/>
      <c r="Z830" s="230"/>
    </row>
    <row r="831" spans="1:26" ht="15.75" customHeight="1">
      <c r="A831" s="230"/>
      <c r="B831" s="230"/>
      <c r="C831" s="230"/>
      <c r="D831" s="230"/>
      <c r="E831" s="230"/>
      <c r="F831" s="230"/>
      <c r="G831" s="230"/>
      <c r="H831" s="230"/>
      <c r="I831" s="230"/>
      <c r="J831" s="230"/>
      <c r="K831" s="230"/>
      <c r="L831" s="230"/>
      <c r="M831" s="230"/>
      <c r="N831" s="230"/>
      <c r="O831" s="230"/>
      <c r="P831" s="230"/>
      <c r="Q831" s="230"/>
      <c r="R831" s="230"/>
      <c r="S831" s="230"/>
      <c r="T831" s="230"/>
      <c r="U831" s="230"/>
      <c r="V831" s="230"/>
      <c r="W831" s="230"/>
      <c r="X831" s="230"/>
      <c r="Y831" s="230"/>
      <c r="Z831" s="230"/>
    </row>
    <row r="832" spans="1:26" ht="15.75" customHeight="1">
      <c r="A832" s="230"/>
      <c r="B832" s="230"/>
      <c r="C832" s="230"/>
      <c r="D832" s="230"/>
      <c r="E832" s="230"/>
      <c r="F832" s="230"/>
      <c r="G832" s="230"/>
      <c r="H832" s="230"/>
      <c r="I832" s="230"/>
      <c r="J832" s="230"/>
      <c r="K832" s="230"/>
      <c r="L832" s="230"/>
      <c r="M832" s="230"/>
      <c r="N832" s="230"/>
      <c r="O832" s="230"/>
      <c r="P832" s="230"/>
      <c r="Q832" s="230"/>
      <c r="R832" s="230"/>
      <c r="S832" s="230"/>
      <c r="T832" s="230"/>
      <c r="U832" s="230"/>
      <c r="V832" s="230"/>
      <c r="W832" s="230"/>
      <c r="X832" s="230"/>
      <c r="Y832" s="230"/>
      <c r="Z832" s="230"/>
    </row>
    <row r="833" spans="1:26" ht="15.75" customHeight="1">
      <c r="A833" s="230"/>
      <c r="B833" s="230"/>
      <c r="C833" s="230"/>
      <c r="D833" s="230"/>
      <c r="E833" s="230"/>
      <c r="F833" s="230"/>
      <c r="G833" s="230"/>
      <c r="H833" s="230"/>
      <c r="I833" s="230"/>
      <c r="J833" s="230"/>
      <c r="K833" s="230"/>
      <c r="L833" s="230"/>
      <c r="M833" s="230"/>
      <c r="N833" s="230"/>
      <c r="O833" s="230"/>
      <c r="P833" s="230"/>
      <c r="Q833" s="230"/>
      <c r="R833" s="230"/>
      <c r="S833" s="230"/>
      <c r="T833" s="230"/>
      <c r="U833" s="230"/>
      <c r="V833" s="230"/>
      <c r="W833" s="230"/>
      <c r="X833" s="230"/>
      <c r="Y833" s="230"/>
      <c r="Z833" s="230"/>
    </row>
    <row r="834" spans="1:26" ht="15.75" customHeight="1">
      <c r="A834" s="230"/>
      <c r="B834" s="230"/>
      <c r="C834" s="230"/>
      <c r="D834" s="230"/>
      <c r="E834" s="230"/>
      <c r="F834" s="230"/>
      <c r="G834" s="230"/>
      <c r="H834" s="230"/>
      <c r="I834" s="230"/>
      <c r="J834" s="230"/>
      <c r="K834" s="230"/>
      <c r="L834" s="230"/>
      <c r="M834" s="230"/>
      <c r="N834" s="230"/>
      <c r="O834" s="230"/>
      <c r="P834" s="230"/>
      <c r="Q834" s="230"/>
      <c r="R834" s="230"/>
      <c r="S834" s="230"/>
      <c r="T834" s="230"/>
      <c r="U834" s="230"/>
      <c r="V834" s="230"/>
      <c r="W834" s="230"/>
      <c r="X834" s="230"/>
      <c r="Y834" s="230"/>
      <c r="Z834" s="230"/>
    </row>
    <row r="835" spans="1:26" ht="15.75" customHeight="1">
      <c r="A835" s="230"/>
      <c r="B835" s="230"/>
      <c r="C835" s="230"/>
      <c r="D835" s="230"/>
      <c r="E835" s="230"/>
      <c r="F835" s="230"/>
      <c r="G835" s="230"/>
      <c r="H835" s="230"/>
      <c r="I835" s="230"/>
      <c r="J835" s="230"/>
      <c r="K835" s="230"/>
      <c r="L835" s="230"/>
      <c r="M835" s="230"/>
      <c r="N835" s="230"/>
      <c r="O835" s="230"/>
      <c r="P835" s="230"/>
      <c r="Q835" s="230"/>
      <c r="R835" s="230"/>
      <c r="S835" s="230"/>
      <c r="T835" s="230"/>
      <c r="U835" s="230"/>
      <c r="V835" s="230"/>
      <c r="W835" s="230"/>
      <c r="X835" s="230"/>
      <c r="Y835" s="230"/>
      <c r="Z835" s="230"/>
    </row>
    <row r="836" spans="1:26" ht="15.75" customHeight="1">
      <c r="A836" s="230"/>
      <c r="B836" s="230"/>
      <c r="C836" s="230"/>
      <c r="D836" s="230"/>
      <c r="E836" s="230"/>
      <c r="F836" s="230"/>
      <c r="G836" s="230"/>
      <c r="H836" s="230"/>
      <c r="I836" s="230"/>
      <c r="J836" s="230"/>
      <c r="K836" s="230"/>
      <c r="L836" s="230"/>
      <c r="M836" s="230"/>
      <c r="N836" s="230"/>
      <c r="O836" s="230"/>
      <c r="P836" s="230"/>
      <c r="Q836" s="230"/>
      <c r="R836" s="230"/>
      <c r="S836" s="230"/>
      <c r="T836" s="230"/>
      <c r="U836" s="230"/>
      <c r="V836" s="230"/>
      <c r="W836" s="230"/>
      <c r="X836" s="230"/>
      <c r="Y836" s="230"/>
      <c r="Z836" s="230"/>
    </row>
    <row r="837" spans="1:26" ht="15.75" customHeight="1">
      <c r="A837" s="230"/>
      <c r="B837" s="230"/>
      <c r="C837" s="230"/>
      <c r="D837" s="230"/>
      <c r="E837" s="230"/>
      <c r="F837" s="230"/>
      <c r="G837" s="230"/>
      <c r="H837" s="230"/>
      <c r="I837" s="230"/>
      <c r="J837" s="230"/>
      <c r="K837" s="230"/>
      <c r="L837" s="230"/>
      <c r="M837" s="230"/>
      <c r="N837" s="230"/>
      <c r="O837" s="230"/>
      <c r="P837" s="230"/>
      <c r="Q837" s="230"/>
      <c r="R837" s="230"/>
      <c r="S837" s="230"/>
      <c r="T837" s="230"/>
      <c r="U837" s="230"/>
      <c r="V837" s="230"/>
      <c r="W837" s="230"/>
      <c r="X837" s="230"/>
      <c r="Y837" s="230"/>
      <c r="Z837" s="230"/>
    </row>
    <row r="838" spans="1:26" ht="15.75" customHeight="1">
      <c r="A838" s="230"/>
      <c r="B838" s="230"/>
      <c r="C838" s="230"/>
      <c r="D838" s="230"/>
      <c r="E838" s="230"/>
      <c r="F838" s="230"/>
      <c r="G838" s="230"/>
      <c r="H838" s="230"/>
      <c r="I838" s="230"/>
      <c r="J838" s="230"/>
      <c r="K838" s="230"/>
      <c r="L838" s="230"/>
      <c r="M838" s="230"/>
      <c r="N838" s="230"/>
      <c r="O838" s="230"/>
      <c r="P838" s="230"/>
      <c r="Q838" s="230"/>
      <c r="R838" s="230"/>
      <c r="S838" s="230"/>
      <c r="T838" s="230"/>
      <c r="U838" s="230"/>
      <c r="V838" s="230"/>
      <c r="W838" s="230"/>
      <c r="X838" s="230"/>
      <c r="Y838" s="230"/>
      <c r="Z838" s="230"/>
    </row>
    <row r="839" spans="1:26" ht="15.75" customHeight="1">
      <c r="A839" s="230"/>
      <c r="B839" s="230"/>
      <c r="C839" s="230"/>
      <c r="D839" s="230"/>
      <c r="E839" s="230"/>
      <c r="F839" s="230"/>
      <c r="G839" s="230"/>
      <c r="H839" s="230"/>
      <c r="I839" s="230"/>
      <c r="J839" s="230"/>
      <c r="K839" s="230"/>
      <c r="L839" s="230"/>
      <c r="M839" s="230"/>
      <c r="N839" s="230"/>
      <c r="O839" s="230"/>
      <c r="P839" s="230"/>
      <c r="Q839" s="230"/>
      <c r="R839" s="230"/>
      <c r="S839" s="230"/>
      <c r="T839" s="230"/>
      <c r="U839" s="230"/>
      <c r="V839" s="230"/>
      <c r="W839" s="230"/>
      <c r="X839" s="230"/>
      <c r="Y839" s="230"/>
      <c r="Z839" s="230"/>
    </row>
    <row r="840" spans="1:26" ht="15.75" customHeight="1">
      <c r="A840" s="230"/>
      <c r="B840" s="230"/>
      <c r="C840" s="230"/>
      <c r="D840" s="230"/>
      <c r="E840" s="230"/>
      <c r="F840" s="230"/>
      <c r="G840" s="230"/>
      <c r="H840" s="230"/>
      <c r="I840" s="230"/>
      <c r="J840" s="230"/>
      <c r="K840" s="230"/>
      <c r="L840" s="230"/>
      <c r="M840" s="230"/>
      <c r="N840" s="230"/>
      <c r="O840" s="230"/>
      <c r="P840" s="230"/>
      <c r="Q840" s="230"/>
      <c r="R840" s="230"/>
      <c r="S840" s="230"/>
      <c r="T840" s="230"/>
      <c r="U840" s="230"/>
      <c r="V840" s="230"/>
      <c r="W840" s="230"/>
      <c r="X840" s="230"/>
      <c r="Y840" s="230"/>
      <c r="Z840" s="230"/>
    </row>
    <row r="841" spans="1:26" ht="15.75" customHeight="1">
      <c r="A841" s="230"/>
      <c r="B841" s="230"/>
      <c r="C841" s="230"/>
      <c r="D841" s="230"/>
      <c r="E841" s="230"/>
      <c r="F841" s="230"/>
      <c r="G841" s="230"/>
      <c r="H841" s="230"/>
      <c r="I841" s="230"/>
      <c r="J841" s="230"/>
      <c r="K841" s="230"/>
      <c r="L841" s="230"/>
      <c r="M841" s="230"/>
      <c r="N841" s="230"/>
      <c r="O841" s="230"/>
      <c r="P841" s="230"/>
      <c r="Q841" s="230"/>
      <c r="R841" s="230"/>
      <c r="S841" s="230"/>
      <c r="T841" s="230"/>
      <c r="U841" s="230"/>
      <c r="V841" s="230"/>
      <c r="W841" s="230"/>
      <c r="X841" s="230"/>
      <c r="Y841" s="230"/>
      <c r="Z841" s="230"/>
    </row>
    <row r="842" spans="1:26" ht="15.75" customHeight="1">
      <c r="A842" s="230"/>
      <c r="B842" s="230"/>
      <c r="C842" s="230"/>
      <c r="D842" s="230"/>
      <c r="E842" s="230"/>
      <c r="F842" s="230"/>
      <c r="G842" s="230"/>
      <c r="H842" s="230"/>
      <c r="I842" s="230"/>
      <c r="J842" s="230"/>
      <c r="K842" s="230"/>
      <c r="L842" s="230"/>
      <c r="M842" s="230"/>
      <c r="N842" s="230"/>
      <c r="O842" s="230"/>
      <c r="P842" s="230"/>
      <c r="Q842" s="230"/>
      <c r="R842" s="230"/>
      <c r="S842" s="230"/>
      <c r="T842" s="230"/>
      <c r="U842" s="230"/>
      <c r="V842" s="230"/>
      <c r="W842" s="230"/>
      <c r="X842" s="230"/>
      <c r="Y842" s="230"/>
      <c r="Z842" s="230"/>
    </row>
    <row r="843" spans="1:26" ht="15.75" customHeight="1">
      <c r="A843" s="230"/>
      <c r="B843" s="230"/>
      <c r="C843" s="230"/>
      <c r="D843" s="230"/>
      <c r="E843" s="230"/>
      <c r="F843" s="230"/>
      <c r="G843" s="230"/>
      <c r="H843" s="230"/>
      <c r="I843" s="230"/>
      <c r="J843" s="230"/>
      <c r="K843" s="230"/>
      <c r="L843" s="230"/>
      <c r="M843" s="230"/>
      <c r="N843" s="230"/>
      <c r="O843" s="230"/>
      <c r="P843" s="230"/>
      <c r="Q843" s="230"/>
      <c r="R843" s="230"/>
      <c r="S843" s="230"/>
      <c r="T843" s="230"/>
      <c r="U843" s="230"/>
      <c r="V843" s="230"/>
      <c r="W843" s="230"/>
      <c r="X843" s="230"/>
      <c r="Y843" s="230"/>
      <c r="Z843" s="230"/>
    </row>
    <row r="844" spans="1:26" ht="15.75" customHeight="1">
      <c r="A844" s="230"/>
      <c r="B844" s="230"/>
      <c r="C844" s="230"/>
      <c r="D844" s="230"/>
      <c r="E844" s="230"/>
      <c r="F844" s="230"/>
      <c r="G844" s="230"/>
      <c r="H844" s="230"/>
      <c r="I844" s="230"/>
      <c r="J844" s="230"/>
      <c r="K844" s="230"/>
      <c r="L844" s="230"/>
      <c r="M844" s="230"/>
      <c r="N844" s="230"/>
      <c r="O844" s="230"/>
      <c r="P844" s="230"/>
      <c r="Q844" s="230"/>
      <c r="R844" s="230"/>
      <c r="S844" s="230"/>
      <c r="T844" s="230"/>
      <c r="U844" s="230"/>
      <c r="V844" s="230"/>
      <c r="W844" s="230"/>
      <c r="X844" s="230"/>
      <c r="Y844" s="230"/>
      <c r="Z844" s="230"/>
    </row>
    <row r="845" spans="1:26" ht="15.75" customHeight="1">
      <c r="A845" s="230"/>
      <c r="B845" s="230"/>
      <c r="C845" s="230"/>
      <c r="D845" s="230"/>
      <c r="E845" s="230"/>
      <c r="F845" s="230"/>
      <c r="G845" s="230"/>
      <c r="H845" s="230"/>
      <c r="I845" s="230"/>
      <c r="J845" s="230"/>
      <c r="K845" s="230"/>
      <c r="L845" s="230"/>
      <c r="M845" s="230"/>
      <c r="N845" s="230"/>
      <c r="O845" s="230"/>
      <c r="P845" s="230"/>
      <c r="Q845" s="230"/>
      <c r="R845" s="230"/>
      <c r="S845" s="230"/>
      <c r="T845" s="230"/>
      <c r="U845" s="230"/>
      <c r="V845" s="230"/>
      <c r="W845" s="230"/>
      <c r="X845" s="230"/>
      <c r="Y845" s="230"/>
      <c r="Z845" s="230"/>
    </row>
    <row r="846" spans="1:26" ht="15.75" customHeight="1">
      <c r="A846" s="230"/>
      <c r="B846" s="230"/>
      <c r="C846" s="230"/>
      <c r="D846" s="230"/>
      <c r="E846" s="230"/>
      <c r="F846" s="230"/>
      <c r="G846" s="230"/>
      <c r="H846" s="230"/>
      <c r="I846" s="230"/>
      <c r="J846" s="230"/>
      <c r="K846" s="230"/>
      <c r="L846" s="230"/>
      <c r="M846" s="230"/>
      <c r="N846" s="230"/>
      <c r="O846" s="230"/>
      <c r="P846" s="230"/>
      <c r="Q846" s="230"/>
      <c r="R846" s="230"/>
      <c r="S846" s="230"/>
      <c r="T846" s="230"/>
      <c r="U846" s="230"/>
      <c r="V846" s="230"/>
      <c r="W846" s="230"/>
      <c r="X846" s="230"/>
      <c r="Y846" s="230"/>
      <c r="Z846" s="230"/>
    </row>
    <row r="847" spans="1:26" ht="15.75" customHeight="1">
      <c r="A847" s="230"/>
      <c r="B847" s="230"/>
      <c r="C847" s="230"/>
      <c r="D847" s="230"/>
      <c r="E847" s="230"/>
      <c r="F847" s="230"/>
      <c r="G847" s="230"/>
      <c r="H847" s="230"/>
      <c r="I847" s="230"/>
      <c r="J847" s="230"/>
      <c r="K847" s="230"/>
      <c r="L847" s="230"/>
      <c r="M847" s="230"/>
      <c r="N847" s="230"/>
      <c r="O847" s="230"/>
      <c r="P847" s="230"/>
      <c r="Q847" s="230"/>
      <c r="R847" s="230"/>
      <c r="S847" s="230"/>
      <c r="T847" s="230"/>
      <c r="U847" s="230"/>
      <c r="V847" s="230"/>
      <c r="W847" s="230"/>
      <c r="X847" s="230"/>
      <c r="Y847" s="230"/>
      <c r="Z847" s="230"/>
    </row>
    <row r="848" spans="1:26" ht="15.75" customHeight="1">
      <c r="A848" s="230"/>
      <c r="B848" s="230"/>
      <c r="C848" s="230"/>
      <c r="D848" s="230"/>
      <c r="E848" s="230"/>
      <c r="F848" s="230"/>
      <c r="G848" s="230"/>
      <c r="H848" s="230"/>
      <c r="I848" s="230"/>
      <c r="J848" s="230"/>
      <c r="K848" s="230"/>
      <c r="L848" s="230"/>
      <c r="M848" s="230"/>
      <c r="N848" s="230"/>
      <c r="O848" s="230"/>
      <c r="P848" s="230"/>
      <c r="Q848" s="230"/>
      <c r="R848" s="230"/>
      <c r="S848" s="230"/>
      <c r="T848" s="230"/>
      <c r="U848" s="230"/>
      <c r="V848" s="230"/>
      <c r="W848" s="230"/>
      <c r="X848" s="230"/>
      <c r="Y848" s="230"/>
      <c r="Z848" s="230"/>
    </row>
    <row r="849" spans="1:26" ht="15.75" customHeight="1">
      <c r="A849" s="230"/>
      <c r="B849" s="230"/>
      <c r="C849" s="230"/>
      <c r="D849" s="230"/>
      <c r="E849" s="230"/>
      <c r="F849" s="230"/>
      <c r="G849" s="230"/>
      <c r="H849" s="230"/>
      <c r="I849" s="230"/>
      <c r="J849" s="230"/>
      <c r="K849" s="230"/>
      <c r="L849" s="230"/>
      <c r="M849" s="230"/>
      <c r="N849" s="230"/>
      <c r="O849" s="230"/>
      <c r="P849" s="230"/>
      <c r="Q849" s="230"/>
      <c r="R849" s="230"/>
      <c r="S849" s="230"/>
      <c r="T849" s="230"/>
      <c r="U849" s="230"/>
      <c r="V849" s="230"/>
      <c r="W849" s="230"/>
      <c r="X849" s="230"/>
      <c r="Y849" s="230"/>
      <c r="Z849" s="230"/>
    </row>
    <row r="850" spans="1:26" ht="15.75" customHeight="1">
      <c r="A850" s="230"/>
      <c r="B850" s="230"/>
      <c r="C850" s="230"/>
      <c r="D850" s="230"/>
      <c r="E850" s="230"/>
      <c r="F850" s="230"/>
      <c r="G850" s="230"/>
      <c r="H850" s="230"/>
      <c r="I850" s="230"/>
      <c r="J850" s="230"/>
      <c r="K850" s="230"/>
      <c r="L850" s="230"/>
      <c r="M850" s="230"/>
      <c r="N850" s="230"/>
      <c r="O850" s="230"/>
      <c r="P850" s="230"/>
      <c r="Q850" s="230"/>
      <c r="R850" s="230"/>
      <c r="S850" s="230"/>
      <c r="T850" s="230"/>
      <c r="U850" s="230"/>
      <c r="V850" s="230"/>
      <c r="W850" s="230"/>
      <c r="X850" s="230"/>
      <c r="Y850" s="230"/>
      <c r="Z850" s="230"/>
    </row>
    <row r="851" spans="1:26" ht="15.75" customHeight="1">
      <c r="A851" s="230"/>
      <c r="B851" s="230"/>
      <c r="C851" s="230"/>
      <c r="D851" s="230"/>
      <c r="E851" s="230"/>
      <c r="F851" s="230"/>
      <c r="G851" s="230"/>
      <c r="H851" s="230"/>
      <c r="I851" s="230"/>
      <c r="J851" s="230"/>
      <c r="K851" s="230"/>
      <c r="L851" s="230"/>
      <c r="M851" s="230"/>
      <c r="N851" s="230"/>
      <c r="O851" s="230"/>
      <c r="P851" s="230"/>
      <c r="Q851" s="230"/>
      <c r="R851" s="230"/>
      <c r="S851" s="230"/>
      <c r="T851" s="230"/>
      <c r="U851" s="230"/>
      <c r="V851" s="230"/>
      <c r="W851" s="230"/>
      <c r="X851" s="230"/>
      <c r="Y851" s="230"/>
      <c r="Z851" s="230"/>
    </row>
    <row r="852" spans="1:26" ht="15.75" customHeight="1">
      <c r="A852" s="230"/>
      <c r="B852" s="230"/>
      <c r="C852" s="230"/>
      <c r="D852" s="230"/>
      <c r="E852" s="230"/>
      <c r="F852" s="230"/>
      <c r="G852" s="230"/>
      <c r="H852" s="230"/>
      <c r="I852" s="230"/>
      <c r="J852" s="230"/>
      <c r="K852" s="230"/>
      <c r="L852" s="230"/>
      <c r="M852" s="230"/>
      <c r="N852" s="230"/>
      <c r="O852" s="230"/>
      <c r="P852" s="230"/>
      <c r="Q852" s="230"/>
      <c r="R852" s="230"/>
      <c r="S852" s="230"/>
      <c r="T852" s="230"/>
      <c r="U852" s="230"/>
      <c r="V852" s="230"/>
      <c r="W852" s="230"/>
      <c r="X852" s="230"/>
      <c r="Y852" s="230"/>
      <c r="Z852" s="230"/>
    </row>
    <row r="853" spans="1:26" ht="15.75" customHeight="1">
      <c r="A853" s="230"/>
      <c r="B853" s="230"/>
      <c r="C853" s="230"/>
      <c r="D853" s="230"/>
      <c r="E853" s="230"/>
      <c r="F853" s="230"/>
      <c r="G853" s="230"/>
      <c r="H853" s="230"/>
      <c r="I853" s="230"/>
      <c r="J853" s="230"/>
      <c r="K853" s="230"/>
      <c r="L853" s="230"/>
      <c r="M853" s="230"/>
      <c r="N853" s="230"/>
      <c r="O853" s="230"/>
      <c r="P853" s="230"/>
      <c r="Q853" s="230"/>
      <c r="R853" s="230"/>
      <c r="S853" s="230"/>
      <c r="T853" s="230"/>
      <c r="U853" s="230"/>
      <c r="V853" s="230"/>
      <c r="W853" s="230"/>
      <c r="X853" s="230"/>
      <c r="Y853" s="230"/>
      <c r="Z853" s="230"/>
    </row>
    <row r="854" spans="1:26" ht="15.75" customHeight="1">
      <c r="A854" s="230"/>
      <c r="B854" s="230"/>
      <c r="C854" s="230"/>
      <c r="D854" s="230"/>
      <c r="E854" s="230"/>
      <c r="F854" s="230"/>
      <c r="G854" s="230"/>
      <c r="H854" s="230"/>
      <c r="I854" s="230"/>
      <c r="J854" s="230"/>
      <c r="K854" s="230"/>
      <c r="L854" s="230"/>
      <c r="M854" s="230"/>
      <c r="N854" s="230"/>
      <c r="O854" s="230"/>
      <c r="P854" s="230"/>
      <c r="Q854" s="230"/>
      <c r="R854" s="230"/>
      <c r="S854" s="230"/>
      <c r="T854" s="230"/>
      <c r="U854" s="230"/>
      <c r="V854" s="230"/>
      <c r="W854" s="230"/>
      <c r="X854" s="230"/>
      <c r="Y854" s="230"/>
      <c r="Z854" s="230"/>
    </row>
    <row r="855" spans="1:26" ht="15.75" customHeight="1">
      <c r="A855" s="230"/>
      <c r="B855" s="230"/>
      <c r="C855" s="230"/>
      <c r="D855" s="230"/>
      <c r="E855" s="230"/>
      <c r="F855" s="230"/>
      <c r="G855" s="230"/>
      <c r="H855" s="230"/>
      <c r="I855" s="230"/>
      <c r="J855" s="230"/>
      <c r="K855" s="230"/>
      <c r="L855" s="230"/>
      <c r="M855" s="230"/>
      <c r="N855" s="230"/>
      <c r="O855" s="230"/>
      <c r="P855" s="230"/>
      <c r="Q855" s="230"/>
      <c r="R855" s="230"/>
      <c r="S855" s="230"/>
      <c r="T855" s="230"/>
      <c r="U855" s="230"/>
      <c r="V855" s="230"/>
      <c r="W855" s="230"/>
      <c r="X855" s="230"/>
      <c r="Y855" s="230"/>
      <c r="Z855" s="230"/>
    </row>
    <row r="856" spans="1:26" ht="15.75" customHeight="1">
      <c r="A856" s="230"/>
      <c r="B856" s="230"/>
      <c r="C856" s="230"/>
      <c r="D856" s="230"/>
      <c r="E856" s="230"/>
      <c r="F856" s="230"/>
      <c r="G856" s="230"/>
      <c r="H856" s="230"/>
      <c r="I856" s="230"/>
      <c r="J856" s="230"/>
      <c r="K856" s="230"/>
      <c r="L856" s="230"/>
      <c r="M856" s="230"/>
      <c r="N856" s="230"/>
      <c r="O856" s="230"/>
      <c r="P856" s="230"/>
      <c r="Q856" s="230"/>
      <c r="R856" s="230"/>
      <c r="S856" s="230"/>
      <c r="T856" s="230"/>
      <c r="U856" s="230"/>
      <c r="V856" s="230"/>
      <c r="W856" s="230"/>
      <c r="X856" s="230"/>
      <c r="Y856" s="230"/>
      <c r="Z856" s="230"/>
    </row>
    <row r="857" spans="1:26" ht="15.75" customHeight="1">
      <c r="A857" s="230"/>
      <c r="B857" s="230"/>
      <c r="C857" s="230"/>
      <c r="D857" s="230"/>
      <c r="E857" s="230"/>
      <c r="F857" s="230"/>
      <c r="G857" s="230"/>
      <c r="H857" s="230"/>
      <c r="I857" s="230"/>
      <c r="J857" s="230"/>
      <c r="K857" s="230"/>
      <c r="L857" s="230"/>
      <c r="M857" s="230"/>
      <c r="N857" s="230"/>
      <c r="O857" s="230"/>
      <c r="P857" s="230"/>
      <c r="Q857" s="230"/>
      <c r="R857" s="230"/>
      <c r="S857" s="230"/>
      <c r="T857" s="230"/>
      <c r="U857" s="230"/>
      <c r="V857" s="230"/>
      <c r="W857" s="230"/>
      <c r="X857" s="230"/>
      <c r="Y857" s="230"/>
      <c r="Z857" s="230"/>
    </row>
    <row r="858" spans="1:26" ht="15.75" customHeight="1">
      <c r="A858" s="230"/>
      <c r="B858" s="230"/>
      <c r="C858" s="230"/>
      <c r="D858" s="230"/>
      <c r="E858" s="230"/>
      <c r="F858" s="230"/>
      <c r="G858" s="230"/>
      <c r="H858" s="230"/>
      <c r="I858" s="230"/>
      <c r="J858" s="230"/>
      <c r="K858" s="230"/>
      <c r="L858" s="230"/>
      <c r="M858" s="230"/>
      <c r="N858" s="230"/>
      <c r="O858" s="230"/>
      <c r="P858" s="230"/>
      <c r="Q858" s="230"/>
      <c r="R858" s="230"/>
      <c r="S858" s="230"/>
      <c r="T858" s="230"/>
      <c r="U858" s="230"/>
      <c r="V858" s="230"/>
      <c r="W858" s="230"/>
      <c r="X858" s="230"/>
      <c r="Y858" s="230"/>
      <c r="Z858" s="230"/>
    </row>
    <row r="859" spans="1:26" ht="15.75" customHeight="1">
      <c r="A859" s="230"/>
      <c r="B859" s="230"/>
      <c r="C859" s="230"/>
      <c r="D859" s="230"/>
      <c r="E859" s="230"/>
      <c r="F859" s="230"/>
      <c r="G859" s="230"/>
      <c r="H859" s="230"/>
      <c r="I859" s="230"/>
      <c r="J859" s="230"/>
      <c r="K859" s="230"/>
      <c r="L859" s="230"/>
      <c r="M859" s="230"/>
      <c r="N859" s="230"/>
      <c r="O859" s="230"/>
      <c r="P859" s="230"/>
      <c r="Q859" s="230"/>
      <c r="R859" s="230"/>
      <c r="S859" s="230"/>
      <c r="T859" s="230"/>
      <c r="U859" s="230"/>
      <c r="V859" s="230"/>
      <c r="W859" s="230"/>
      <c r="X859" s="230"/>
      <c r="Y859" s="230"/>
      <c r="Z859" s="230"/>
    </row>
    <row r="860" spans="1:26" ht="15.75" customHeight="1">
      <c r="A860" s="230"/>
      <c r="B860" s="230"/>
      <c r="C860" s="230"/>
      <c r="D860" s="230"/>
      <c r="E860" s="230"/>
      <c r="F860" s="230"/>
      <c r="G860" s="230"/>
      <c r="H860" s="230"/>
      <c r="I860" s="230"/>
      <c r="J860" s="230"/>
      <c r="K860" s="230"/>
      <c r="L860" s="230"/>
      <c r="M860" s="230"/>
      <c r="N860" s="230"/>
      <c r="O860" s="230"/>
      <c r="P860" s="230"/>
      <c r="Q860" s="230"/>
      <c r="R860" s="230"/>
      <c r="S860" s="230"/>
      <c r="T860" s="230"/>
      <c r="U860" s="230"/>
      <c r="V860" s="230"/>
      <c r="W860" s="230"/>
      <c r="X860" s="230"/>
      <c r="Y860" s="230"/>
      <c r="Z860" s="230"/>
    </row>
    <row r="861" spans="1:26" ht="15.75" customHeight="1">
      <c r="A861" s="230"/>
      <c r="B861" s="230"/>
      <c r="C861" s="230"/>
      <c r="D861" s="230"/>
      <c r="E861" s="230"/>
      <c r="F861" s="230"/>
      <c r="G861" s="230"/>
      <c r="H861" s="230"/>
      <c r="I861" s="230"/>
      <c r="J861" s="230"/>
      <c r="K861" s="230"/>
      <c r="L861" s="230"/>
      <c r="M861" s="230"/>
      <c r="N861" s="230"/>
      <c r="O861" s="230"/>
      <c r="P861" s="230"/>
      <c r="Q861" s="230"/>
      <c r="R861" s="230"/>
      <c r="S861" s="230"/>
      <c r="T861" s="230"/>
      <c r="U861" s="230"/>
      <c r="V861" s="230"/>
      <c r="W861" s="230"/>
      <c r="X861" s="230"/>
      <c r="Y861" s="230"/>
      <c r="Z861" s="230"/>
    </row>
    <row r="862" spans="1:26" ht="15.75" customHeight="1">
      <c r="A862" s="230"/>
      <c r="B862" s="230"/>
      <c r="C862" s="230"/>
      <c r="D862" s="230"/>
      <c r="E862" s="230"/>
      <c r="F862" s="230"/>
      <c r="G862" s="230"/>
      <c r="H862" s="230"/>
      <c r="I862" s="230"/>
      <c r="J862" s="230"/>
      <c r="K862" s="230"/>
      <c r="L862" s="230"/>
      <c r="M862" s="230"/>
      <c r="N862" s="230"/>
      <c r="O862" s="230"/>
      <c r="P862" s="230"/>
      <c r="Q862" s="230"/>
      <c r="R862" s="230"/>
      <c r="S862" s="230"/>
      <c r="T862" s="230"/>
      <c r="U862" s="230"/>
      <c r="V862" s="230"/>
      <c r="W862" s="230"/>
      <c r="X862" s="230"/>
      <c r="Y862" s="230"/>
      <c r="Z862" s="230"/>
    </row>
    <row r="863" spans="1:26" ht="15.75" customHeight="1">
      <c r="A863" s="230"/>
      <c r="B863" s="230"/>
      <c r="C863" s="230"/>
      <c r="D863" s="230"/>
      <c r="E863" s="230"/>
      <c r="F863" s="230"/>
      <c r="G863" s="230"/>
      <c r="H863" s="230"/>
      <c r="I863" s="230"/>
      <c r="J863" s="230"/>
      <c r="K863" s="230"/>
      <c r="L863" s="230"/>
      <c r="M863" s="230"/>
      <c r="N863" s="230"/>
      <c r="O863" s="230"/>
      <c r="P863" s="230"/>
      <c r="Q863" s="230"/>
      <c r="R863" s="230"/>
      <c r="S863" s="230"/>
      <c r="T863" s="230"/>
      <c r="U863" s="230"/>
      <c r="V863" s="230"/>
      <c r="W863" s="230"/>
      <c r="X863" s="230"/>
      <c r="Y863" s="230"/>
      <c r="Z863" s="230"/>
    </row>
    <row r="864" spans="1:26" ht="15.75" customHeight="1">
      <c r="A864" s="230"/>
      <c r="B864" s="230"/>
      <c r="C864" s="230"/>
      <c r="D864" s="230"/>
      <c r="E864" s="230"/>
      <c r="F864" s="230"/>
      <c r="G864" s="230"/>
      <c r="H864" s="230"/>
      <c r="I864" s="230"/>
      <c r="J864" s="230"/>
      <c r="K864" s="230"/>
      <c r="L864" s="230"/>
      <c r="M864" s="230"/>
      <c r="N864" s="230"/>
      <c r="O864" s="230"/>
      <c r="P864" s="230"/>
      <c r="Q864" s="230"/>
      <c r="R864" s="230"/>
      <c r="S864" s="230"/>
      <c r="T864" s="230"/>
      <c r="U864" s="230"/>
      <c r="V864" s="230"/>
      <c r="W864" s="230"/>
      <c r="X864" s="230"/>
      <c r="Y864" s="230"/>
      <c r="Z864" s="230"/>
    </row>
    <row r="865" spans="1:26" ht="15.75" customHeight="1">
      <c r="A865" s="230"/>
      <c r="B865" s="230"/>
      <c r="C865" s="230"/>
      <c r="D865" s="230"/>
      <c r="E865" s="230"/>
      <c r="F865" s="230"/>
      <c r="G865" s="230"/>
      <c r="H865" s="230"/>
      <c r="I865" s="230"/>
      <c r="J865" s="230"/>
      <c r="K865" s="230"/>
      <c r="L865" s="230"/>
      <c r="M865" s="230"/>
      <c r="N865" s="230"/>
      <c r="O865" s="230"/>
      <c r="P865" s="230"/>
      <c r="Q865" s="230"/>
      <c r="R865" s="230"/>
      <c r="S865" s="230"/>
      <c r="T865" s="230"/>
      <c r="U865" s="230"/>
      <c r="V865" s="230"/>
      <c r="W865" s="230"/>
      <c r="X865" s="230"/>
      <c r="Y865" s="230"/>
      <c r="Z865" s="230"/>
    </row>
    <row r="866" spans="1:26" ht="15.75" customHeight="1">
      <c r="A866" s="230"/>
      <c r="B866" s="230"/>
      <c r="C866" s="230"/>
      <c r="D866" s="230"/>
      <c r="E866" s="230"/>
      <c r="F866" s="230"/>
      <c r="G866" s="230"/>
      <c r="H866" s="230"/>
      <c r="I866" s="230"/>
      <c r="J866" s="230"/>
      <c r="K866" s="230"/>
      <c r="L866" s="230"/>
      <c r="M866" s="230"/>
      <c r="N866" s="230"/>
      <c r="O866" s="230"/>
      <c r="P866" s="230"/>
      <c r="Q866" s="230"/>
      <c r="R866" s="230"/>
      <c r="S866" s="230"/>
      <c r="T866" s="230"/>
      <c r="U866" s="230"/>
      <c r="V866" s="230"/>
      <c r="W866" s="230"/>
      <c r="X866" s="230"/>
      <c r="Y866" s="230"/>
      <c r="Z866" s="230"/>
    </row>
    <row r="867" spans="1:26" ht="15.75" customHeight="1">
      <c r="A867" s="230"/>
      <c r="B867" s="230"/>
      <c r="C867" s="230"/>
      <c r="D867" s="230"/>
      <c r="E867" s="230"/>
      <c r="F867" s="230"/>
      <c r="G867" s="230"/>
      <c r="H867" s="230"/>
      <c r="I867" s="230"/>
      <c r="J867" s="230"/>
      <c r="K867" s="230"/>
      <c r="L867" s="230"/>
      <c r="M867" s="230"/>
      <c r="N867" s="230"/>
      <c r="O867" s="230"/>
      <c r="P867" s="230"/>
      <c r="Q867" s="230"/>
      <c r="R867" s="230"/>
      <c r="S867" s="230"/>
      <c r="T867" s="230"/>
      <c r="U867" s="230"/>
      <c r="V867" s="230"/>
      <c r="W867" s="230"/>
      <c r="X867" s="230"/>
      <c r="Y867" s="230"/>
      <c r="Z867" s="230"/>
    </row>
    <row r="868" spans="1:26" ht="15.75" customHeight="1">
      <c r="A868" s="230"/>
      <c r="B868" s="230"/>
      <c r="C868" s="230"/>
      <c r="D868" s="230"/>
      <c r="E868" s="230"/>
      <c r="F868" s="230"/>
      <c r="G868" s="230"/>
      <c r="H868" s="230"/>
      <c r="I868" s="230"/>
      <c r="J868" s="230"/>
      <c r="K868" s="230"/>
      <c r="L868" s="230"/>
      <c r="M868" s="230"/>
      <c r="N868" s="230"/>
      <c r="O868" s="230"/>
      <c r="P868" s="230"/>
      <c r="Q868" s="230"/>
      <c r="R868" s="230"/>
      <c r="S868" s="230"/>
      <c r="T868" s="230"/>
      <c r="U868" s="230"/>
      <c r="V868" s="230"/>
      <c r="W868" s="230"/>
      <c r="X868" s="230"/>
      <c r="Y868" s="230"/>
      <c r="Z868" s="230"/>
    </row>
    <row r="869" spans="1:26" ht="15.75" customHeight="1">
      <c r="A869" s="230"/>
      <c r="B869" s="230"/>
      <c r="C869" s="230"/>
      <c r="D869" s="230"/>
      <c r="E869" s="230"/>
      <c r="F869" s="230"/>
      <c r="G869" s="230"/>
      <c r="H869" s="230"/>
      <c r="I869" s="230"/>
      <c r="J869" s="230"/>
      <c r="K869" s="230"/>
      <c r="L869" s="230"/>
      <c r="M869" s="230"/>
      <c r="N869" s="230"/>
      <c r="O869" s="230"/>
      <c r="P869" s="230"/>
      <c r="Q869" s="230"/>
      <c r="R869" s="230"/>
      <c r="S869" s="230"/>
      <c r="T869" s="230"/>
      <c r="U869" s="230"/>
      <c r="V869" s="230"/>
      <c r="W869" s="230"/>
      <c r="X869" s="230"/>
      <c r="Y869" s="230"/>
      <c r="Z869" s="230"/>
    </row>
    <row r="870" spans="1:26" ht="15.75" customHeight="1">
      <c r="A870" s="230"/>
      <c r="B870" s="230"/>
      <c r="C870" s="230"/>
      <c r="D870" s="230"/>
      <c r="E870" s="230"/>
      <c r="F870" s="230"/>
      <c r="G870" s="230"/>
      <c r="H870" s="230"/>
      <c r="I870" s="230"/>
      <c r="J870" s="230"/>
      <c r="K870" s="230"/>
      <c r="L870" s="230"/>
      <c r="M870" s="230"/>
      <c r="N870" s="230"/>
      <c r="O870" s="230"/>
      <c r="P870" s="230"/>
      <c r="Q870" s="230"/>
      <c r="R870" s="230"/>
      <c r="S870" s="230"/>
      <c r="T870" s="230"/>
      <c r="U870" s="230"/>
      <c r="V870" s="230"/>
      <c r="W870" s="230"/>
      <c r="X870" s="230"/>
      <c r="Y870" s="230"/>
      <c r="Z870" s="230"/>
    </row>
    <row r="871" spans="1:26" ht="15.75" customHeight="1">
      <c r="A871" s="230"/>
      <c r="B871" s="230"/>
      <c r="C871" s="230"/>
      <c r="D871" s="230"/>
      <c r="E871" s="230"/>
      <c r="F871" s="230"/>
      <c r="G871" s="230"/>
      <c r="H871" s="230"/>
      <c r="I871" s="230"/>
      <c r="J871" s="230"/>
      <c r="K871" s="230"/>
      <c r="L871" s="230"/>
      <c r="M871" s="230"/>
      <c r="N871" s="230"/>
      <c r="O871" s="230"/>
      <c r="P871" s="230"/>
      <c r="Q871" s="230"/>
      <c r="R871" s="230"/>
      <c r="S871" s="230"/>
      <c r="T871" s="230"/>
      <c r="U871" s="230"/>
      <c r="V871" s="230"/>
      <c r="W871" s="230"/>
      <c r="X871" s="230"/>
      <c r="Y871" s="230"/>
      <c r="Z871" s="230"/>
    </row>
    <row r="872" spans="1:26" ht="15.75" customHeight="1">
      <c r="A872" s="230"/>
      <c r="B872" s="230"/>
      <c r="C872" s="230"/>
      <c r="D872" s="230"/>
      <c r="E872" s="230"/>
      <c r="F872" s="230"/>
      <c r="G872" s="230"/>
      <c r="H872" s="230"/>
      <c r="I872" s="230"/>
      <c r="J872" s="230"/>
      <c r="K872" s="230"/>
      <c r="L872" s="230"/>
      <c r="M872" s="230"/>
      <c r="N872" s="230"/>
      <c r="O872" s="230"/>
      <c r="P872" s="230"/>
      <c r="Q872" s="230"/>
      <c r="R872" s="230"/>
      <c r="S872" s="230"/>
      <c r="T872" s="230"/>
      <c r="U872" s="230"/>
      <c r="V872" s="230"/>
      <c r="W872" s="230"/>
      <c r="X872" s="230"/>
      <c r="Y872" s="230"/>
      <c r="Z872" s="230"/>
    </row>
    <row r="873" spans="1:26" ht="15.75" customHeight="1">
      <c r="A873" s="230"/>
      <c r="B873" s="230"/>
      <c r="C873" s="230"/>
      <c r="D873" s="230"/>
      <c r="E873" s="230"/>
      <c r="F873" s="230"/>
      <c r="G873" s="230"/>
      <c r="H873" s="230"/>
      <c r="I873" s="230"/>
      <c r="J873" s="230"/>
      <c r="K873" s="230"/>
      <c r="L873" s="230"/>
      <c r="M873" s="230"/>
      <c r="N873" s="230"/>
      <c r="O873" s="230"/>
      <c r="P873" s="230"/>
      <c r="Q873" s="230"/>
      <c r="R873" s="230"/>
      <c r="S873" s="230"/>
      <c r="T873" s="230"/>
      <c r="U873" s="230"/>
      <c r="V873" s="230"/>
      <c r="W873" s="230"/>
      <c r="X873" s="230"/>
      <c r="Y873" s="230"/>
      <c r="Z873" s="230"/>
    </row>
    <row r="874" spans="1:26" ht="15.75" customHeight="1">
      <c r="A874" s="230"/>
      <c r="B874" s="230"/>
      <c r="C874" s="230"/>
      <c r="D874" s="230"/>
      <c r="E874" s="230"/>
      <c r="F874" s="230"/>
      <c r="G874" s="230"/>
      <c r="H874" s="230"/>
      <c r="I874" s="230"/>
      <c r="J874" s="230"/>
      <c r="K874" s="230"/>
      <c r="L874" s="230"/>
      <c r="M874" s="230"/>
      <c r="N874" s="230"/>
      <c r="O874" s="230"/>
      <c r="P874" s="230"/>
      <c r="Q874" s="230"/>
      <c r="R874" s="230"/>
      <c r="S874" s="230"/>
      <c r="T874" s="230"/>
      <c r="U874" s="230"/>
      <c r="V874" s="230"/>
      <c r="W874" s="230"/>
      <c r="X874" s="230"/>
      <c r="Y874" s="230"/>
      <c r="Z874" s="230"/>
    </row>
    <row r="875" spans="1:26" ht="15.75" customHeight="1">
      <c r="A875" s="230"/>
      <c r="B875" s="230"/>
      <c r="C875" s="230"/>
      <c r="D875" s="230"/>
      <c r="E875" s="230"/>
      <c r="F875" s="230"/>
      <c r="G875" s="230"/>
      <c r="H875" s="230"/>
      <c r="I875" s="230"/>
      <c r="J875" s="230"/>
      <c r="K875" s="230"/>
      <c r="L875" s="230"/>
      <c r="M875" s="230"/>
      <c r="N875" s="230"/>
      <c r="O875" s="230"/>
      <c r="P875" s="230"/>
      <c r="Q875" s="230"/>
      <c r="R875" s="230"/>
      <c r="S875" s="230"/>
      <c r="T875" s="230"/>
      <c r="U875" s="230"/>
      <c r="V875" s="230"/>
      <c r="W875" s="230"/>
      <c r="X875" s="230"/>
      <c r="Y875" s="230"/>
      <c r="Z875" s="230"/>
    </row>
    <row r="876" spans="1:26" ht="15.75" customHeight="1">
      <c r="A876" s="230"/>
      <c r="B876" s="230"/>
      <c r="C876" s="230"/>
      <c r="D876" s="230"/>
      <c r="E876" s="230"/>
      <c r="F876" s="230"/>
      <c r="G876" s="230"/>
      <c r="H876" s="230"/>
      <c r="I876" s="230"/>
      <c r="J876" s="230"/>
      <c r="K876" s="230"/>
      <c r="L876" s="230"/>
      <c r="M876" s="230"/>
      <c r="N876" s="230"/>
      <c r="O876" s="230"/>
      <c r="P876" s="230"/>
      <c r="Q876" s="230"/>
      <c r="R876" s="230"/>
      <c r="S876" s="230"/>
      <c r="T876" s="230"/>
      <c r="U876" s="230"/>
      <c r="V876" s="230"/>
      <c r="W876" s="230"/>
      <c r="X876" s="230"/>
      <c r="Y876" s="230"/>
      <c r="Z876" s="230"/>
    </row>
    <row r="877" spans="1:26" ht="15.75" customHeight="1">
      <c r="A877" s="230"/>
      <c r="B877" s="230"/>
      <c r="C877" s="230"/>
      <c r="D877" s="230"/>
      <c r="E877" s="230"/>
      <c r="F877" s="230"/>
      <c r="G877" s="230"/>
      <c r="H877" s="230"/>
      <c r="I877" s="230"/>
      <c r="J877" s="230"/>
      <c r="K877" s="230"/>
      <c r="L877" s="230"/>
      <c r="M877" s="230"/>
      <c r="N877" s="230"/>
      <c r="O877" s="230"/>
      <c r="P877" s="230"/>
      <c r="Q877" s="230"/>
      <c r="R877" s="230"/>
      <c r="S877" s="230"/>
      <c r="T877" s="230"/>
      <c r="U877" s="230"/>
      <c r="V877" s="230"/>
      <c r="W877" s="230"/>
      <c r="X877" s="230"/>
      <c r="Y877" s="230"/>
      <c r="Z877" s="230"/>
    </row>
    <row r="878" spans="1:26" ht="15.75" customHeight="1">
      <c r="A878" s="230"/>
      <c r="B878" s="230"/>
      <c r="C878" s="230"/>
      <c r="D878" s="230"/>
      <c r="E878" s="230"/>
      <c r="F878" s="230"/>
      <c r="G878" s="230"/>
      <c r="H878" s="230"/>
      <c r="I878" s="230"/>
      <c r="J878" s="230"/>
      <c r="K878" s="230"/>
      <c r="L878" s="230"/>
      <c r="M878" s="230"/>
      <c r="N878" s="230"/>
      <c r="O878" s="230"/>
      <c r="P878" s="230"/>
      <c r="Q878" s="230"/>
      <c r="R878" s="230"/>
      <c r="S878" s="230"/>
      <c r="T878" s="230"/>
      <c r="U878" s="230"/>
      <c r="V878" s="230"/>
      <c r="W878" s="230"/>
      <c r="X878" s="230"/>
      <c r="Y878" s="230"/>
      <c r="Z878" s="230"/>
    </row>
    <row r="879" spans="1:26" ht="15.75" customHeight="1">
      <c r="A879" s="230"/>
      <c r="B879" s="230"/>
      <c r="C879" s="230"/>
      <c r="D879" s="230"/>
      <c r="E879" s="230"/>
      <c r="F879" s="230"/>
      <c r="G879" s="230"/>
      <c r="H879" s="230"/>
      <c r="I879" s="230"/>
      <c r="J879" s="230"/>
      <c r="K879" s="230"/>
      <c r="L879" s="230"/>
      <c r="M879" s="230"/>
      <c r="N879" s="230"/>
      <c r="O879" s="230"/>
      <c r="P879" s="230"/>
      <c r="Q879" s="230"/>
      <c r="R879" s="230"/>
      <c r="S879" s="230"/>
      <c r="T879" s="230"/>
      <c r="U879" s="230"/>
      <c r="V879" s="230"/>
      <c r="W879" s="230"/>
      <c r="X879" s="230"/>
      <c r="Y879" s="230"/>
      <c r="Z879" s="230"/>
    </row>
    <row r="880" spans="1:26" ht="15.75" customHeight="1">
      <c r="A880" s="230"/>
      <c r="B880" s="230"/>
      <c r="C880" s="230"/>
      <c r="D880" s="230"/>
      <c r="E880" s="230"/>
      <c r="F880" s="230"/>
      <c r="G880" s="230"/>
      <c r="H880" s="230"/>
      <c r="I880" s="230"/>
      <c r="J880" s="230"/>
      <c r="K880" s="230"/>
      <c r="L880" s="230"/>
      <c r="M880" s="230"/>
      <c r="N880" s="230"/>
      <c r="O880" s="230"/>
      <c r="P880" s="230"/>
      <c r="Q880" s="230"/>
      <c r="R880" s="230"/>
      <c r="S880" s="230"/>
      <c r="T880" s="230"/>
      <c r="U880" s="230"/>
      <c r="V880" s="230"/>
      <c r="W880" s="230"/>
      <c r="X880" s="230"/>
      <c r="Y880" s="230"/>
      <c r="Z880" s="230"/>
    </row>
    <row r="881" spans="1:26" ht="15.75" customHeight="1">
      <c r="A881" s="230"/>
      <c r="B881" s="230"/>
      <c r="C881" s="230"/>
      <c r="D881" s="230"/>
      <c r="E881" s="230"/>
      <c r="F881" s="230"/>
      <c r="G881" s="230"/>
      <c r="H881" s="230"/>
      <c r="I881" s="230"/>
      <c r="J881" s="230"/>
      <c r="K881" s="230"/>
      <c r="L881" s="230"/>
      <c r="M881" s="230"/>
      <c r="N881" s="230"/>
      <c r="O881" s="230"/>
      <c r="P881" s="230"/>
      <c r="Q881" s="230"/>
      <c r="R881" s="230"/>
      <c r="S881" s="230"/>
      <c r="T881" s="230"/>
      <c r="U881" s="230"/>
      <c r="V881" s="230"/>
      <c r="W881" s="230"/>
      <c r="X881" s="230"/>
      <c r="Y881" s="230"/>
      <c r="Z881" s="230"/>
    </row>
    <row r="882" spans="1:26" ht="15.75" customHeight="1">
      <c r="A882" s="230"/>
      <c r="B882" s="230"/>
      <c r="C882" s="230"/>
      <c r="D882" s="230"/>
      <c r="E882" s="230"/>
      <c r="F882" s="230"/>
      <c r="G882" s="230"/>
      <c r="H882" s="230"/>
      <c r="I882" s="230"/>
      <c r="J882" s="230"/>
      <c r="K882" s="230"/>
      <c r="L882" s="230"/>
      <c r="M882" s="230"/>
      <c r="N882" s="230"/>
      <c r="O882" s="230"/>
      <c r="P882" s="230"/>
      <c r="Q882" s="230"/>
      <c r="R882" s="230"/>
      <c r="S882" s="230"/>
      <c r="T882" s="230"/>
      <c r="U882" s="230"/>
      <c r="V882" s="230"/>
      <c r="W882" s="230"/>
      <c r="X882" s="230"/>
      <c r="Y882" s="230"/>
      <c r="Z882" s="230"/>
    </row>
    <row r="883" spans="1:26" ht="15.75" customHeight="1">
      <c r="A883" s="230"/>
      <c r="B883" s="230"/>
      <c r="C883" s="230"/>
      <c r="D883" s="230"/>
      <c r="E883" s="230"/>
      <c r="F883" s="230"/>
      <c r="G883" s="230"/>
      <c r="H883" s="230"/>
      <c r="I883" s="230"/>
      <c r="J883" s="230"/>
      <c r="K883" s="230"/>
      <c r="L883" s="230"/>
      <c r="M883" s="230"/>
      <c r="N883" s="230"/>
      <c r="O883" s="230"/>
      <c r="P883" s="230"/>
      <c r="Q883" s="230"/>
      <c r="R883" s="230"/>
      <c r="S883" s="230"/>
      <c r="T883" s="230"/>
      <c r="U883" s="230"/>
      <c r="V883" s="230"/>
      <c r="W883" s="230"/>
      <c r="X883" s="230"/>
      <c r="Y883" s="230"/>
      <c r="Z883" s="230"/>
    </row>
    <row r="884" spans="1:26" ht="15.75" customHeight="1">
      <c r="A884" s="230"/>
      <c r="B884" s="230"/>
      <c r="C884" s="230"/>
      <c r="D884" s="230"/>
      <c r="E884" s="230"/>
      <c r="F884" s="230"/>
      <c r="G884" s="230"/>
      <c r="H884" s="230"/>
      <c r="I884" s="230"/>
      <c r="J884" s="230"/>
      <c r="K884" s="230"/>
      <c r="L884" s="230"/>
      <c r="M884" s="230"/>
      <c r="N884" s="230"/>
      <c r="O884" s="230"/>
      <c r="P884" s="230"/>
      <c r="Q884" s="230"/>
      <c r="R884" s="230"/>
      <c r="S884" s="230"/>
      <c r="T884" s="230"/>
      <c r="U884" s="230"/>
      <c r="V884" s="230"/>
      <c r="W884" s="230"/>
      <c r="X884" s="230"/>
      <c r="Y884" s="230"/>
      <c r="Z884" s="230"/>
    </row>
    <row r="885" spans="1:26" ht="15.75" customHeight="1">
      <c r="A885" s="230"/>
      <c r="B885" s="230"/>
      <c r="C885" s="230"/>
      <c r="D885" s="230"/>
      <c r="E885" s="230"/>
      <c r="F885" s="230"/>
      <c r="G885" s="230"/>
      <c r="H885" s="230"/>
      <c r="I885" s="230"/>
      <c r="J885" s="230"/>
      <c r="K885" s="230"/>
      <c r="L885" s="230"/>
      <c r="M885" s="230"/>
      <c r="N885" s="230"/>
      <c r="O885" s="230"/>
      <c r="P885" s="230"/>
      <c r="Q885" s="230"/>
      <c r="R885" s="230"/>
      <c r="S885" s="230"/>
      <c r="T885" s="230"/>
      <c r="U885" s="230"/>
      <c r="V885" s="230"/>
      <c r="W885" s="230"/>
      <c r="X885" s="230"/>
      <c r="Y885" s="230"/>
      <c r="Z885" s="230"/>
    </row>
    <row r="886" spans="1:26" ht="15.75" customHeight="1">
      <c r="A886" s="230"/>
      <c r="B886" s="230"/>
      <c r="C886" s="230"/>
      <c r="D886" s="230"/>
      <c r="E886" s="230"/>
      <c r="F886" s="230"/>
      <c r="G886" s="230"/>
      <c r="H886" s="230"/>
      <c r="I886" s="230"/>
      <c r="J886" s="230"/>
      <c r="K886" s="230"/>
      <c r="L886" s="230"/>
      <c r="M886" s="230"/>
      <c r="N886" s="230"/>
      <c r="O886" s="230"/>
      <c r="P886" s="230"/>
      <c r="Q886" s="230"/>
      <c r="R886" s="230"/>
      <c r="S886" s="230"/>
      <c r="T886" s="230"/>
      <c r="U886" s="230"/>
      <c r="V886" s="230"/>
      <c r="W886" s="230"/>
      <c r="X886" s="230"/>
      <c r="Y886" s="230"/>
      <c r="Z886" s="230"/>
    </row>
    <row r="887" spans="1:26" ht="15.75" customHeight="1">
      <c r="A887" s="230"/>
      <c r="B887" s="230"/>
      <c r="C887" s="230"/>
      <c r="D887" s="230"/>
      <c r="E887" s="230"/>
      <c r="F887" s="230"/>
      <c r="G887" s="230"/>
      <c r="H887" s="230"/>
      <c r="I887" s="230"/>
      <c r="J887" s="230"/>
      <c r="K887" s="230"/>
      <c r="L887" s="230"/>
      <c r="M887" s="230"/>
      <c r="N887" s="230"/>
      <c r="O887" s="230"/>
      <c r="P887" s="230"/>
      <c r="Q887" s="230"/>
      <c r="R887" s="230"/>
      <c r="S887" s="230"/>
      <c r="T887" s="230"/>
      <c r="U887" s="230"/>
      <c r="V887" s="230"/>
      <c r="W887" s="230"/>
      <c r="X887" s="230"/>
      <c r="Y887" s="230"/>
      <c r="Z887" s="230"/>
    </row>
    <row r="888" spans="1:26" ht="15.75" customHeight="1">
      <c r="A888" s="230"/>
      <c r="B888" s="230"/>
      <c r="C888" s="230"/>
      <c r="D888" s="230"/>
      <c r="E888" s="230"/>
      <c r="F888" s="230"/>
      <c r="G888" s="230"/>
      <c r="H888" s="230"/>
      <c r="I888" s="230"/>
      <c r="J888" s="230"/>
      <c r="K888" s="230"/>
      <c r="L888" s="230"/>
      <c r="M888" s="230"/>
      <c r="N888" s="230"/>
      <c r="O888" s="230"/>
      <c r="P888" s="230"/>
      <c r="Q888" s="230"/>
      <c r="R888" s="230"/>
      <c r="S888" s="230"/>
      <c r="T888" s="230"/>
      <c r="U888" s="230"/>
      <c r="V888" s="230"/>
      <c r="W888" s="230"/>
      <c r="X888" s="230"/>
      <c r="Y888" s="230"/>
      <c r="Z888" s="230"/>
    </row>
    <row r="889" spans="1:26" ht="15.75" customHeight="1">
      <c r="A889" s="230"/>
      <c r="B889" s="230"/>
      <c r="C889" s="230"/>
      <c r="D889" s="230"/>
      <c r="E889" s="230"/>
      <c r="F889" s="230"/>
      <c r="G889" s="230"/>
      <c r="H889" s="230"/>
      <c r="I889" s="230"/>
      <c r="J889" s="230"/>
      <c r="K889" s="230"/>
      <c r="L889" s="230"/>
      <c r="M889" s="230"/>
      <c r="N889" s="230"/>
      <c r="O889" s="230"/>
      <c r="P889" s="230"/>
      <c r="Q889" s="230"/>
      <c r="R889" s="230"/>
      <c r="S889" s="230"/>
      <c r="T889" s="230"/>
      <c r="U889" s="230"/>
      <c r="V889" s="230"/>
      <c r="W889" s="230"/>
      <c r="X889" s="230"/>
      <c r="Y889" s="230"/>
      <c r="Z889" s="230"/>
    </row>
    <row r="890" spans="1:26" ht="15.75" customHeight="1">
      <c r="A890" s="230"/>
      <c r="B890" s="230"/>
      <c r="C890" s="230"/>
      <c r="D890" s="230"/>
      <c r="E890" s="230"/>
      <c r="F890" s="230"/>
      <c r="G890" s="230"/>
      <c r="H890" s="230"/>
      <c r="I890" s="230"/>
      <c r="J890" s="230"/>
      <c r="K890" s="230"/>
      <c r="L890" s="230"/>
      <c r="M890" s="230"/>
      <c r="N890" s="230"/>
      <c r="O890" s="230"/>
      <c r="P890" s="230"/>
      <c r="Q890" s="230"/>
      <c r="R890" s="230"/>
      <c r="S890" s="230"/>
      <c r="T890" s="230"/>
      <c r="U890" s="230"/>
      <c r="V890" s="230"/>
      <c r="W890" s="230"/>
      <c r="X890" s="230"/>
      <c r="Y890" s="230"/>
      <c r="Z890" s="230"/>
    </row>
    <row r="891" spans="1:26" ht="15.75" customHeight="1">
      <c r="A891" s="230"/>
      <c r="B891" s="230"/>
      <c r="C891" s="230"/>
      <c r="D891" s="230"/>
      <c r="E891" s="230"/>
      <c r="F891" s="230"/>
      <c r="G891" s="230"/>
      <c r="H891" s="230"/>
      <c r="I891" s="230"/>
      <c r="J891" s="230"/>
      <c r="K891" s="230"/>
      <c r="L891" s="230"/>
      <c r="M891" s="230"/>
      <c r="N891" s="230"/>
      <c r="O891" s="230"/>
      <c r="P891" s="230"/>
      <c r="Q891" s="230"/>
      <c r="R891" s="230"/>
      <c r="S891" s="230"/>
      <c r="T891" s="230"/>
      <c r="U891" s="230"/>
      <c r="V891" s="230"/>
      <c r="W891" s="230"/>
      <c r="X891" s="230"/>
      <c r="Y891" s="230"/>
      <c r="Z891" s="230"/>
    </row>
    <row r="892" spans="1:26" ht="15.75" customHeight="1">
      <c r="A892" s="230"/>
      <c r="B892" s="230"/>
      <c r="C892" s="230"/>
      <c r="D892" s="230"/>
      <c r="E892" s="230"/>
      <c r="F892" s="230"/>
      <c r="G892" s="230"/>
      <c r="H892" s="230"/>
      <c r="I892" s="230"/>
      <c r="J892" s="230"/>
      <c r="K892" s="230"/>
      <c r="L892" s="230"/>
      <c r="M892" s="230"/>
      <c r="N892" s="230"/>
      <c r="O892" s="230"/>
      <c r="P892" s="230"/>
      <c r="Q892" s="230"/>
      <c r="R892" s="230"/>
      <c r="S892" s="230"/>
      <c r="T892" s="230"/>
      <c r="U892" s="230"/>
      <c r="V892" s="230"/>
      <c r="W892" s="230"/>
      <c r="X892" s="230"/>
      <c r="Y892" s="230"/>
      <c r="Z892" s="230"/>
    </row>
    <row r="893" spans="1:26" ht="15.75" customHeight="1">
      <c r="A893" s="230"/>
      <c r="B893" s="230"/>
      <c r="C893" s="230"/>
      <c r="D893" s="230"/>
      <c r="E893" s="230"/>
      <c r="F893" s="230"/>
      <c r="G893" s="230"/>
      <c r="H893" s="230"/>
      <c r="I893" s="230"/>
      <c r="J893" s="230"/>
      <c r="K893" s="230"/>
      <c r="L893" s="230"/>
      <c r="M893" s="230"/>
      <c r="N893" s="230"/>
      <c r="O893" s="230"/>
      <c r="P893" s="230"/>
      <c r="Q893" s="230"/>
      <c r="R893" s="230"/>
      <c r="S893" s="230"/>
      <c r="T893" s="230"/>
      <c r="U893" s="230"/>
      <c r="V893" s="230"/>
      <c r="W893" s="230"/>
      <c r="X893" s="230"/>
      <c r="Y893" s="230"/>
      <c r="Z893" s="230"/>
    </row>
    <row r="894" spans="1:26" ht="15.75" customHeight="1">
      <c r="A894" s="230"/>
      <c r="B894" s="230"/>
      <c r="C894" s="230"/>
      <c r="D894" s="230"/>
      <c r="E894" s="230"/>
      <c r="F894" s="230"/>
      <c r="G894" s="230"/>
      <c r="H894" s="230"/>
      <c r="I894" s="230"/>
      <c r="J894" s="230"/>
      <c r="K894" s="230"/>
      <c r="L894" s="230"/>
      <c r="M894" s="230"/>
      <c r="N894" s="230"/>
      <c r="O894" s="230"/>
      <c r="P894" s="230"/>
      <c r="Q894" s="230"/>
      <c r="R894" s="230"/>
      <c r="S894" s="230"/>
      <c r="T894" s="230"/>
      <c r="U894" s="230"/>
      <c r="V894" s="230"/>
      <c r="W894" s="230"/>
      <c r="X894" s="230"/>
      <c r="Y894" s="230"/>
      <c r="Z894" s="230"/>
    </row>
    <row r="895" spans="1:26" ht="15.75" customHeight="1">
      <c r="A895" s="230"/>
      <c r="B895" s="230"/>
      <c r="C895" s="230"/>
      <c r="D895" s="230"/>
      <c r="E895" s="230"/>
      <c r="F895" s="230"/>
      <c r="G895" s="230"/>
      <c r="H895" s="230"/>
      <c r="I895" s="230"/>
      <c r="J895" s="230"/>
      <c r="K895" s="230"/>
      <c r="L895" s="230"/>
      <c r="M895" s="230"/>
      <c r="N895" s="230"/>
      <c r="O895" s="230"/>
      <c r="P895" s="230"/>
      <c r="Q895" s="230"/>
      <c r="R895" s="230"/>
      <c r="S895" s="230"/>
      <c r="T895" s="230"/>
      <c r="U895" s="230"/>
      <c r="V895" s="230"/>
      <c r="W895" s="230"/>
      <c r="X895" s="230"/>
      <c r="Y895" s="230"/>
      <c r="Z895" s="230"/>
    </row>
    <row r="896" spans="1:26" ht="15.75" customHeight="1">
      <c r="A896" s="230"/>
      <c r="B896" s="230"/>
      <c r="C896" s="230"/>
      <c r="D896" s="230"/>
      <c r="E896" s="230"/>
      <c r="F896" s="230"/>
      <c r="G896" s="230"/>
      <c r="H896" s="230"/>
      <c r="I896" s="230"/>
      <c r="J896" s="230"/>
      <c r="K896" s="230"/>
      <c r="L896" s="230"/>
      <c r="M896" s="230"/>
      <c r="N896" s="230"/>
      <c r="O896" s="230"/>
      <c r="P896" s="230"/>
      <c r="Q896" s="230"/>
      <c r="R896" s="230"/>
      <c r="S896" s="230"/>
      <c r="T896" s="230"/>
      <c r="U896" s="230"/>
      <c r="V896" s="230"/>
      <c r="W896" s="230"/>
      <c r="X896" s="230"/>
      <c r="Y896" s="230"/>
      <c r="Z896" s="230"/>
    </row>
    <row r="897" spans="1:26" ht="15.75" customHeight="1">
      <c r="A897" s="230"/>
      <c r="B897" s="230"/>
      <c r="C897" s="230"/>
      <c r="D897" s="230"/>
      <c r="E897" s="230"/>
      <c r="F897" s="230"/>
      <c r="G897" s="230"/>
      <c r="H897" s="230"/>
      <c r="I897" s="230"/>
      <c r="J897" s="230"/>
      <c r="K897" s="230"/>
      <c r="L897" s="230"/>
      <c r="M897" s="230"/>
      <c r="N897" s="230"/>
      <c r="O897" s="230"/>
      <c r="P897" s="230"/>
      <c r="Q897" s="230"/>
      <c r="R897" s="230"/>
      <c r="S897" s="230"/>
      <c r="T897" s="230"/>
      <c r="U897" s="230"/>
      <c r="V897" s="230"/>
      <c r="W897" s="230"/>
      <c r="X897" s="230"/>
      <c r="Y897" s="230"/>
      <c r="Z897" s="230"/>
    </row>
    <row r="898" spans="1:26" ht="15.75" customHeight="1">
      <c r="A898" s="230"/>
      <c r="B898" s="230"/>
      <c r="C898" s="230"/>
      <c r="D898" s="230"/>
      <c r="E898" s="230"/>
      <c r="F898" s="230"/>
      <c r="G898" s="230"/>
      <c r="H898" s="230"/>
      <c r="I898" s="230"/>
      <c r="J898" s="230"/>
      <c r="K898" s="230"/>
      <c r="L898" s="230"/>
      <c r="M898" s="230"/>
      <c r="N898" s="230"/>
      <c r="O898" s="230"/>
      <c r="P898" s="230"/>
      <c r="Q898" s="230"/>
      <c r="R898" s="230"/>
      <c r="S898" s="230"/>
      <c r="T898" s="230"/>
      <c r="U898" s="230"/>
      <c r="V898" s="230"/>
      <c r="W898" s="230"/>
      <c r="X898" s="230"/>
      <c r="Y898" s="230"/>
      <c r="Z898" s="230"/>
    </row>
    <row r="899" spans="1:26" ht="15.75" customHeight="1">
      <c r="A899" s="230"/>
      <c r="B899" s="230"/>
      <c r="C899" s="230"/>
      <c r="D899" s="230"/>
      <c r="E899" s="230"/>
      <c r="F899" s="230"/>
      <c r="G899" s="230"/>
      <c r="H899" s="230"/>
      <c r="I899" s="230"/>
      <c r="J899" s="230"/>
      <c r="K899" s="230"/>
      <c r="L899" s="230"/>
      <c r="M899" s="230"/>
      <c r="N899" s="230"/>
      <c r="O899" s="230"/>
      <c r="P899" s="230"/>
      <c r="Q899" s="230"/>
      <c r="R899" s="230"/>
      <c r="S899" s="230"/>
      <c r="T899" s="230"/>
      <c r="U899" s="230"/>
      <c r="V899" s="230"/>
      <c r="W899" s="230"/>
      <c r="X899" s="230"/>
      <c r="Y899" s="230"/>
      <c r="Z899" s="230"/>
    </row>
    <row r="900" spans="1:26" ht="15.75" customHeight="1">
      <c r="A900" s="230"/>
      <c r="B900" s="230"/>
      <c r="C900" s="230"/>
      <c r="D900" s="230"/>
      <c r="E900" s="230"/>
      <c r="F900" s="230"/>
      <c r="G900" s="230"/>
      <c r="H900" s="230"/>
      <c r="I900" s="230"/>
      <c r="J900" s="230"/>
      <c r="K900" s="230"/>
      <c r="L900" s="230"/>
      <c r="M900" s="230"/>
      <c r="N900" s="230"/>
      <c r="O900" s="230"/>
      <c r="P900" s="230"/>
      <c r="Q900" s="230"/>
      <c r="R900" s="230"/>
      <c r="S900" s="230"/>
      <c r="T900" s="230"/>
      <c r="U900" s="230"/>
      <c r="V900" s="230"/>
      <c r="W900" s="230"/>
      <c r="X900" s="230"/>
      <c r="Y900" s="230"/>
      <c r="Z900" s="230"/>
    </row>
    <row r="901" spans="1:26" ht="15.75" customHeight="1">
      <c r="A901" s="230"/>
      <c r="B901" s="230"/>
      <c r="C901" s="230"/>
      <c r="D901" s="230"/>
      <c r="E901" s="230"/>
      <c r="F901" s="230"/>
      <c r="G901" s="230"/>
      <c r="H901" s="230"/>
      <c r="I901" s="230"/>
      <c r="J901" s="230"/>
      <c r="K901" s="230"/>
      <c r="L901" s="230"/>
      <c r="M901" s="230"/>
      <c r="N901" s="230"/>
      <c r="O901" s="230"/>
      <c r="P901" s="230"/>
      <c r="Q901" s="230"/>
      <c r="R901" s="230"/>
      <c r="S901" s="230"/>
      <c r="T901" s="230"/>
      <c r="U901" s="230"/>
      <c r="V901" s="230"/>
      <c r="W901" s="230"/>
      <c r="X901" s="230"/>
      <c r="Y901" s="230"/>
      <c r="Z901" s="230"/>
    </row>
    <row r="902" spans="1:26" ht="15.75" customHeight="1">
      <c r="A902" s="230"/>
      <c r="B902" s="230"/>
      <c r="C902" s="230"/>
      <c r="D902" s="230"/>
      <c r="E902" s="230"/>
      <c r="F902" s="230"/>
      <c r="G902" s="230"/>
      <c r="H902" s="230"/>
      <c r="I902" s="230"/>
      <c r="J902" s="230"/>
      <c r="K902" s="230"/>
      <c r="L902" s="230"/>
      <c r="M902" s="230"/>
      <c r="N902" s="230"/>
      <c r="O902" s="230"/>
      <c r="P902" s="230"/>
      <c r="Q902" s="230"/>
      <c r="R902" s="230"/>
      <c r="S902" s="230"/>
      <c r="T902" s="230"/>
      <c r="U902" s="230"/>
      <c r="V902" s="230"/>
      <c r="W902" s="230"/>
      <c r="X902" s="230"/>
      <c r="Y902" s="230"/>
      <c r="Z902" s="230"/>
    </row>
    <row r="903" spans="1:26" ht="15.75" customHeight="1">
      <c r="A903" s="230"/>
      <c r="B903" s="230"/>
      <c r="C903" s="230"/>
      <c r="D903" s="230"/>
      <c r="E903" s="230"/>
      <c r="F903" s="230"/>
      <c r="G903" s="230"/>
      <c r="H903" s="230"/>
      <c r="I903" s="230"/>
      <c r="J903" s="230"/>
      <c r="K903" s="230"/>
      <c r="L903" s="230"/>
      <c r="M903" s="230"/>
      <c r="N903" s="230"/>
      <c r="O903" s="230"/>
      <c r="P903" s="230"/>
      <c r="Q903" s="230"/>
      <c r="R903" s="230"/>
      <c r="S903" s="230"/>
      <c r="T903" s="230"/>
      <c r="U903" s="230"/>
      <c r="V903" s="230"/>
      <c r="W903" s="230"/>
      <c r="X903" s="230"/>
      <c r="Y903" s="230"/>
      <c r="Z903" s="230"/>
    </row>
    <row r="904" spans="1:26" ht="15.75" customHeight="1">
      <c r="A904" s="230"/>
      <c r="B904" s="230"/>
      <c r="C904" s="230"/>
      <c r="D904" s="230"/>
      <c r="E904" s="230"/>
      <c r="F904" s="230"/>
      <c r="G904" s="230"/>
      <c r="H904" s="230"/>
      <c r="I904" s="230"/>
      <c r="J904" s="230"/>
      <c r="K904" s="230"/>
      <c r="L904" s="230"/>
      <c r="M904" s="230"/>
      <c r="N904" s="230"/>
      <c r="O904" s="230"/>
      <c r="P904" s="230"/>
      <c r="Q904" s="230"/>
      <c r="R904" s="230"/>
      <c r="S904" s="230"/>
      <c r="T904" s="230"/>
      <c r="U904" s="230"/>
      <c r="V904" s="230"/>
      <c r="W904" s="230"/>
      <c r="X904" s="230"/>
      <c r="Y904" s="230"/>
      <c r="Z904" s="230"/>
    </row>
    <row r="905" spans="1:26" ht="15.75" customHeight="1">
      <c r="A905" s="230"/>
      <c r="B905" s="230"/>
      <c r="C905" s="230"/>
      <c r="D905" s="230"/>
      <c r="E905" s="230"/>
      <c r="F905" s="230"/>
      <c r="G905" s="230"/>
      <c r="H905" s="230"/>
      <c r="I905" s="230"/>
      <c r="J905" s="230"/>
      <c r="K905" s="230"/>
      <c r="L905" s="230"/>
      <c r="M905" s="230"/>
      <c r="N905" s="230"/>
      <c r="O905" s="230"/>
      <c r="P905" s="230"/>
      <c r="Q905" s="230"/>
      <c r="R905" s="230"/>
      <c r="S905" s="230"/>
      <c r="T905" s="230"/>
      <c r="U905" s="230"/>
      <c r="V905" s="230"/>
      <c r="W905" s="230"/>
      <c r="X905" s="230"/>
      <c r="Y905" s="230"/>
      <c r="Z905" s="230"/>
    </row>
    <row r="906" spans="1:26" ht="15.75" customHeight="1">
      <c r="A906" s="230"/>
      <c r="B906" s="230"/>
      <c r="C906" s="230"/>
      <c r="D906" s="230"/>
      <c r="E906" s="230"/>
      <c r="F906" s="230"/>
      <c r="G906" s="230"/>
      <c r="H906" s="230"/>
      <c r="I906" s="230"/>
      <c r="J906" s="230"/>
      <c r="K906" s="230"/>
      <c r="L906" s="230"/>
      <c r="M906" s="230"/>
      <c r="N906" s="230"/>
      <c r="O906" s="230"/>
      <c r="P906" s="230"/>
      <c r="Q906" s="230"/>
      <c r="R906" s="230"/>
      <c r="S906" s="230"/>
      <c r="T906" s="230"/>
      <c r="U906" s="230"/>
      <c r="V906" s="230"/>
      <c r="W906" s="230"/>
      <c r="X906" s="230"/>
      <c r="Y906" s="230"/>
      <c r="Z906" s="230"/>
    </row>
    <row r="907" spans="1:26" ht="15.75" customHeight="1">
      <c r="A907" s="230"/>
      <c r="B907" s="230"/>
      <c r="C907" s="230"/>
      <c r="D907" s="230"/>
      <c r="E907" s="230"/>
      <c r="F907" s="230"/>
      <c r="G907" s="230"/>
      <c r="H907" s="230"/>
      <c r="I907" s="230"/>
      <c r="J907" s="230"/>
      <c r="K907" s="230"/>
      <c r="L907" s="230"/>
      <c r="M907" s="230"/>
      <c r="N907" s="230"/>
      <c r="O907" s="230"/>
      <c r="P907" s="230"/>
      <c r="Q907" s="230"/>
      <c r="R907" s="230"/>
      <c r="S907" s="230"/>
      <c r="T907" s="230"/>
      <c r="U907" s="230"/>
      <c r="V907" s="230"/>
      <c r="W907" s="230"/>
      <c r="X907" s="230"/>
      <c r="Y907" s="230"/>
      <c r="Z907" s="230"/>
    </row>
    <row r="908" spans="1:26" ht="15.75" customHeight="1">
      <c r="A908" s="230"/>
      <c r="B908" s="230"/>
      <c r="C908" s="230"/>
      <c r="D908" s="230"/>
      <c r="E908" s="230"/>
      <c r="F908" s="230"/>
      <c r="G908" s="230"/>
      <c r="H908" s="230"/>
      <c r="I908" s="230"/>
      <c r="J908" s="230"/>
      <c r="K908" s="230"/>
      <c r="L908" s="230"/>
      <c r="M908" s="230"/>
      <c r="N908" s="230"/>
      <c r="O908" s="230"/>
      <c r="P908" s="230"/>
      <c r="Q908" s="230"/>
      <c r="R908" s="230"/>
      <c r="S908" s="230"/>
      <c r="T908" s="230"/>
      <c r="U908" s="230"/>
      <c r="V908" s="230"/>
      <c r="W908" s="230"/>
      <c r="X908" s="230"/>
      <c r="Y908" s="230"/>
      <c r="Z908" s="230"/>
    </row>
    <row r="909" spans="1:26" ht="15.75" customHeight="1">
      <c r="A909" s="230"/>
      <c r="B909" s="230"/>
      <c r="C909" s="230"/>
      <c r="D909" s="230"/>
      <c r="E909" s="230"/>
      <c r="F909" s="230"/>
      <c r="G909" s="230"/>
      <c r="H909" s="230"/>
      <c r="I909" s="230"/>
      <c r="J909" s="230"/>
      <c r="K909" s="230"/>
      <c r="L909" s="230"/>
      <c r="M909" s="230"/>
      <c r="N909" s="230"/>
      <c r="O909" s="230"/>
      <c r="P909" s="230"/>
      <c r="Q909" s="230"/>
      <c r="R909" s="230"/>
      <c r="S909" s="230"/>
      <c r="T909" s="230"/>
      <c r="U909" s="230"/>
      <c r="V909" s="230"/>
      <c r="W909" s="230"/>
      <c r="X909" s="230"/>
      <c r="Y909" s="230"/>
      <c r="Z909" s="230"/>
    </row>
    <row r="910" spans="1:26" ht="15.75" customHeight="1">
      <c r="A910" s="230"/>
      <c r="B910" s="230"/>
      <c r="C910" s="230"/>
      <c r="D910" s="230"/>
      <c r="E910" s="230"/>
      <c r="F910" s="230"/>
      <c r="G910" s="230"/>
      <c r="H910" s="230"/>
      <c r="I910" s="230"/>
      <c r="J910" s="230"/>
      <c r="K910" s="230"/>
      <c r="L910" s="230"/>
      <c r="M910" s="230"/>
      <c r="N910" s="230"/>
      <c r="O910" s="230"/>
      <c r="P910" s="230"/>
      <c r="Q910" s="230"/>
      <c r="R910" s="230"/>
      <c r="S910" s="230"/>
      <c r="T910" s="230"/>
      <c r="U910" s="230"/>
      <c r="V910" s="230"/>
      <c r="W910" s="230"/>
      <c r="X910" s="230"/>
      <c r="Y910" s="230"/>
      <c r="Z910" s="230"/>
    </row>
    <row r="911" spans="1:26" ht="15.75" customHeight="1">
      <c r="A911" s="230"/>
      <c r="B911" s="230"/>
      <c r="C911" s="230"/>
      <c r="D911" s="230"/>
      <c r="E911" s="230"/>
      <c r="F911" s="230"/>
      <c r="G911" s="230"/>
      <c r="H911" s="230"/>
      <c r="I911" s="230"/>
      <c r="J911" s="230"/>
      <c r="K911" s="230"/>
      <c r="L911" s="230"/>
      <c r="M911" s="230"/>
      <c r="N911" s="230"/>
      <c r="O911" s="230"/>
      <c r="P911" s="230"/>
      <c r="Q911" s="230"/>
      <c r="R911" s="230"/>
      <c r="S911" s="230"/>
      <c r="T911" s="230"/>
      <c r="U911" s="230"/>
      <c r="V911" s="230"/>
      <c r="W911" s="230"/>
      <c r="X911" s="230"/>
      <c r="Y911" s="230"/>
      <c r="Z911" s="230"/>
    </row>
    <row r="912" spans="1:26" ht="15.75" customHeight="1">
      <c r="A912" s="230"/>
      <c r="B912" s="230"/>
      <c r="C912" s="230"/>
      <c r="D912" s="230"/>
      <c r="E912" s="230"/>
      <c r="F912" s="230"/>
      <c r="G912" s="230"/>
      <c r="H912" s="230"/>
      <c r="I912" s="230"/>
      <c r="J912" s="230"/>
      <c r="K912" s="230"/>
      <c r="L912" s="230"/>
      <c r="M912" s="230"/>
      <c r="N912" s="230"/>
      <c r="O912" s="230"/>
      <c r="P912" s="230"/>
      <c r="Q912" s="230"/>
      <c r="R912" s="230"/>
      <c r="S912" s="230"/>
      <c r="T912" s="230"/>
      <c r="U912" s="230"/>
      <c r="V912" s="230"/>
      <c r="W912" s="230"/>
      <c r="X912" s="230"/>
      <c r="Y912" s="230"/>
      <c r="Z912" s="230"/>
    </row>
    <row r="913" spans="1:26" ht="15.75" customHeight="1">
      <c r="A913" s="230"/>
      <c r="B913" s="230"/>
      <c r="C913" s="230"/>
      <c r="D913" s="230"/>
      <c r="E913" s="230"/>
      <c r="F913" s="230"/>
      <c r="G913" s="230"/>
      <c r="H913" s="230"/>
      <c r="I913" s="230"/>
      <c r="J913" s="230"/>
      <c r="K913" s="230"/>
      <c r="L913" s="230"/>
      <c r="M913" s="230"/>
      <c r="N913" s="230"/>
      <c r="O913" s="230"/>
      <c r="P913" s="230"/>
      <c r="Q913" s="230"/>
      <c r="R913" s="230"/>
      <c r="S913" s="230"/>
      <c r="T913" s="230"/>
      <c r="U913" s="230"/>
      <c r="V913" s="230"/>
      <c r="W913" s="230"/>
      <c r="X913" s="230"/>
      <c r="Y913" s="230"/>
      <c r="Z913" s="230"/>
    </row>
    <row r="914" spans="1:26" ht="15.75" customHeight="1">
      <c r="A914" s="230"/>
      <c r="B914" s="230"/>
      <c r="C914" s="230"/>
      <c r="D914" s="230"/>
      <c r="E914" s="230"/>
      <c r="F914" s="230"/>
      <c r="G914" s="230"/>
      <c r="H914" s="230"/>
      <c r="I914" s="230"/>
      <c r="J914" s="230"/>
      <c r="K914" s="230"/>
      <c r="L914" s="230"/>
      <c r="M914" s="230"/>
      <c r="N914" s="230"/>
      <c r="O914" s="230"/>
      <c r="P914" s="230"/>
      <c r="Q914" s="230"/>
      <c r="R914" s="230"/>
      <c r="S914" s="230"/>
      <c r="T914" s="230"/>
      <c r="U914" s="230"/>
      <c r="V914" s="230"/>
      <c r="W914" s="230"/>
      <c r="X914" s="230"/>
      <c r="Y914" s="230"/>
      <c r="Z914" s="230"/>
    </row>
    <row r="915" spans="1:26" ht="15.75" customHeight="1">
      <c r="A915" s="230"/>
      <c r="B915" s="230"/>
      <c r="C915" s="230"/>
      <c r="D915" s="230"/>
      <c r="E915" s="230"/>
      <c r="F915" s="230"/>
      <c r="G915" s="230"/>
      <c r="H915" s="230"/>
      <c r="I915" s="230"/>
      <c r="J915" s="230"/>
      <c r="K915" s="230"/>
      <c r="L915" s="230"/>
      <c r="M915" s="230"/>
      <c r="N915" s="230"/>
      <c r="O915" s="230"/>
      <c r="P915" s="230"/>
      <c r="Q915" s="230"/>
      <c r="R915" s="230"/>
      <c r="S915" s="230"/>
      <c r="T915" s="230"/>
      <c r="U915" s="230"/>
      <c r="V915" s="230"/>
      <c r="W915" s="230"/>
      <c r="X915" s="230"/>
      <c r="Y915" s="230"/>
      <c r="Z915" s="230"/>
    </row>
    <row r="916" spans="1:26" ht="15.75" customHeight="1">
      <c r="A916" s="230"/>
      <c r="B916" s="230"/>
      <c r="C916" s="230"/>
      <c r="D916" s="230"/>
      <c r="E916" s="230"/>
      <c r="F916" s="230"/>
      <c r="G916" s="230"/>
      <c r="H916" s="230"/>
      <c r="I916" s="230"/>
      <c r="J916" s="230"/>
      <c r="K916" s="230"/>
      <c r="L916" s="230"/>
      <c r="M916" s="230"/>
      <c r="N916" s="230"/>
      <c r="O916" s="230"/>
      <c r="P916" s="230"/>
      <c r="Q916" s="230"/>
      <c r="R916" s="230"/>
      <c r="S916" s="230"/>
      <c r="T916" s="230"/>
      <c r="U916" s="230"/>
      <c r="V916" s="230"/>
      <c r="W916" s="230"/>
      <c r="X916" s="230"/>
      <c r="Y916" s="230"/>
      <c r="Z916" s="230"/>
    </row>
    <row r="917" spans="1:26" ht="15.75" customHeight="1">
      <c r="A917" s="230"/>
      <c r="B917" s="230"/>
      <c r="C917" s="230"/>
      <c r="D917" s="230"/>
      <c r="E917" s="230"/>
      <c r="F917" s="230"/>
      <c r="G917" s="230"/>
      <c r="H917" s="230"/>
      <c r="I917" s="230"/>
      <c r="J917" s="230"/>
      <c r="K917" s="230"/>
      <c r="L917" s="230"/>
      <c r="M917" s="230"/>
      <c r="N917" s="230"/>
      <c r="O917" s="230"/>
      <c r="P917" s="230"/>
      <c r="Q917" s="230"/>
      <c r="R917" s="230"/>
      <c r="S917" s="230"/>
      <c r="T917" s="230"/>
      <c r="U917" s="230"/>
      <c r="V917" s="230"/>
      <c r="W917" s="230"/>
      <c r="X917" s="230"/>
      <c r="Y917" s="230"/>
      <c r="Z917" s="230"/>
    </row>
    <row r="918" spans="1:26" ht="15.75" customHeight="1">
      <c r="A918" s="230"/>
      <c r="B918" s="230"/>
      <c r="C918" s="230"/>
      <c r="D918" s="230"/>
      <c r="E918" s="230"/>
      <c r="F918" s="230"/>
      <c r="G918" s="230"/>
      <c r="H918" s="230"/>
      <c r="I918" s="230"/>
      <c r="J918" s="230"/>
      <c r="K918" s="230"/>
      <c r="L918" s="230"/>
      <c r="M918" s="230"/>
      <c r="N918" s="230"/>
      <c r="O918" s="230"/>
      <c r="P918" s="230"/>
      <c r="Q918" s="230"/>
      <c r="R918" s="230"/>
      <c r="S918" s="230"/>
      <c r="T918" s="230"/>
      <c r="U918" s="230"/>
      <c r="V918" s="230"/>
      <c r="W918" s="230"/>
      <c r="X918" s="230"/>
      <c r="Y918" s="230"/>
      <c r="Z918" s="230"/>
    </row>
    <row r="919" spans="1:26" ht="15.75" customHeight="1">
      <c r="A919" s="230"/>
      <c r="B919" s="230"/>
      <c r="C919" s="230"/>
      <c r="D919" s="230"/>
      <c r="E919" s="230"/>
      <c r="F919" s="230"/>
      <c r="G919" s="230"/>
      <c r="H919" s="230"/>
      <c r="I919" s="230"/>
      <c r="J919" s="230"/>
      <c r="K919" s="230"/>
      <c r="L919" s="230"/>
      <c r="M919" s="230"/>
      <c r="N919" s="230"/>
      <c r="O919" s="230"/>
      <c r="P919" s="230"/>
      <c r="Q919" s="230"/>
      <c r="R919" s="230"/>
      <c r="S919" s="230"/>
      <c r="T919" s="230"/>
      <c r="U919" s="230"/>
      <c r="V919" s="230"/>
      <c r="W919" s="230"/>
      <c r="X919" s="230"/>
      <c r="Y919" s="230"/>
      <c r="Z919" s="230"/>
    </row>
    <row r="920" spans="1:26" ht="15.75" customHeight="1">
      <c r="A920" s="230"/>
      <c r="B920" s="230"/>
      <c r="C920" s="230"/>
      <c r="D920" s="230"/>
      <c r="E920" s="230"/>
      <c r="F920" s="230"/>
      <c r="G920" s="230"/>
      <c r="H920" s="230"/>
      <c r="I920" s="230"/>
      <c r="J920" s="230"/>
      <c r="K920" s="230"/>
      <c r="L920" s="230"/>
      <c r="M920" s="230"/>
      <c r="N920" s="230"/>
      <c r="O920" s="230"/>
      <c r="P920" s="230"/>
      <c r="Q920" s="230"/>
      <c r="R920" s="230"/>
      <c r="S920" s="230"/>
      <c r="T920" s="230"/>
      <c r="U920" s="230"/>
      <c r="V920" s="230"/>
      <c r="W920" s="230"/>
      <c r="X920" s="230"/>
      <c r="Y920" s="230"/>
      <c r="Z920" s="230"/>
    </row>
    <row r="921" spans="1:26" ht="15.75" customHeight="1">
      <c r="A921" s="230"/>
      <c r="B921" s="230"/>
      <c r="C921" s="230"/>
      <c r="D921" s="230"/>
      <c r="E921" s="230"/>
      <c r="F921" s="230"/>
      <c r="G921" s="230"/>
      <c r="H921" s="230"/>
      <c r="I921" s="230"/>
      <c r="J921" s="230"/>
      <c r="K921" s="230"/>
      <c r="L921" s="230"/>
      <c r="M921" s="230"/>
      <c r="N921" s="230"/>
      <c r="O921" s="230"/>
      <c r="P921" s="230"/>
      <c r="Q921" s="230"/>
      <c r="R921" s="230"/>
      <c r="S921" s="230"/>
      <c r="T921" s="230"/>
      <c r="U921" s="230"/>
      <c r="V921" s="230"/>
      <c r="W921" s="230"/>
      <c r="X921" s="230"/>
      <c r="Y921" s="230"/>
      <c r="Z921" s="230"/>
    </row>
    <row r="922" spans="1:26" ht="15.75" customHeight="1">
      <c r="A922" s="230"/>
      <c r="B922" s="230"/>
      <c r="C922" s="230"/>
      <c r="D922" s="230"/>
      <c r="E922" s="230"/>
      <c r="F922" s="230"/>
      <c r="G922" s="230"/>
      <c r="H922" s="230"/>
      <c r="I922" s="230"/>
      <c r="J922" s="230"/>
      <c r="K922" s="230"/>
      <c r="L922" s="230"/>
      <c r="M922" s="230"/>
      <c r="N922" s="230"/>
      <c r="O922" s="230"/>
      <c r="P922" s="230"/>
      <c r="Q922" s="230"/>
      <c r="R922" s="230"/>
      <c r="S922" s="230"/>
      <c r="T922" s="230"/>
      <c r="U922" s="230"/>
      <c r="V922" s="230"/>
      <c r="W922" s="230"/>
      <c r="X922" s="230"/>
      <c r="Y922" s="230"/>
      <c r="Z922" s="230"/>
    </row>
    <row r="923" spans="1:26" ht="15.75" customHeight="1">
      <c r="A923" s="230"/>
      <c r="B923" s="230"/>
      <c r="C923" s="230"/>
      <c r="D923" s="230"/>
      <c r="E923" s="230"/>
      <c r="F923" s="230"/>
      <c r="G923" s="230"/>
      <c r="H923" s="230"/>
      <c r="I923" s="230"/>
      <c r="J923" s="230"/>
      <c r="K923" s="230"/>
      <c r="L923" s="230"/>
      <c r="M923" s="230"/>
      <c r="N923" s="230"/>
      <c r="O923" s="230"/>
      <c r="P923" s="230"/>
      <c r="Q923" s="230"/>
      <c r="R923" s="230"/>
      <c r="S923" s="230"/>
      <c r="T923" s="230"/>
      <c r="U923" s="230"/>
      <c r="V923" s="230"/>
      <c r="W923" s="230"/>
      <c r="X923" s="230"/>
      <c r="Y923" s="230"/>
      <c r="Z923" s="230"/>
    </row>
    <row r="924" spans="1:26" ht="15.75" customHeight="1">
      <c r="A924" s="230"/>
      <c r="B924" s="230"/>
      <c r="C924" s="230"/>
      <c r="D924" s="230"/>
      <c r="E924" s="230"/>
      <c r="F924" s="230"/>
      <c r="G924" s="230"/>
      <c r="H924" s="230"/>
      <c r="I924" s="230"/>
      <c r="J924" s="230"/>
      <c r="K924" s="230"/>
      <c r="L924" s="230"/>
      <c r="M924" s="230"/>
      <c r="N924" s="230"/>
      <c r="O924" s="230"/>
      <c r="P924" s="230"/>
      <c r="Q924" s="230"/>
      <c r="R924" s="230"/>
      <c r="S924" s="230"/>
      <c r="T924" s="230"/>
      <c r="U924" s="230"/>
      <c r="V924" s="230"/>
      <c r="W924" s="230"/>
      <c r="X924" s="230"/>
      <c r="Y924" s="230"/>
      <c r="Z924" s="230"/>
    </row>
    <row r="925" spans="1:26" ht="15.75" customHeight="1">
      <c r="A925" s="230"/>
      <c r="B925" s="230"/>
      <c r="C925" s="230"/>
      <c r="D925" s="230"/>
      <c r="E925" s="230"/>
      <c r="F925" s="230"/>
      <c r="G925" s="230"/>
      <c r="H925" s="230"/>
      <c r="I925" s="230"/>
      <c r="J925" s="230"/>
      <c r="K925" s="230"/>
      <c r="L925" s="230"/>
      <c r="M925" s="230"/>
      <c r="N925" s="230"/>
      <c r="O925" s="230"/>
      <c r="P925" s="230"/>
      <c r="Q925" s="230"/>
      <c r="R925" s="230"/>
      <c r="S925" s="230"/>
      <c r="T925" s="230"/>
      <c r="U925" s="230"/>
      <c r="V925" s="230"/>
      <c r="W925" s="230"/>
      <c r="X925" s="230"/>
      <c r="Y925" s="230"/>
      <c r="Z925" s="230"/>
    </row>
    <row r="926" spans="1:26" ht="15.75" customHeight="1">
      <c r="A926" s="230"/>
      <c r="B926" s="230"/>
      <c r="C926" s="230"/>
      <c r="D926" s="230"/>
      <c r="E926" s="230"/>
      <c r="F926" s="230"/>
      <c r="G926" s="230"/>
      <c r="H926" s="230"/>
      <c r="I926" s="230"/>
      <c r="J926" s="230"/>
      <c r="K926" s="230"/>
      <c r="L926" s="230"/>
      <c r="M926" s="230"/>
      <c r="N926" s="230"/>
      <c r="O926" s="230"/>
      <c r="P926" s="230"/>
      <c r="Q926" s="230"/>
      <c r="R926" s="230"/>
      <c r="S926" s="230"/>
      <c r="T926" s="230"/>
      <c r="U926" s="230"/>
      <c r="V926" s="230"/>
      <c r="W926" s="230"/>
      <c r="X926" s="230"/>
      <c r="Y926" s="230"/>
      <c r="Z926" s="230"/>
    </row>
    <row r="927" spans="1:26" ht="15.75" customHeight="1">
      <c r="A927" s="230"/>
      <c r="B927" s="230"/>
      <c r="C927" s="230"/>
      <c r="D927" s="230"/>
      <c r="E927" s="230"/>
      <c r="F927" s="230"/>
      <c r="G927" s="230"/>
      <c r="H927" s="230"/>
      <c r="I927" s="230"/>
      <c r="J927" s="230"/>
      <c r="K927" s="230"/>
      <c r="L927" s="230"/>
      <c r="M927" s="230"/>
      <c r="N927" s="230"/>
      <c r="O927" s="230"/>
      <c r="P927" s="230"/>
      <c r="Q927" s="230"/>
      <c r="R927" s="230"/>
      <c r="S927" s="230"/>
      <c r="T927" s="230"/>
      <c r="U927" s="230"/>
      <c r="V927" s="230"/>
      <c r="W927" s="230"/>
      <c r="X927" s="230"/>
      <c r="Y927" s="230"/>
      <c r="Z927" s="230"/>
    </row>
    <row r="928" spans="1:26" ht="15.75" customHeight="1">
      <c r="A928" s="230"/>
      <c r="B928" s="230"/>
      <c r="C928" s="230"/>
      <c r="D928" s="230"/>
      <c r="E928" s="230"/>
      <c r="F928" s="230"/>
      <c r="G928" s="230"/>
      <c r="H928" s="230"/>
      <c r="I928" s="230"/>
      <c r="J928" s="230"/>
      <c r="K928" s="230"/>
      <c r="L928" s="230"/>
      <c r="M928" s="230"/>
      <c r="N928" s="230"/>
      <c r="O928" s="230"/>
      <c r="P928" s="230"/>
      <c r="Q928" s="230"/>
      <c r="R928" s="230"/>
      <c r="S928" s="230"/>
      <c r="T928" s="230"/>
      <c r="U928" s="230"/>
      <c r="V928" s="230"/>
      <c r="W928" s="230"/>
      <c r="X928" s="230"/>
      <c r="Y928" s="230"/>
      <c r="Z928" s="230"/>
    </row>
    <row r="929" spans="1:26" ht="15.75" customHeight="1">
      <c r="A929" s="230"/>
      <c r="B929" s="230"/>
      <c r="C929" s="230"/>
      <c r="D929" s="230"/>
      <c r="E929" s="230"/>
      <c r="F929" s="230"/>
      <c r="G929" s="230"/>
      <c r="H929" s="230"/>
      <c r="I929" s="230"/>
      <c r="J929" s="230"/>
      <c r="K929" s="230"/>
      <c r="L929" s="230"/>
      <c r="M929" s="230"/>
      <c r="N929" s="230"/>
      <c r="O929" s="230"/>
      <c r="P929" s="230"/>
      <c r="Q929" s="230"/>
      <c r="R929" s="230"/>
      <c r="S929" s="230"/>
      <c r="T929" s="230"/>
      <c r="U929" s="230"/>
      <c r="V929" s="230"/>
      <c r="W929" s="230"/>
      <c r="X929" s="230"/>
      <c r="Y929" s="230"/>
      <c r="Z929" s="230"/>
    </row>
    <row r="930" spans="1:26" ht="15.75" customHeight="1">
      <c r="A930" s="230"/>
      <c r="B930" s="230"/>
      <c r="C930" s="230"/>
      <c r="D930" s="230"/>
      <c r="E930" s="230"/>
      <c r="F930" s="230"/>
      <c r="G930" s="230"/>
      <c r="H930" s="230"/>
      <c r="I930" s="230"/>
      <c r="J930" s="230"/>
      <c r="K930" s="230"/>
      <c r="L930" s="230"/>
      <c r="M930" s="230"/>
      <c r="N930" s="230"/>
      <c r="O930" s="230"/>
      <c r="P930" s="230"/>
      <c r="Q930" s="230"/>
      <c r="R930" s="230"/>
      <c r="S930" s="230"/>
      <c r="T930" s="230"/>
      <c r="U930" s="230"/>
      <c r="V930" s="230"/>
      <c r="W930" s="230"/>
      <c r="X930" s="230"/>
      <c r="Y930" s="230"/>
      <c r="Z930" s="230"/>
    </row>
    <row r="931" spans="1:26" ht="15.75" customHeight="1">
      <c r="A931" s="230"/>
      <c r="B931" s="230"/>
      <c r="C931" s="230"/>
      <c r="D931" s="230"/>
      <c r="E931" s="230"/>
      <c r="F931" s="230"/>
      <c r="G931" s="230"/>
      <c r="H931" s="230"/>
      <c r="I931" s="230"/>
      <c r="J931" s="230"/>
      <c r="K931" s="230"/>
      <c r="L931" s="230"/>
      <c r="M931" s="230"/>
      <c r="N931" s="230"/>
      <c r="O931" s="230"/>
      <c r="P931" s="230"/>
      <c r="Q931" s="230"/>
      <c r="R931" s="230"/>
      <c r="S931" s="230"/>
      <c r="T931" s="230"/>
      <c r="U931" s="230"/>
      <c r="V931" s="230"/>
      <c r="W931" s="230"/>
      <c r="X931" s="230"/>
      <c r="Y931" s="230"/>
      <c r="Z931" s="230"/>
    </row>
    <row r="932" spans="1:26" ht="15.75" customHeight="1">
      <c r="A932" s="230"/>
      <c r="B932" s="230"/>
      <c r="C932" s="230"/>
      <c r="D932" s="230"/>
      <c r="E932" s="230"/>
      <c r="F932" s="230"/>
      <c r="G932" s="230"/>
      <c r="H932" s="230"/>
      <c r="I932" s="230"/>
      <c r="J932" s="230"/>
      <c r="K932" s="230"/>
      <c r="L932" s="230"/>
      <c r="M932" s="230"/>
      <c r="N932" s="230"/>
      <c r="O932" s="230"/>
      <c r="P932" s="230"/>
      <c r="Q932" s="230"/>
      <c r="R932" s="230"/>
      <c r="S932" s="230"/>
      <c r="T932" s="230"/>
      <c r="U932" s="230"/>
      <c r="V932" s="230"/>
      <c r="W932" s="230"/>
      <c r="X932" s="230"/>
      <c r="Y932" s="230"/>
      <c r="Z932" s="230"/>
    </row>
    <row r="933" spans="1:26" ht="15.75" customHeight="1">
      <c r="A933" s="230"/>
      <c r="B933" s="230"/>
      <c r="C933" s="230"/>
      <c r="D933" s="230"/>
      <c r="E933" s="230"/>
      <c r="F933" s="230"/>
      <c r="G933" s="230"/>
      <c r="H933" s="230"/>
      <c r="I933" s="230"/>
      <c r="J933" s="230"/>
      <c r="K933" s="230"/>
      <c r="L933" s="230"/>
      <c r="M933" s="230"/>
      <c r="N933" s="230"/>
      <c r="O933" s="230"/>
      <c r="P933" s="230"/>
      <c r="Q933" s="230"/>
      <c r="R933" s="230"/>
      <c r="S933" s="230"/>
      <c r="T933" s="230"/>
      <c r="U933" s="230"/>
      <c r="V933" s="230"/>
      <c r="W933" s="230"/>
      <c r="X933" s="230"/>
      <c r="Y933" s="230"/>
      <c r="Z933" s="230"/>
    </row>
    <row r="934" spans="1:26" ht="15.75" customHeight="1">
      <c r="A934" s="230"/>
      <c r="B934" s="230"/>
      <c r="C934" s="230"/>
      <c r="D934" s="230"/>
      <c r="E934" s="230"/>
      <c r="F934" s="230"/>
      <c r="G934" s="230"/>
      <c r="H934" s="230"/>
      <c r="I934" s="230"/>
      <c r="J934" s="230"/>
      <c r="K934" s="230"/>
      <c r="L934" s="230"/>
      <c r="M934" s="230"/>
      <c r="N934" s="230"/>
      <c r="O934" s="230"/>
      <c r="P934" s="230"/>
      <c r="Q934" s="230"/>
      <c r="R934" s="230"/>
      <c r="S934" s="230"/>
      <c r="T934" s="230"/>
      <c r="U934" s="230"/>
      <c r="V934" s="230"/>
      <c r="W934" s="230"/>
      <c r="X934" s="230"/>
      <c r="Y934" s="230"/>
      <c r="Z934" s="230"/>
    </row>
    <row r="935" spans="1:26" ht="15.75" customHeight="1">
      <c r="A935" s="230"/>
      <c r="B935" s="230"/>
      <c r="C935" s="230"/>
      <c r="D935" s="230"/>
      <c r="E935" s="230"/>
      <c r="F935" s="230"/>
      <c r="G935" s="230"/>
      <c r="H935" s="230"/>
      <c r="I935" s="230"/>
      <c r="J935" s="230"/>
      <c r="K935" s="230"/>
      <c r="L935" s="230"/>
      <c r="M935" s="230"/>
      <c r="N935" s="230"/>
      <c r="O935" s="230"/>
      <c r="P935" s="230"/>
      <c r="Q935" s="230"/>
      <c r="R935" s="230"/>
      <c r="S935" s="230"/>
      <c r="T935" s="230"/>
      <c r="U935" s="230"/>
      <c r="V935" s="230"/>
      <c r="W935" s="230"/>
      <c r="X935" s="230"/>
      <c r="Y935" s="230"/>
      <c r="Z935" s="230"/>
    </row>
    <row r="936" spans="1:26" ht="15.75" customHeight="1">
      <c r="A936" s="230"/>
      <c r="B936" s="230"/>
      <c r="C936" s="230"/>
      <c r="D936" s="230"/>
      <c r="E936" s="230"/>
      <c r="F936" s="230"/>
      <c r="G936" s="230"/>
      <c r="H936" s="230"/>
      <c r="I936" s="230"/>
      <c r="J936" s="230"/>
      <c r="K936" s="230"/>
      <c r="L936" s="230"/>
      <c r="M936" s="230"/>
      <c r="N936" s="230"/>
      <c r="O936" s="230"/>
      <c r="P936" s="230"/>
      <c r="Q936" s="230"/>
      <c r="R936" s="230"/>
      <c r="S936" s="230"/>
      <c r="T936" s="230"/>
      <c r="U936" s="230"/>
      <c r="V936" s="230"/>
      <c r="W936" s="230"/>
      <c r="X936" s="230"/>
      <c r="Y936" s="230"/>
      <c r="Z936" s="230"/>
    </row>
    <row r="937" spans="1:26" ht="15.75" customHeight="1">
      <c r="A937" s="230"/>
      <c r="B937" s="230"/>
      <c r="C937" s="230"/>
      <c r="D937" s="230"/>
      <c r="E937" s="230"/>
      <c r="F937" s="230"/>
      <c r="G937" s="230"/>
      <c r="H937" s="230"/>
      <c r="I937" s="230"/>
      <c r="J937" s="230"/>
      <c r="K937" s="230"/>
      <c r="L937" s="230"/>
      <c r="M937" s="230"/>
      <c r="N937" s="230"/>
      <c r="O937" s="230"/>
      <c r="P937" s="230"/>
      <c r="Q937" s="230"/>
      <c r="R937" s="230"/>
      <c r="S937" s="230"/>
      <c r="T937" s="230"/>
      <c r="U937" s="230"/>
      <c r="V937" s="230"/>
      <c r="W937" s="230"/>
      <c r="X937" s="230"/>
      <c r="Y937" s="230"/>
      <c r="Z937" s="230"/>
    </row>
    <row r="938" spans="1:26" ht="15.75" customHeight="1">
      <c r="A938" s="230"/>
      <c r="B938" s="230"/>
      <c r="C938" s="230"/>
      <c r="D938" s="230"/>
      <c r="E938" s="230"/>
      <c r="F938" s="230"/>
      <c r="G938" s="230"/>
      <c r="H938" s="230"/>
      <c r="I938" s="230"/>
      <c r="J938" s="230"/>
      <c r="K938" s="230"/>
      <c r="L938" s="230"/>
      <c r="M938" s="230"/>
      <c r="N938" s="230"/>
      <c r="O938" s="230"/>
      <c r="P938" s="230"/>
      <c r="Q938" s="230"/>
      <c r="R938" s="230"/>
      <c r="S938" s="230"/>
      <c r="T938" s="230"/>
      <c r="U938" s="230"/>
      <c r="V938" s="230"/>
      <c r="W938" s="230"/>
      <c r="X938" s="230"/>
      <c r="Y938" s="230"/>
      <c r="Z938" s="230"/>
    </row>
    <row r="939" spans="1:26" ht="15.75" customHeight="1">
      <c r="A939" s="230"/>
      <c r="B939" s="230"/>
      <c r="C939" s="230"/>
      <c r="D939" s="230"/>
      <c r="E939" s="230"/>
      <c r="F939" s="230"/>
      <c r="G939" s="230"/>
      <c r="H939" s="230"/>
      <c r="I939" s="230"/>
      <c r="J939" s="230"/>
      <c r="K939" s="230"/>
      <c r="L939" s="230"/>
      <c r="M939" s="230"/>
      <c r="N939" s="230"/>
      <c r="O939" s="230"/>
      <c r="P939" s="230"/>
      <c r="Q939" s="230"/>
      <c r="R939" s="230"/>
      <c r="S939" s="230"/>
      <c r="T939" s="230"/>
      <c r="U939" s="230"/>
      <c r="V939" s="230"/>
      <c r="W939" s="230"/>
      <c r="X939" s="230"/>
      <c r="Y939" s="230"/>
      <c r="Z939" s="230"/>
    </row>
    <row r="940" spans="1:26" ht="15.75" customHeight="1">
      <c r="A940" s="230"/>
      <c r="B940" s="230"/>
      <c r="C940" s="230"/>
      <c r="D940" s="230"/>
      <c r="E940" s="230"/>
      <c r="F940" s="230"/>
      <c r="G940" s="230"/>
      <c r="H940" s="230"/>
      <c r="I940" s="230"/>
      <c r="J940" s="230"/>
      <c r="K940" s="230"/>
      <c r="L940" s="230"/>
      <c r="M940" s="230"/>
      <c r="N940" s="230"/>
      <c r="O940" s="230"/>
      <c r="P940" s="230"/>
      <c r="Q940" s="230"/>
      <c r="R940" s="230"/>
      <c r="S940" s="230"/>
      <c r="T940" s="230"/>
      <c r="U940" s="230"/>
      <c r="V940" s="230"/>
      <c r="W940" s="230"/>
      <c r="X940" s="230"/>
      <c r="Y940" s="230"/>
      <c r="Z940" s="230"/>
    </row>
    <row r="941" spans="1:26" ht="15.75" customHeight="1">
      <c r="A941" s="230"/>
      <c r="B941" s="230"/>
      <c r="C941" s="230"/>
      <c r="D941" s="230"/>
      <c r="E941" s="230"/>
      <c r="F941" s="230"/>
      <c r="G941" s="230"/>
      <c r="H941" s="230"/>
      <c r="I941" s="230"/>
      <c r="J941" s="230"/>
      <c r="K941" s="230"/>
      <c r="L941" s="230"/>
      <c r="M941" s="230"/>
      <c r="N941" s="230"/>
      <c r="O941" s="230"/>
      <c r="P941" s="230"/>
      <c r="Q941" s="230"/>
      <c r="R941" s="230"/>
      <c r="S941" s="230"/>
      <c r="T941" s="230"/>
      <c r="U941" s="230"/>
      <c r="V941" s="230"/>
      <c r="W941" s="230"/>
      <c r="X941" s="230"/>
      <c r="Y941" s="230"/>
      <c r="Z941" s="230"/>
    </row>
    <row r="942" spans="1:26" ht="15.75" customHeight="1">
      <c r="A942" s="230"/>
      <c r="B942" s="230"/>
      <c r="C942" s="230"/>
      <c r="D942" s="230"/>
      <c r="E942" s="230"/>
      <c r="F942" s="230"/>
      <c r="G942" s="230"/>
      <c r="H942" s="230"/>
      <c r="I942" s="230"/>
      <c r="J942" s="230"/>
      <c r="K942" s="230"/>
      <c r="L942" s="230"/>
      <c r="M942" s="230"/>
      <c r="N942" s="230"/>
      <c r="O942" s="230"/>
      <c r="P942" s="230"/>
      <c r="Q942" s="230"/>
      <c r="R942" s="230"/>
      <c r="S942" s="230"/>
      <c r="T942" s="230"/>
      <c r="U942" s="230"/>
      <c r="V942" s="230"/>
      <c r="W942" s="230"/>
      <c r="X942" s="230"/>
      <c r="Y942" s="230"/>
      <c r="Z942" s="230"/>
    </row>
    <row r="943" spans="1:26" ht="15.75" customHeight="1">
      <c r="A943" s="230"/>
      <c r="B943" s="230"/>
      <c r="C943" s="230"/>
      <c r="D943" s="230"/>
      <c r="E943" s="230"/>
      <c r="F943" s="230"/>
      <c r="G943" s="230"/>
      <c r="H943" s="230"/>
      <c r="I943" s="230"/>
      <c r="J943" s="230"/>
      <c r="K943" s="230"/>
      <c r="L943" s="230"/>
      <c r="M943" s="230"/>
      <c r="N943" s="230"/>
      <c r="O943" s="230"/>
      <c r="P943" s="230"/>
      <c r="Q943" s="230"/>
      <c r="R943" s="230"/>
      <c r="S943" s="230"/>
      <c r="T943" s="230"/>
      <c r="U943" s="230"/>
      <c r="V943" s="230"/>
      <c r="W943" s="230"/>
      <c r="X943" s="230"/>
      <c r="Y943" s="230"/>
      <c r="Z943" s="230"/>
    </row>
    <row r="944" spans="1:26" ht="15.75" customHeight="1">
      <c r="A944" s="230"/>
      <c r="B944" s="230"/>
      <c r="C944" s="230"/>
      <c r="D944" s="230"/>
      <c r="E944" s="230"/>
      <c r="F944" s="230"/>
      <c r="G944" s="230"/>
      <c r="H944" s="230"/>
      <c r="I944" s="230"/>
      <c r="J944" s="230"/>
      <c r="K944" s="230"/>
      <c r="L944" s="230"/>
      <c r="M944" s="230"/>
      <c r="N944" s="230"/>
      <c r="O944" s="230"/>
      <c r="P944" s="230"/>
      <c r="Q944" s="230"/>
      <c r="R944" s="230"/>
      <c r="S944" s="230"/>
      <c r="T944" s="230"/>
      <c r="U944" s="230"/>
      <c r="V944" s="230"/>
      <c r="W944" s="230"/>
      <c r="X944" s="230"/>
      <c r="Y944" s="230"/>
      <c r="Z944" s="230"/>
    </row>
    <row r="945" spans="1:26" ht="15.75" customHeight="1">
      <c r="A945" s="230"/>
      <c r="B945" s="230"/>
      <c r="C945" s="230"/>
      <c r="D945" s="230"/>
      <c r="E945" s="230"/>
      <c r="F945" s="230"/>
      <c r="G945" s="230"/>
      <c r="H945" s="230"/>
      <c r="I945" s="230"/>
      <c r="J945" s="230"/>
      <c r="K945" s="230"/>
      <c r="L945" s="230"/>
      <c r="M945" s="230"/>
      <c r="N945" s="230"/>
      <c r="O945" s="230"/>
      <c r="P945" s="230"/>
      <c r="Q945" s="230"/>
      <c r="R945" s="230"/>
      <c r="S945" s="230"/>
      <c r="T945" s="230"/>
      <c r="U945" s="230"/>
      <c r="V945" s="230"/>
      <c r="W945" s="230"/>
      <c r="X945" s="230"/>
      <c r="Y945" s="230"/>
      <c r="Z945" s="230"/>
    </row>
    <row r="946" spans="1:26" ht="15.75" customHeight="1">
      <c r="A946" s="230"/>
      <c r="B946" s="230"/>
      <c r="C946" s="230"/>
      <c r="D946" s="230"/>
      <c r="E946" s="230"/>
      <c r="F946" s="230"/>
      <c r="G946" s="230"/>
      <c r="H946" s="230"/>
      <c r="I946" s="230"/>
      <c r="J946" s="230"/>
      <c r="K946" s="230"/>
      <c r="L946" s="230"/>
      <c r="M946" s="230"/>
      <c r="N946" s="230"/>
      <c r="O946" s="230"/>
      <c r="P946" s="230"/>
      <c r="Q946" s="230"/>
      <c r="R946" s="230"/>
      <c r="S946" s="230"/>
      <c r="T946" s="230"/>
      <c r="U946" s="230"/>
      <c r="V946" s="230"/>
      <c r="W946" s="230"/>
      <c r="X946" s="230"/>
      <c r="Y946" s="230"/>
      <c r="Z946" s="230"/>
    </row>
    <row r="947" spans="1:26" ht="15.75" customHeight="1">
      <c r="A947" s="230"/>
      <c r="B947" s="230"/>
      <c r="C947" s="230"/>
      <c r="D947" s="230"/>
      <c r="E947" s="230"/>
      <c r="F947" s="230"/>
      <c r="G947" s="230"/>
      <c r="H947" s="230"/>
      <c r="I947" s="230"/>
      <c r="J947" s="230"/>
      <c r="K947" s="230"/>
      <c r="L947" s="230"/>
      <c r="M947" s="230"/>
      <c r="N947" s="230"/>
      <c r="O947" s="230"/>
      <c r="P947" s="230"/>
      <c r="Q947" s="230"/>
      <c r="R947" s="230"/>
      <c r="S947" s="230"/>
      <c r="T947" s="230"/>
      <c r="U947" s="230"/>
      <c r="V947" s="230"/>
      <c r="W947" s="230"/>
      <c r="X947" s="230"/>
      <c r="Y947" s="230"/>
      <c r="Z947" s="230"/>
    </row>
    <row r="948" spans="1:26" ht="15.75" customHeight="1">
      <c r="A948" s="230"/>
      <c r="B948" s="230"/>
      <c r="C948" s="230"/>
      <c r="D948" s="230"/>
      <c r="E948" s="230"/>
      <c r="F948" s="230"/>
      <c r="G948" s="230"/>
      <c r="H948" s="230"/>
      <c r="I948" s="230"/>
      <c r="J948" s="230"/>
      <c r="K948" s="230"/>
      <c r="L948" s="230"/>
      <c r="M948" s="230"/>
      <c r="N948" s="230"/>
      <c r="O948" s="230"/>
      <c r="P948" s="230"/>
      <c r="Q948" s="230"/>
      <c r="R948" s="230"/>
      <c r="S948" s="230"/>
      <c r="T948" s="230"/>
      <c r="U948" s="230"/>
      <c r="V948" s="230"/>
      <c r="W948" s="230"/>
      <c r="X948" s="230"/>
      <c r="Y948" s="230"/>
      <c r="Z948" s="230"/>
    </row>
    <row r="949" spans="1:26" ht="15.75" customHeight="1">
      <c r="A949" s="230"/>
      <c r="B949" s="230"/>
      <c r="C949" s="230"/>
      <c r="D949" s="230"/>
      <c r="E949" s="230"/>
      <c r="F949" s="230"/>
      <c r="G949" s="230"/>
      <c r="H949" s="230"/>
      <c r="I949" s="230"/>
      <c r="J949" s="230"/>
      <c r="K949" s="230"/>
      <c r="L949" s="230"/>
      <c r="M949" s="230"/>
      <c r="N949" s="230"/>
      <c r="O949" s="230"/>
      <c r="P949" s="230"/>
      <c r="Q949" s="230"/>
      <c r="R949" s="230"/>
      <c r="S949" s="230"/>
      <c r="T949" s="230"/>
      <c r="U949" s="230"/>
      <c r="V949" s="230"/>
      <c r="W949" s="230"/>
      <c r="X949" s="230"/>
      <c r="Y949" s="230"/>
      <c r="Z949" s="230"/>
    </row>
    <row r="950" spans="1:26" ht="15.75" customHeight="1">
      <c r="A950" s="230"/>
      <c r="B950" s="230"/>
      <c r="C950" s="230"/>
      <c r="D950" s="230"/>
      <c r="E950" s="230"/>
      <c r="F950" s="230"/>
      <c r="G950" s="230"/>
      <c r="H950" s="230"/>
      <c r="I950" s="230"/>
      <c r="J950" s="230"/>
      <c r="K950" s="230"/>
      <c r="L950" s="230"/>
      <c r="M950" s="230"/>
      <c r="N950" s="230"/>
      <c r="O950" s="230"/>
      <c r="P950" s="230"/>
      <c r="Q950" s="230"/>
      <c r="R950" s="230"/>
      <c r="S950" s="230"/>
      <c r="T950" s="230"/>
      <c r="U950" s="230"/>
      <c r="V950" s="230"/>
      <c r="W950" s="230"/>
      <c r="X950" s="230"/>
      <c r="Y950" s="230"/>
      <c r="Z950" s="230"/>
    </row>
    <row r="951" spans="1:26" ht="15.75" customHeight="1">
      <c r="A951" s="230"/>
      <c r="B951" s="230"/>
      <c r="C951" s="230"/>
      <c r="D951" s="230"/>
      <c r="E951" s="230"/>
      <c r="F951" s="230"/>
      <c r="G951" s="230"/>
      <c r="H951" s="230"/>
      <c r="I951" s="230"/>
      <c r="J951" s="230"/>
      <c r="K951" s="230"/>
      <c r="L951" s="230"/>
      <c r="M951" s="230"/>
      <c r="N951" s="230"/>
      <c r="O951" s="230"/>
      <c r="P951" s="230"/>
      <c r="Q951" s="230"/>
      <c r="R951" s="230"/>
      <c r="S951" s="230"/>
      <c r="T951" s="230"/>
      <c r="U951" s="230"/>
      <c r="V951" s="230"/>
      <c r="W951" s="230"/>
      <c r="X951" s="230"/>
      <c r="Y951" s="230"/>
      <c r="Z951" s="230"/>
    </row>
    <row r="952" spans="1:26" ht="15.75" customHeight="1">
      <c r="A952" s="230"/>
      <c r="B952" s="230"/>
      <c r="C952" s="230"/>
      <c r="D952" s="230"/>
      <c r="E952" s="230"/>
      <c r="F952" s="230"/>
      <c r="G952" s="230"/>
      <c r="H952" s="230"/>
      <c r="I952" s="230"/>
      <c r="J952" s="230"/>
      <c r="K952" s="230"/>
      <c r="L952" s="230"/>
      <c r="M952" s="230"/>
      <c r="N952" s="230"/>
      <c r="O952" s="230"/>
      <c r="P952" s="230"/>
      <c r="Q952" s="230"/>
      <c r="R952" s="230"/>
      <c r="S952" s="230"/>
      <c r="T952" s="230"/>
      <c r="U952" s="230"/>
      <c r="V952" s="230"/>
      <c r="W952" s="230"/>
      <c r="X952" s="230"/>
      <c r="Y952" s="230"/>
      <c r="Z952" s="230"/>
    </row>
    <row r="953" spans="1:26" ht="15.75" customHeight="1">
      <c r="A953" s="230"/>
      <c r="B953" s="230"/>
      <c r="C953" s="230"/>
      <c r="D953" s="230"/>
      <c r="E953" s="230"/>
      <c r="F953" s="230"/>
      <c r="G953" s="230"/>
      <c r="H953" s="230"/>
      <c r="I953" s="230"/>
      <c r="J953" s="230"/>
      <c r="K953" s="230"/>
      <c r="L953" s="230"/>
      <c r="M953" s="230"/>
      <c r="N953" s="230"/>
      <c r="O953" s="230"/>
      <c r="P953" s="230"/>
      <c r="Q953" s="230"/>
      <c r="R953" s="230"/>
      <c r="S953" s="230"/>
      <c r="T953" s="230"/>
      <c r="U953" s="230"/>
      <c r="V953" s="230"/>
      <c r="W953" s="230"/>
      <c r="X953" s="230"/>
      <c r="Y953" s="230"/>
      <c r="Z953" s="230"/>
    </row>
    <row r="954" spans="1:26" ht="15.75" customHeight="1">
      <c r="A954" s="230"/>
      <c r="B954" s="230"/>
      <c r="C954" s="230"/>
      <c r="D954" s="230"/>
      <c r="E954" s="230"/>
      <c r="F954" s="230"/>
      <c r="G954" s="230"/>
      <c r="H954" s="230"/>
      <c r="I954" s="230"/>
      <c r="J954" s="230"/>
      <c r="K954" s="230"/>
      <c r="L954" s="230"/>
      <c r="M954" s="230"/>
      <c r="N954" s="230"/>
      <c r="O954" s="230"/>
      <c r="P954" s="230"/>
      <c r="Q954" s="230"/>
      <c r="R954" s="230"/>
      <c r="S954" s="230"/>
      <c r="T954" s="230"/>
      <c r="U954" s="230"/>
      <c r="V954" s="230"/>
      <c r="W954" s="230"/>
      <c r="X954" s="230"/>
      <c r="Y954" s="230"/>
      <c r="Z954" s="230"/>
    </row>
    <row r="955" spans="1:26" ht="15.75" customHeight="1">
      <c r="A955" s="230"/>
      <c r="B955" s="230"/>
      <c r="C955" s="230"/>
      <c r="D955" s="230"/>
      <c r="E955" s="230"/>
      <c r="F955" s="230"/>
      <c r="G955" s="230"/>
      <c r="H955" s="230"/>
      <c r="I955" s="230"/>
      <c r="J955" s="230"/>
      <c r="K955" s="230"/>
      <c r="L955" s="230"/>
      <c r="M955" s="230"/>
      <c r="N955" s="230"/>
      <c r="O955" s="230"/>
      <c r="P955" s="230"/>
      <c r="Q955" s="230"/>
      <c r="R955" s="230"/>
      <c r="S955" s="230"/>
      <c r="T955" s="230"/>
      <c r="U955" s="230"/>
      <c r="V955" s="230"/>
      <c r="W955" s="230"/>
      <c r="X955" s="230"/>
      <c r="Y955" s="230"/>
      <c r="Z955" s="230"/>
    </row>
    <row r="956" spans="1:26" ht="15.75" customHeight="1">
      <c r="A956" s="230"/>
      <c r="B956" s="230"/>
      <c r="C956" s="230"/>
      <c r="D956" s="230"/>
      <c r="E956" s="230"/>
      <c r="F956" s="230"/>
      <c r="G956" s="230"/>
      <c r="H956" s="230"/>
      <c r="I956" s="230"/>
      <c r="J956" s="230"/>
      <c r="K956" s="230"/>
      <c r="L956" s="230"/>
      <c r="M956" s="230"/>
      <c r="N956" s="230"/>
      <c r="O956" s="230"/>
      <c r="P956" s="230"/>
      <c r="Q956" s="230"/>
      <c r="R956" s="230"/>
      <c r="S956" s="230"/>
      <c r="T956" s="230"/>
      <c r="U956" s="230"/>
      <c r="V956" s="230"/>
      <c r="W956" s="230"/>
      <c r="X956" s="230"/>
      <c r="Y956" s="230"/>
      <c r="Z956" s="230"/>
    </row>
    <row r="957" spans="1:26" ht="15.75" customHeight="1">
      <c r="A957" s="230"/>
      <c r="B957" s="230"/>
      <c r="C957" s="230"/>
      <c r="D957" s="230"/>
      <c r="E957" s="230"/>
      <c r="F957" s="230"/>
      <c r="G957" s="230"/>
      <c r="H957" s="230"/>
      <c r="I957" s="230"/>
      <c r="J957" s="230"/>
      <c r="K957" s="230"/>
      <c r="L957" s="230"/>
      <c r="M957" s="230"/>
      <c r="N957" s="230"/>
      <c r="O957" s="230"/>
      <c r="P957" s="230"/>
      <c r="Q957" s="230"/>
      <c r="R957" s="230"/>
      <c r="S957" s="230"/>
      <c r="T957" s="230"/>
      <c r="U957" s="230"/>
      <c r="V957" s="230"/>
      <c r="W957" s="230"/>
      <c r="X957" s="230"/>
      <c r="Y957" s="230"/>
      <c r="Z957" s="230"/>
    </row>
    <row r="958" spans="1:26" ht="15.75" customHeight="1">
      <c r="A958" s="230"/>
      <c r="B958" s="230"/>
      <c r="C958" s="230"/>
      <c r="D958" s="230"/>
      <c r="E958" s="230"/>
      <c r="F958" s="230"/>
      <c r="G958" s="230"/>
      <c r="H958" s="230"/>
      <c r="I958" s="230"/>
      <c r="J958" s="230"/>
      <c r="K958" s="230"/>
      <c r="L958" s="230"/>
      <c r="M958" s="230"/>
      <c r="N958" s="230"/>
      <c r="O958" s="230"/>
      <c r="P958" s="230"/>
      <c r="Q958" s="230"/>
      <c r="R958" s="230"/>
      <c r="S958" s="230"/>
      <c r="T958" s="230"/>
      <c r="U958" s="230"/>
      <c r="V958" s="230"/>
      <c r="W958" s="230"/>
      <c r="X958" s="230"/>
      <c r="Y958" s="230"/>
      <c r="Z958" s="230"/>
    </row>
    <row r="959" spans="1:26" ht="15.75" customHeight="1">
      <c r="A959" s="230"/>
      <c r="B959" s="230"/>
      <c r="C959" s="230"/>
      <c r="D959" s="230"/>
      <c r="E959" s="230"/>
      <c r="F959" s="230"/>
      <c r="G959" s="230"/>
      <c r="H959" s="230"/>
      <c r="I959" s="230"/>
      <c r="J959" s="230"/>
      <c r="K959" s="230"/>
      <c r="L959" s="230"/>
      <c r="M959" s="230"/>
      <c r="N959" s="230"/>
      <c r="O959" s="230"/>
      <c r="P959" s="230"/>
      <c r="Q959" s="230"/>
      <c r="R959" s="230"/>
      <c r="S959" s="230"/>
      <c r="T959" s="230"/>
      <c r="U959" s="230"/>
      <c r="V959" s="230"/>
      <c r="W959" s="230"/>
      <c r="X959" s="230"/>
      <c r="Y959" s="230"/>
      <c r="Z959" s="230"/>
    </row>
    <row r="960" spans="1:26" ht="15.75" customHeight="1">
      <c r="A960" s="230"/>
      <c r="B960" s="230"/>
      <c r="C960" s="230"/>
      <c r="D960" s="230"/>
      <c r="E960" s="230"/>
      <c r="F960" s="230"/>
      <c r="G960" s="230"/>
      <c r="H960" s="230"/>
      <c r="I960" s="230"/>
      <c r="J960" s="230"/>
      <c r="K960" s="230"/>
      <c r="L960" s="230"/>
      <c r="M960" s="230"/>
      <c r="N960" s="230"/>
      <c r="O960" s="230"/>
      <c r="P960" s="230"/>
      <c r="Q960" s="230"/>
      <c r="R960" s="230"/>
      <c r="S960" s="230"/>
      <c r="T960" s="230"/>
      <c r="U960" s="230"/>
      <c r="V960" s="230"/>
      <c r="W960" s="230"/>
      <c r="X960" s="230"/>
      <c r="Y960" s="230"/>
      <c r="Z960" s="230"/>
    </row>
    <row r="961" spans="1:26" ht="15.75" customHeight="1">
      <c r="A961" s="230"/>
      <c r="B961" s="230"/>
      <c r="C961" s="230"/>
      <c r="D961" s="230"/>
      <c r="E961" s="230"/>
      <c r="F961" s="230"/>
      <c r="G961" s="230"/>
      <c r="H961" s="230"/>
      <c r="I961" s="230"/>
      <c r="J961" s="230"/>
      <c r="K961" s="230"/>
      <c r="L961" s="230"/>
      <c r="M961" s="230"/>
      <c r="N961" s="230"/>
      <c r="O961" s="230"/>
      <c r="P961" s="230"/>
      <c r="Q961" s="230"/>
      <c r="R961" s="230"/>
      <c r="S961" s="230"/>
      <c r="T961" s="230"/>
      <c r="U961" s="230"/>
      <c r="V961" s="230"/>
      <c r="W961" s="230"/>
      <c r="X961" s="230"/>
      <c r="Y961" s="230"/>
      <c r="Z961" s="230"/>
    </row>
    <row r="962" spans="1:26" ht="15.75" customHeight="1">
      <c r="A962" s="230"/>
      <c r="B962" s="230"/>
      <c r="C962" s="230"/>
      <c r="D962" s="230"/>
      <c r="E962" s="230"/>
      <c r="F962" s="230"/>
      <c r="G962" s="230"/>
      <c r="H962" s="230"/>
      <c r="I962" s="230"/>
      <c r="J962" s="230"/>
      <c r="K962" s="230"/>
      <c r="L962" s="230"/>
      <c r="M962" s="230"/>
      <c r="N962" s="230"/>
      <c r="O962" s="230"/>
      <c r="P962" s="230"/>
      <c r="Q962" s="230"/>
      <c r="R962" s="230"/>
      <c r="S962" s="230"/>
      <c r="T962" s="230"/>
      <c r="U962" s="230"/>
      <c r="V962" s="230"/>
      <c r="W962" s="230"/>
      <c r="X962" s="230"/>
      <c r="Y962" s="230"/>
      <c r="Z962" s="230"/>
    </row>
    <row r="963" spans="1:26" ht="15.75" customHeight="1">
      <c r="A963" s="230"/>
      <c r="B963" s="230"/>
      <c r="C963" s="230"/>
      <c r="D963" s="230"/>
      <c r="E963" s="230"/>
      <c r="F963" s="230"/>
      <c r="G963" s="230"/>
      <c r="H963" s="230"/>
      <c r="I963" s="230"/>
      <c r="J963" s="230"/>
      <c r="K963" s="230"/>
      <c r="L963" s="230"/>
      <c r="M963" s="230"/>
      <c r="N963" s="230"/>
      <c r="O963" s="230"/>
      <c r="P963" s="230"/>
      <c r="Q963" s="230"/>
      <c r="R963" s="230"/>
      <c r="S963" s="230"/>
      <c r="T963" s="230"/>
      <c r="U963" s="230"/>
      <c r="V963" s="230"/>
      <c r="W963" s="230"/>
      <c r="X963" s="230"/>
      <c r="Y963" s="230"/>
      <c r="Z963" s="230"/>
    </row>
    <row r="964" spans="1:26" ht="15.75" customHeight="1">
      <c r="A964" s="230"/>
      <c r="B964" s="230"/>
      <c r="C964" s="230"/>
      <c r="D964" s="230"/>
      <c r="E964" s="230"/>
      <c r="F964" s="230"/>
      <c r="G964" s="230"/>
      <c r="H964" s="230"/>
      <c r="I964" s="230"/>
      <c r="J964" s="230"/>
      <c r="K964" s="230"/>
      <c r="L964" s="230"/>
      <c r="M964" s="230"/>
      <c r="N964" s="230"/>
      <c r="O964" s="230"/>
      <c r="P964" s="230"/>
      <c r="Q964" s="230"/>
      <c r="R964" s="230"/>
      <c r="S964" s="230"/>
      <c r="T964" s="230"/>
      <c r="U964" s="230"/>
      <c r="V964" s="230"/>
      <c r="W964" s="230"/>
      <c r="X964" s="230"/>
      <c r="Y964" s="230"/>
      <c r="Z964" s="230"/>
    </row>
    <row r="965" spans="1:26" ht="15.75" customHeight="1">
      <c r="A965" s="230"/>
      <c r="B965" s="230"/>
      <c r="C965" s="230"/>
      <c r="D965" s="230"/>
      <c r="E965" s="230"/>
      <c r="F965" s="230"/>
      <c r="G965" s="230"/>
      <c r="H965" s="230"/>
      <c r="I965" s="230"/>
      <c r="J965" s="230"/>
      <c r="K965" s="230"/>
      <c r="L965" s="230"/>
      <c r="M965" s="230"/>
      <c r="N965" s="230"/>
      <c r="O965" s="230"/>
      <c r="P965" s="230"/>
      <c r="Q965" s="230"/>
      <c r="R965" s="230"/>
      <c r="S965" s="230"/>
      <c r="T965" s="230"/>
      <c r="U965" s="230"/>
      <c r="V965" s="230"/>
      <c r="W965" s="230"/>
      <c r="X965" s="230"/>
      <c r="Y965" s="230"/>
      <c r="Z965" s="230"/>
    </row>
    <row r="966" spans="1:26" ht="15.75" customHeight="1">
      <c r="A966" s="230"/>
      <c r="B966" s="230"/>
      <c r="C966" s="230"/>
      <c r="D966" s="230"/>
      <c r="E966" s="230"/>
      <c r="F966" s="230"/>
      <c r="G966" s="230"/>
      <c r="H966" s="230"/>
      <c r="I966" s="230"/>
      <c r="J966" s="230"/>
      <c r="K966" s="230"/>
      <c r="L966" s="230"/>
      <c r="M966" s="230"/>
      <c r="N966" s="230"/>
      <c r="O966" s="230"/>
      <c r="P966" s="230"/>
      <c r="Q966" s="230"/>
      <c r="R966" s="230"/>
      <c r="S966" s="230"/>
      <c r="T966" s="230"/>
      <c r="U966" s="230"/>
      <c r="V966" s="230"/>
      <c r="W966" s="230"/>
      <c r="X966" s="230"/>
      <c r="Y966" s="230"/>
      <c r="Z966" s="230"/>
    </row>
    <row r="967" spans="1:26" ht="15.75" customHeight="1">
      <c r="A967" s="230"/>
      <c r="B967" s="230"/>
      <c r="C967" s="230"/>
      <c r="D967" s="230"/>
      <c r="E967" s="230"/>
      <c r="F967" s="230"/>
      <c r="G967" s="230"/>
      <c r="H967" s="230"/>
      <c r="I967" s="230"/>
      <c r="J967" s="230"/>
      <c r="K967" s="230"/>
      <c r="L967" s="230"/>
      <c r="M967" s="230"/>
      <c r="N967" s="230"/>
      <c r="O967" s="230"/>
      <c r="P967" s="230"/>
      <c r="Q967" s="230"/>
      <c r="R967" s="230"/>
      <c r="S967" s="230"/>
      <c r="T967" s="230"/>
      <c r="U967" s="230"/>
      <c r="V967" s="230"/>
      <c r="W967" s="230"/>
      <c r="X967" s="230"/>
      <c r="Y967" s="230"/>
      <c r="Z967" s="230"/>
    </row>
    <row r="968" spans="1:26" ht="15.75" customHeight="1">
      <c r="A968" s="230"/>
      <c r="B968" s="230"/>
      <c r="C968" s="230"/>
      <c r="D968" s="230"/>
      <c r="E968" s="230"/>
      <c r="F968" s="230"/>
      <c r="G968" s="230"/>
      <c r="H968" s="230"/>
      <c r="I968" s="230"/>
      <c r="J968" s="230"/>
      <c r="K968" s="230"/>
      <c r="L968" s="230"/>
      <c r="M968" s="230"/>
      <c r="N968" s="230"/>
      <c r="O968" s="230"/>
      <c r="P968" s="230"/>
      <c r="Q968" s="230"/>
      <c r="R968" s="230"/>
      <c r="S968" s="230"/>
      <c r="T968" s="230"/>
      <c r="U968" s="230"/>
      <c r="V968" s="230"/>
      <c r="W968" s="230"/>
      <c r="X968" s="230"/>
      <c r="Y968" s="230"/>
      <c r="Z968" s="230"/>
    </row>
    <row r="969" spans="1:26" ht="15.75" customHeight="1">
      <c r="A969" s="230"/>
      <c r="B969" s="230"/>
      <c r="C969" s="230"/>
      <c r="D969" s="230"/>
      <c r="E969" s="230"/>
      <c r="F969" s="230"/>
      <c r="G969" s="230"/>
      <c r="H969" s="230"/>
      <c r="I969" s="230"/>
      <c r="J969" s="230"/>
      <c r="K969" s="230"/>
      <c r="L969" s="230"/>
      <c r="M969" s="230"/>
      <c r="N969" s="230"/>
      <c r="O969" s="230"/>
      <c r="P969" s="230"/>
      <c r="Q969" s="230"/>
      <c r="R969" s="230"/>
      <c r="S969" s="230"/>
      <c r="T969" s="230"/>
      <c r="U969" s="230"/>
      <c r="V969" s="230"/>
      <c r="W969" s="230"/>
      <c r="X969" s="230"/>
      <c r="Y969" s="230"/>
      <c r="Z969" s="230"/>
    </row>
    <row r="970" spans="1:26" ht="15.75" customHeight="1">
      <c r="A970" s="230"/>
      <c r="B970" s="230"/>
      <c r="C970" s="230"/>
      <c r="D970" s="230"/>
      <c r="E970" s="230"/>
      <c r="F970" s="230"/>
      <c r="G970" s="230"/>
      <c r="H970" s="230"/>
      <c r="I970" s="230"/>
      <c r="J970" s="230"/>
      <c r="K970" s="230"/>
      <c r="L970" s="230"/>
      <c r="M970" s="230"/>
      <c r="N970" s="230"/>
      <c r="O970" s="230"/>
      <c r="P970" s="230"/>
      <c r="Q970" s="230"/>
      <c r="R970" s="230"/>
      <c r="S970" s="230"/>
      <c r="T970" s="230"/>
      <c r="U970" s="230"/>
      <c r="V970" s="230"/>
      <c r="W970" s="230"/>
      <c r="X970" s="230"/>
      <c r="Y970" s="230"/>
      <c r="Z970" s="230"/>
    </row>
    <row r="971" spans="1:26" ht="15.75" customHeight="1">
      <c r="A971" s="230"/>
      <c r="B971" s="230"/>
      <c r="C971" s="230"/>
      <c r="D971" s="230"/>
      <c r="E971" s="230"/>
      <c r="F971" s="230"/>
      <c r="G971" s="230"/>
      <c r="H971" s="230"/>
      <c r="I971" s="230"/>
      <c r="J971" s="230"/>
      <c r="K971" s="230"/>
      <c r="L971" s="230"/>
      <c r="M971" s="230"/>
      <c r="N971" s="230"/>
      <c r="O971" s="230"/>
      <c r="P971" s="230"/>
      <c r="Q971" s="230"/>
      <c r="R971" s="230"/>
      <c r="S971" s="230"/>
      <c r="T971" s="230"/>
      <c r="U971" s="230"/>
      <c r="V971" s="230"/>
      <c r="W971" s="230"/>
      <c r="X971" s="230"/>
      <c r="Y971" s="230"/>
      <c r="Z971" s="230"/>
    </row>
    <row r="972" spans="1:26" ht="15.75" customHeight="1">
      <c r="A972" s="230"/>
      <c r="B972" s="230"/>
      <c r="C972" s="230"/>
      <c r="D972" s="230"/>
      <c r="E972" s="230"/>
      <c r="F972" s="230"/>
      <c r="G972" s="230"/>
      <c r="H972" s="230"/>
      <c r="I972" s="230"/>
      <c r="J972" s="230"/>
      <c r="K972" s="230"/>
      <c r="L972" s="230"/>
      <c r="M972" s="230"/>
      <c r="N972" s="230"/>
      <c r="O972" s="230"/>
      <c r="P972" s="230"/>
      <c r="Q972" s="230"/>
      <c r="R972" s="230"/>
      <c r="S972" s="230"/>
      <c r="T972" s="230"/>
      <c r="U972" s="230"/>
      <c r="V972" s="230"/>
      <c r="W972" s="230"/>
      <c r="X972" s="230"/>
      <c r="Y972" s="230"/>
      <c r="Z972" s="230"/>
    </row>
    <row r="973" spans="1:26" ht="15.75" customHeight="1">
      <c r="A973" s="230"/>
      <c r="B973" s="230"/>
      <c r="C973" s="230"/>
      <c r="D973" s="230"/>
      <c r="E973" s="230"/>
      <c r="F973" s="230"/>
      <c r="G973" s="230"/>
      <c r="H973" s="230"/>
      <c r="I973" s="230"/>
      <c r="J973" s="230"/>
      <c r="K973" s="230"/>
      <c r="L973" s="230"/>
      <c r="M973" s="230"/>
      <c r="N973" s="230"/>
      <c r="O973" s="230"/>
      <c r="P973" s="230"/>
      <c r="Q973" s="230"/>
      <c r="R973" s="230"/>
      <c r="S973" s="230"/>
      <c r="T973" s="230"/>
      <c r="U973" s="230"/>
      <c r="V973" s="230"/>
      <c r="W973" s="230"/>
      <c r="X973" s="230"/>
      <c r="Y973" s="230"/>
      <c r="Z973" s="230"/>
    </row>
    <row r="974" spans="1:26" ht="15.75" customHeight="1">
      <c r="A974" s="230"/>
      <c r="B974" s="230"/>
      <c r="C974" s="230"/>
      <c r="D974" s="230"/>
      <c r="E974" s="230"/>
      <c r="F974" s="230"/>
      <c r="G974" s="230"/>
      <c r="H974" s="230"/>
      <c r="I974" s="230"/>
      <c r="J974" s="230"/>
      <c r="K974" s="230"/>
      <c r="L974" s="230"/>
      <c r="M974" s="230"/>
      <c r="N974" s="230"/>
      <c r="O974" s="230"/>
      <c r="P974" s="230"/>
      <c r="Q974" s="230"/>
      <c r="R974" s="230"/>
      <c r="S974" s="230"/>
      <c r="T974" s="230"/>
      <c r="U974" s="230"/>
      <c r="V974" s="230"/>
      <c r="W974" s="230"/>
      <c r="X974" s="230"/>
      <c r="Y974" s="230"/>
      <c r="Z974" s="230"/>
    </row>
    <row r="975" spans="1:26" ht="15.75" customHeight="1">
      <c r="A975" s="230"/>
      <c r="B975" s="230"/>
      <c r="C975" s="230"/>
      <c r="D975" s="230"/>
      <c r="E975" s="230"/>
      <c r="F975" s="230"/>
      <c r="G975" s="230"/>
      <c r="H975" s="230"/>
      <c r="I975" s="230"/>
      <c r="J975" s="230"/>
      <c r="K975" s="230"/>
      <c r="L975" s="230"/>
      <c r="M975" s="230"/>
      <c r="N975" s="230"/>
      <c r="O975" s="230"/>
      <c r="P975" s="230"/>
      <c r="Q975" s="230"/>
      <c r="R975" s="230"/>
      <c r="S975" s="230"/>
      <c r="T975" s="230"/>
      <c r="U975" s="230"/>
      <c r="V975" s="230"/>
      <c r="W975" s="230"/>
      <c r="X975" s="230"/>
      <c r="Y975" s="230"/>
      <c r="Z975" s="230"/>
    </row>
    <row r="976" spans="1:26" ht="15.75" customHeight="1">
      <c r="A976" s="230"/>
      <c r="B976" s="230"/>
      <c r="C976" s="230"/>
      <c r="D976" s="230"/>
      <c r="E976" s="230"/>
      <c r="F976" s="230"/>
      <c r="G976" s="230"/>
      <c r="H976" s="230"/>
      <c r="I976" s="230"/>
      <c r="J976" s="230"/>
      <c r="K976" s="230"/>
      <c r="L976" s="230"/>
      <c r="M976" s="230"/>
      <c r="N976" s="230"/>
      <c r="O976" s="230"/>
      <c r="P976" s="230"/>
      <c r="Q976" s="230"/>
      <c r="R976" s="230"/>
      <c r="S976" s="230"/>
      <c r="T976" s="230"/>
      <c r="U976" s="230"/>
      <c r="V976" s="230"/>
      <c r="W976" s="230"/>
      <c r="X976" s="230"/>
      <c r="Y976" s="230"/>
      <c r="Z976" s="230"/>
    </row>
    <row r="977" spans="1:26" ht="15.75" customHeight="1">
      <c r="A977" s="230"/>
      <c r="B977" s="230"/>
      <c r="C977" s="230"/>
      <c r="D977" s="230"/>
      <c r="E977" s="230"/>
      <c r="F977" s="230"/>
      <c r="G977" s="230"/>
      <c r="H977" s="230"/>
      <c r="I977" s="230"/>
      <c r="J977" s="230"/>
      <c r="K977" s="230"/>
      <c r="L977" s="230"/>
      <c r="M977" s="230"/>
      <c r="N977" s="230"/>
      <c r="O977" s="230"/>
      <c r="P977" s="230"/>
      <c r="Q977" s="230"/>
      <c r="R977" s="230"/>
      <c r="S977" s="230"/>
      <c r="T977" s="230"/>
      <c r="U977" s="230"/>
      <c r="V977" s="230"/>
      <c r="W977" s="230"/>
      <c r="X977" s="230"/>
      <c r="Y977" s="230"/>
      <c r="Z977" s="230"/>
    </row>
    <row r="978" spans="1:26" ht="15.75" customHeight="1">
      <c r="A978" s="230"/>
      <c r="B978" s="230"/>
      <c r="C978" s="230"/>
      <c r="D978" s="230"/>
      <c r="E978" s="230"/>
      <c r="F978" s="230"/>
      <c r="G978" s="230"/>
      <c r="H978" s="230"/>
      <c r="I978" s="230"/>
      <c r="J978" s="230"/>
      <c r="K978" s="230"/>
      <c r="L978" s="230"/>
      <c r="M978" s="230"/>
      <c r="N978" s="230"/>
      <c r="O978" s="230"/>
      <c r="P978" s="230"/>
      <c r="Q978" s="230"/>
      <c r="R978" s="230"/>
      <c r="S978" s="230"/>
      <c r="T978" s="230"/>
      <c r="U978" s="230"/>
      <c r="V978" s="230"/>
      <c r="W978" s="230"/>
      <c r="X978" s="230"/>
      <c r="Y978" s="230"/>
      <c r="Z978" s="230"/>
    </row>
    <row r="979" spans="1:26" ht="15.75" customHeight="1">
      <c r="A979" s="230"/>
      <c r="B979" s="230"/>
      <c r="C979" s="230"/>
      <c r="D979" s="230"/>
      <c r="E979" s="230"/>
      <c r="F979" s="230"/>
      <c r="G979" s="230"/>
      <c r="H979" s="230"/>
      <c r="I979" s="230"/>
      <c r="J979" s="230"/>
      <c r="K979" s="230"/>
      <c r="L979" s="230"/>
      <c r="M979" s="230"/>
      <c r="N979" s="230"/>
      <c r="O979" s="230"/>
      <c r="P979" s="230"/>
      <c r="Q979" s="230"/>
      <c r="R979" s="230"/>
      <c r="S979" s="230"/>
      <c r="T979" s="230"/>
      <c r="U979" s="230"/>
      <c r="V979" s="230"/>
      <c r="W979" s="230"/>
      <c r="X979" s="230"/>
      <c r="Y979" s="230"/>
      <c r="Z979" s="230"/>
    </row>
    <row r="980" spans="1:26" ht="15.75" customHeight="1">
      <c r="A980" s="230"/>
      <c r="B980" s="230"/>
      <c r="C980" s="230"/>
      <c r="D980" s="230"/>
      <c r="E980" s="230"/>
      <c r="F980" s="230"/>
      <c r="G980" s="230"/>
      <c r="H980" s="230"/>
      <c r="I980" s="230"/>
      <c r="J980" s="230"/>
      <c r="K980" s="230"/>
      <c r="L980" s="230"/>
      <c r="M980" s="230"/>
      <c r="N980" s="230"/>
      <c r="O980" s="230"/>
      <c r="P980" s="230"/>
      <c r="Q980" s="230"/>
      <c r="R980" s="230"/>
      <c r="S980" s="230"/>
      <c r="T980" s="230"/>
      <c r="U980" s="230"/>
      <c r="V980" s="230"/>
      <c r="W980" s="230"/>
      <c r="X980" s="230"/>
      <c r="Y980" s="230"/>
      <c r="Z980" s="230"/>
    </row>
    <row r="981" spans="1:26" ht="15.75" customHeight="1">
      <c r="A981" s="230"/>
      <c r="B981" s="230"/>
      <c r="C981" s="230"/>
      <c r="D981" s="230"/>
      <c r="E981" s="230"/>
      <c r="F981" s="230"/>
      <c r="G981" s="230"/>
      <c r="H981" s="230"/>
      <c r="I981" s="230"/>
      <c r="J981" s="230"/>
      <c r="K981" s="230"/>
      <c r="L981" s="230"/>
      <c r="M981" s="230"/>
      <c r="N981" s="230"/>
      <c r="O981" s="230"/>
      <c r="P981" s="230"/>
      <c r="Q981" s="230"/>
      <c r="R981" s="230"/>
      <c r="S981" s="230"/>
      <c r="T981" s="230"/>
      <c r="U981" s="230"/>
      <c r="V981" s="230"/>
      <c r="W981" s="230"/>
      <c r="X981" s="230"/>
      <c r="Y981" s="230"/>
      <c r="Z981" s="230"/>
    </row>
    <row r="982" spans="1:26" ht="15.75" customHeight="1">
      <c r="A982" s="230"/>
      <c r="B982" s="230"/>
      <c r="C982" s="230"/>
      <c r="D982" s="230"/>
      <c r="E982" s="230"/>
      <c r="F982" s="230"/>
      <c r="G982" s="230"/>
      <c r="H982" s="230"/>
      <c r="I982" s="230"/>
      <c r="J982" s="230"/>
      <c r="K982" s="230"/>
      <c r="L982" s="230"/>
      <c r="M982" s="230"/>
      <c r="N982" s="230"/>
      <c r="O982" s="230"/>
      <c r="P982" s="230"/>
      <c r="Q982" s="230"/>
      <c r="R982" s="230"/>
      <c r="S982" s="230"/>
      <c r="T982" s="230"/>
      <c r="U982" s="230"/>
      <c r="V982" s="230"/>
      <c r="W982" s="230"/>
      <c r="X982" s="230"/>
      <c r="Y982" s="230"/>
      <c r="Z982" s="230"/>
    </row>
    <row r="983" spans="1:26" ht="15.75" customHeight="1">
      <c r="A983" s="230"/>
      <c r="B983" s="230"/>
      <c r="C983" s="230"/>
      <c r="D983" s="230"/>
      <c r="E983" s="230"/>
      <c r="F983" s="230"/>
      <c r="G983" s="230"/>
      <c r="H983" s="230"/>
      <c r="I983" s="230"/>
      <c r="J983" s="230"/>
      <c r="K983" s="230"/>
      <c r="L983" s="230"/>
      <c r="M983" s="230"/>
      <c r="N983" s="230"/>
      <c r="O983" s="230"/>
      <c r="P983" s="230"/>
      <c r="Q983" s="230"/>
      <c r="R983" s="230"/>
      <c r="S983" s="230"/>
      <c r="T983" s="230"/>
      <c r="U983" s="230"/>
      <c r="V983" s="230"/>
      <c r="W983" s="230"/>
      <c r="X983" s="230"/>
      <c r="Y983" s="230"/>
      <c r="Z983" s="230"/>
    </row>
    <row r="984" spans="1:26" ht="15.75" customHeight="1">
      <c r="A984" s="230"/>
      <c r="B984" s="230"/>
      <c r="C984" s="230"/>
      <c r="D984" s="230"/>
      <c r="E984" s="230"/>
      <c r="F984" s="230"/>
      <c r="G984" s="230"/>
      <c r="H984" s="230"/>
      <c r="I984" s="230"/>
      <c r="J984" s="230"/>
      <c r="K984" s="230"/>
      <c r="L984" s="230"/>
      <c r="M984" s="230"/>
      <c r="N984" s="230"/>
      <c r="O984" s="230"/>
      <c r="P984" s="230"/>
      <c r="Q984" s="230"/>
      <c r="R984" s="230"/>
      <c r="S984" s="230"/>
      <c r="T984" s="230"/>
      <c r="U984" s="230"/>
      <c r="V984" s="230"/>
      <c r="W984" s="230"/>
      <c r="X984" s="230"/>
      <c r="Y984" s="230"/>
      <c r="Z984" s="230"/>
    </row>
    <row r="985" spans="1:26" ht="15.75" customHeight="1">
      <c r="A985" s="230"/>
      <c r="B985" s="230"/>
      <c r="C985" s="230"/>
      <c r="D985" s="230"/>
      <c r="E985" s="230"/>
      <c r="F985" s="230"/>
      <c r="G985" s="230"/>
      <c r="H985" s="230"/>
      <c r="I985" s="230"/>
      <c r="J985" s="230"/>
      <c r="K985" s="230"/>
      <c r="L985" s="230"/>
      <c r="M985" s="230"/>
      <c r="N985" s="230"/>
      <c r="O985" s="230"/>
      <c r="P985" s="230"/>
      <c r="Q985" s="230"/>
      <c r="R985" s="230"/>
      <c r="S985" s="230"/>
      <c r="T985" s="230"/>
      <c r="U985" s="230"/>
      <c r="V985" s="230"/>
      <c r="W985" s="230"/>
      <c r="X985" s="230"/>
      <c r="Y985" s="230"/>
      <c r="Z985" s="230"/>
    </row>
    <row r="986" spans="1:26" ht="15.75" customHeight="1">
      <c r="A986" s="230"/>
      <c r="B986" s="230"/>
      <c r="C986" s="230"/>
      <c r="D986" s="230"/>
      <c r="E986" s="230"/>
      <c r="F986" s="230"/>
      <c r="G986" s="230"/>
      <c r="H986" s="230"/>
      <c r="I986" s="230"/>
      <c r="J986" s="230"/>
      <c r="K986" s="230"/>
      <c r="L986" s="230"/>
      <c r="M986" s="230"/>
      <c r="N986" s="230"/>
      <c r="O986" s="230"/>
      <c r="P986" s="230"/>
      <c r="Q986" s="230"/>
      <c r="R986" s="230"/>
      <c r="S986" s="230"/>
      <c r="T986" s="230"/>
      <c r="U986" s="230"/>
      <c r="V986" s="230"/>
      <c r="W986" s="230"/>
      <c r="X986" s="230"/>
      <c r="Y986" s="230"/>
      <c r="Z986" s="230"/>
    </row>
    <row r="987" spans="1:26" ht="15.75" customHeight="1">
      <c r="A987" s="230"/>
      <c r="B987" s="230"/>
      <c r="C987" s="230"/>
      <c r="D987" s="230"/>
      <c r="E987" s="230"/>
      <c r="F987" s="230"/>
      <c r="G987" s="230"/>
      <c r="H987" s="230"/>
      <c r="I987" s="230"/>
      <c r="J987" s="230"/>
      <c r="K987" s="230"/>
      <c r="L987" s="230"/>
      <c r="M987" s="230"/>
      <c r="N987" s="230"/>
      <c r="O987" s="230"/>
      <c r="P987" s="230"/>
      <c r="Q987" s="230"/>
      <c r="R987" s="230"/>
      <c r="S987" s="230"/>
      <c r="T987" s="230"/>
      <c r="U987" s="230"/>
      <c r="V987" s="230"/>
      <c r="W987" s="230"/>
      <c r="X987" s="230"/>
      <c r="Y987" s="230"/>
      <c r="Z987" s="230"/>
    </row>
    <row r="988" spans="1:26" ht="15.75" customHeight="1">
      <c r="A988" s="230"/>
      <c r="B988" s="230"/>
      <c r="C988" s="230"/>
      <c r="D988" s="230"/>
      <c r="E988" s="230"/>
      <c r="F988" s="230"/>
      <c r="G988" s="230"/>
      <c r="H988" s="230"/>
      <c r="I988" s="230"/>
      <c r="J988" s="230"/>
      <c r="K988" s="230"/>
      <c r="L988" s="230"/>
      <c r="M988" s="230"/>
      <c r="N988" s="230"/>
      <c r="O988" s="230"/>
      <c r="P988" s="230"/>
      <c r="Q988" s="230"/>
      <c r="R988" s="230"/>
      <c r="S988" s="230"/>
      <c r="T988" s="230"/>
      <c r="U988" s="230"/>
      <c r="V988" s="230"/>
      <c r="W988" s="230"/>
      <c r="X988" s="230"/>
      <c r="Y988" s="230"/>
      <c r="Z988" s="230"/>
    </row>
    <row r="989" spans="1:26" ht="15.75" customHeight="1">
      <c r="A989" s="230"/>
      <c r="B989" s="230"/>
      <c r="C989" s="230"/>
      <c r="D989" s="230"/>
      <c r="E989" s="230"/>
      <c r="F989" s="230"/>
      <c r="G989" s="230"/>
      <c r="H989" s="230"/>
      <c r="I989" s="230"/>
      <c r="J989" s="230"/>
      <c r="K989" s="230"/>
      <c r="L989" s="230"/>
      <c r="M989" s="230"/>
      <c r="N989" s="230"/>
      <c r="O989" s="230"/>
      <c r="P989" s="230"/>
      <c r="Q989" s="230"/>
      <c r="R989" s="230"/>
      <c r="S989" s="230"/>
      <c r="T989" s="230"/>
      <c r="U989" s="230"/>
      <c r="V989" s="230"/>
      <c r="W989" s="230"/>
      <c r="X989" s="230"/>
      <c r="Y989" s="230"/>
      <c r="Z989" s="230"/>
    </row>
    <row r="990" spans="1:26" ht="15.75" customHeight="1">
      <c r="A990" s="230"/>
      <c r="B990" s="230"/>
      <c r="C990" s="230"/>
      <c r="D990" s="230"/>
      <c r="E990" s="230"/>
      <c r="F990" s="230"/>
      <c r="G990" s="230"/>
      <c r="H990" s="230"/>
      <c r="I990" s="230"/>
      <c r="J990" s="230"/>
      <c r="K990" s="230"/>
      <c r="L990" s="230"/>
      <c r="M990" s="230"/>
      <c r="N990" s="230"/>
      <c r="O990" s="230"/>
      <c r="P990" s="230"/>
      <c r="Q990" s="230"/>
      <c r="R990" s="230"/>
      <c r="S990" s="230"/>
      <c r="T990" s="230"/>
      <c r="U990" s="230"/>
      <c r="V990" s="230"/>
      <c r="W990" s="230"/>
      <c r="X990" s="230"/>
      <c r="Y990" s="230"/>
      <c r="Z990" s="230"/>
    </row>
    <row r="991" spans="1:26" ht="15.75" customHeight="1">
      <c r="A991" s="230"/>
      <c r="B991" s="230"/>
      <c r="C991" s="230"/>
      <c r="D991" s="230"/>
      <c r="E991" s="230"/>
      <c r="F991" s="230"/>
      <c r="G991" s="230"/>
      <c r="H991" s="230"/>
      <c r="I991" s="230"/>
      <c r="J991" s="230"/>
      <c r="K991" s="230"/>
      <c r="L991" s="230"/>
      <c r="M991" s="230"/>
      <c r="N991" s="230"/>
      <c r="O991" s="230"/>
      <c r="P991" s="230"/>
      <c r="Q991" s="230"/>
      <c r="R991" s="230"/>
      <c r="S991" s="230"/>
      <c r="T991" s="230"/>
      <c r="U991" s="230"/>
      <c r="V991" s="230"/>
      <c r="W991" s="230"/>
      <c r="X991" s="230"/>
      <c r="Y991" s="230"/>
      <c r="Z991" s="230"/>
    </row>
    <row r="992" spans="1:26" ht="15.75" customHeight="1">
      <c r="A992" s="230"/>
      <c r="B992" s="230"/>
      <c r="C992" s="230"/>
      <c r="D992" s="230"/>
      <c r="E992" s="230"/>
      <c r="F992" s="230"/>
      <c r="G992" s="230"/>
      <c r="H992" s="230"/>
      <c r="I992" s="230"/>
      <c r="J992" s="230"/>
      <c r="K992" s="230"/>
      <c r="L992" s="230"/>
      <c r="M992" s="230"/>
      <c r="N992" s="230"/>
      <c r="O992" s="230"/>
      <c r="P992" s="230"/>
      <c r="Q992" s="230"/>
      <c r="R992" s="230"/>
      <c r="S992" s="230"/>
      <c r="T992" s="230"/>
      <c r="U992" s="230"/>
      <c r="V992" s="230"/>
      <c r="W992" s="230"/>
      <c r="X992" s="230"/>
      <c r="Y992" s="230"/>
      <c r="Z992" s="230"/>
    </row>
    <row r="993" spans="1:26" ht="15.75" customHeight="1">
      <c r="A993" s="230"/>
      <c r="B993" s="230"/>
      <c r="C993" s="230"/>
      <c r="D993" s="230"/>
      <c r="E993" s="230"/>
      <c r="F993" s="230"/>
      <c r="G993" s="230"/>
      <c r="H993" s="230"/>
      <c r="I993" s="230"/>
      <c r="J993" s="230"/>
      <c r="K993" s="230"/>
      <c r="L993" s="230"/>
      <c r="M993" s="230"/>
      <c r="N993" s="230"/>
      <c r="O993" s="230"/>
      <c r="P993" s="230"/>
      <c r="Q993" s="230"/>
      <c r="R993" s="230"/>
      <c r="S993" s="230"/>
      <c r="T993" s="230"/>
      <c r="U993" s="230"/>
      <c r="V993" s="230"/>
      <c r="W993" s="230"/>
      <c r="X993" s="230"/>
      <c r="Y993" s="230"/>
      <c r="Z993" s="230"/>
    </row>
    <row r="994" spans="1:26" ht="15.75" customHeight="1">
      <c r="A994" s="230"/>
      <c r="B994" s="230"/>
      <c r="C994" s="230"/>
      <c r="D994" s="230"/>
      <c r="E994" s="230"/>
      <c r="F994" s="230"/>
      <c r="G994" s="230"/>
      <c r="H994" s="230"/>
      <c r="I994" s="230"/>
      <c r="J994" s="230"/>
      <c r="K994" s="230"/>
      <c r="L994" s="230"/>
      <c r="M994" s="230"/>
      <c r="N994" s="230"/>
      <c r="O994" s="230"/>
      <c r="P994" s="230"/>
      <c r="Q994" s="230"/>
      <c r="R994" s="230"/>
      <c r="S994" s="230"/>
      <c r="T994" s="230"/>
      <c r="U994" s="230"/>
      <c r="V994" s="230"/>
      <c r="W994" s="230"/>
      <c r="X994" s="230"/>
      <c r="Y994" s="230"/>
      <c r="Z994" s="230"/>
    </row>
    <row r="995" spans="1:26" ht="15.75" customHeight="1">
      <c r="A995" s="230"/>
      <c r="B995" s="230"/>
      <c r="C995" s="230"/>
      <c r="D995" s="230"/>
      <c r="E995" s="230"/>
      <c r="F995" s="230"/>
      <c r="G995" s="230"/>
      <c r="H995" s="230"/>
      <c r="I995" s="230"/>
      <c r="J995" s="230"/>
      <c r="K995" s="230"/>
      <c r="L995" s="230"/>
      <c r="M995" s="230"/>
      <c r="N995" s="230"/>
      <c r="O995" s="230"/>
      <c r="P995" s="230"/>
      <c r="Q995" s="230"/>
      <c r="R995" s="230"/>
      <c r="S995" s="230"/>
      <c r="T995" s="230"/>
      <c r="U995" s="230"/>
      <c r="V995" s="230"/>
      <c r="W995" s="230"/>
      <c r="X995" s="230"/>
      <c r="Y995" s="230"/>
      <c r="Z995" s="230"/>
    </row>
    <row r="996" spans="1:26" ht="15.75" customHeight="1">
      <c r="A996" s="230"/>
      <c r="B996" s="230"/>
      <c r="C996" s="230"/>
      <c r="D996" s="230"/>
      <c r="E996" s="230"/>
      <c r="F996" s="230"/>
      <c r="G996" s="230"/>
      <c r="H996" s="230"/>
      <c r="I996" s="230"/>
      <c r="J996" s="230"/>
      <c r="K996" s="230"/>
      <c r="L996" s="230"/>
      <c r="M996" s="230"/>
      <c r="N996" s="230"/>
      <c r="O996" s="230"/>
      <c r="P996" s="230"/>
      <c r="Q996" s="230"/>
      <c r="R996" s="230"/>
      <c r="S996" s="230"/>
      <c r="T996" s="230"/>
      <c r="U996" s="230"/>
      <c r="V996" s="230"/>
      <c r="W996" s="230"/>
      <c r="X996" s="230"/>
      <c r="Y996" s="230"/>
      <c r="Z996" s="230"/>
    </row>
    <row r="997" spans="1:26" ht="15.75" customHeight="1">
      <c r="A997" s="230"/>
      <c r="B997" s="230"/>
      <c r="C997" s="230"/>
      <c r="D997" s="230"/>
      <c r="E997" s="230"/>
      <c r="F997" s="230"/>
      <c r="G997" s="230"/>
      <c r="H997" s="230"/>
      <c r="I997" s="230"/>
      <c r="J997" s="230"/>
      <c r="K997" s="230"/>
      <c r="L997" s="230"/>
      <c r="M997" s="230"/>
      <c r="N997" s="230"/>
      <c r="O997" s="230"/>
      <c r="P997" s="230"/>
      <c r="Q997" s="230"/>
      <c r="R997" s="230"/>
      <c r="S997" s="230"/>
      <c r="T997" s="230"/>
      <c r="U997" s="230"/>
      <c r="V997" s="230"/>
      <c r="W997" s="230"/>
      <c r="X997" s="230"/>
      <c r="Y997" s="230"/>
      <c r="Z997" s="230"/>
    </row>
    <row r="998" spans="1:26" ht="15.75" customHeight="1">
      <c r="A998" s="230"/>
      <c r="B998" s="230"/>
      <c r="C998" s="230"/>
      <c r="D998" s="230"/>
      <c r="E998" s="230"/>
      <c r="F998" s="230"/>
      <c r="G998" s="230"/>
      <c r="H998" s="230"/>
      <c r="I998" s="230"/>
      <c r="J998" s="230"/>
      <c r="K998" s="230"/>
      <c r="L998" s="230"/>
      <c r="M998" s="230"/>
      <c r="N998" s="230"/>
      <c r="O998" s="230"/>
      <c r="P998" s="230"/>
      <c r="Q998" s="230"/>
      <c r="R998" s="230"/>
      <c r="S998" s="230"/>
      <c r="T998" s="230"/>
      <c r="U998" s="230"/>
      <c r="V998" s="230"/>
      <c r="W998" s="230"/>
      <c r="X998" s="230"/>
      <c r="Y998" s="230"/>
      <c r="Z998" s="230"/>
    </row>
    <row r="999" spans="1:26" ht="15.75" customHeight="1">
      <c r="A999" s="230"/>
      <c r="B999" s="230"/>
      <c r="C999" s="230"/>
      <c r="D999" s="230"/>
      <c r="E999" s="230"/>
      <c r="F999" s="230"/>
      <c r="G999" s="230"/>
      <c r="H999" s="230"/>
      <c r="I999" s="230"/>
      <c r="J999" s="230"/>
      <c r="K999" s="230"/>
      <c r="L999" s="230"/>
      <c r="M999" s="230"/>
      <c r="N999" s="230"/>
      <c r="O999" s="230"/>
      <c r="P999" s="230"/>
      <c r="Q999" s="230"/>
      <c r="R999" s="230"/>
      <c r="S999" s="230"/>
      <c r="T999" s="230"/>
      <c r="U999" s="230"/>
      <c r="V999" s="230"/>
      <c r="W999" s="230"/>
      <c r="X999" s="230"/>
      <c r="Y999" s="230"/>
      <c r="Z999" s="230"/>
    </row>
    <row r="1000" spans="1:26" ht="15.75" customHeight="1">
      <c r="A1000" s="230"/>
      <c r="B1000" s="230"/>
      <c r="C1000" s="230"/>
      <c r="D1000" s="230"/>
      <c r="E1000" s="230"/>
      <c r="F1000" s="230"/>
      <c r="G1000" s="230"/>
      <c r="H1000" s="230"/>
      <c r="I1000" s="230"/>
      <c r="J1000" s="230"/>
      <c r="K1000" s="230"/>
      <c r="L1000" s="230"/>
      <c r="M1000" s="230"/>
      <c r="N1000" s="230"/>
      <c r="O1000" s="230"/>
      <c r="P1000" s="230"/>
      <c r="Q1000" s="230"/>
      <c r="R1000" s="230"/>
      <c r="S1000" s="230"/>
      <c r="T1000" s="230"/>
      <c r="U1000" s="230"/>
      <c r="V1000" s="230"/>
      <c r="W1000" s="230"/>
      <c r="X1000" s="230"/>
      <c r="Y1000" s="230"/>
      <c r="Z1000" s="230"/>
    </row>
  </sheetData>
  <mergeCells count="4">
    <mergeCell ref="G13:I13"/>
    <mergeCell ref="E48:E49"/>
    <mergeCell ref="G48:G49"/>
    <mergeCell ref="M48:M49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B555-84DA-495C-B75D-CD2F3607E94E}">
  <dimension ref="A1:Z1000"/>
  <sheetViews>
    <sheetView showGridLines="0" zoomScale="94" zoomScaleNormal="120" workbookViewId="0">
      <selection sqref="A1:A2"/>
    </sheetView>
  </sheetViews>
  <sheetFormatPr defaultColWidth="14.453125" defaultRowHeight="15" customHeight="1"/>
  <cols>
    <col min="1" max="1" width="3.453125" customWidth="1"/>
    <col min="2" max="2" width="33.54296875" customWidth="1"/>
    <col min="3" max="3" width="11.453125" customWidth="1"/>
    <col min="4" max="5" width="10.54296875" customWidth="1"/>
    <col min="6" max="6" width="11.453125" customWidth="1"/>
    <col min="7" max="7" width="27.54296875" customWidth="1"/>
    <col min="8" max="8" width="14" customWidth="1"/>
    <col min="9" max="9" width="13" customWidth="1"/>
    <col min="10" max="10" width="16.36328125" customWidth="1"/>
    <col min="11" max="11" width="12" customWidth="1"/>
    <col min="12" max="12" width="16.36328125" customWidth="1"/>
    <col min="13" max="13" width="11.54296875" customWidth="1"/>
    <col min="14" max="26" width="11.453125" customWidth="1"/>
  </cols>
  <sheetData>
    <row r="1" spans="1:26" ht="25.5" customHeight="1">
      <c r="A1" s="329" t="s">
        <v>19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  <c r="R1" s="371"/>
      <c r="S1" s="371"/>
      <c r="T1" s="371"/>
      <c r="U1" s="371"/>
      <c r="V1" s="371"/>
      <c r="W1" s="371"/>
      <c r="X1" s="371"/>
      <c r="Y1" s="371"/>
      <c r="Z1" s="371"/>
    </row>
    <row r="2" spans="1:26" ht="15.75" customHeight="1">
      <c r="A2" s="328" t="str">
        <f>"(In "&amp;F10&amp;" Millions Except Per Share Data)"</f>
        <v>(In USD Millions Except Per Share Data)</v>
      </c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</row>
    <row r="3" spans="1:26" ht="15.75" customHeight="1" thickBot="1">
      <c r="A3" s="230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</row>
    <row r="4" spans="1:26" ht="15.75" customHeight="1">
      <c r="A4" s="330" t="s">
        <v>667</v>
      </c>
      <c r="B4" s="331"/>
      <c r="C4" s="331"/>
      <c r="D4" s="331"/>
      <c r="E4" s="331"/>
      <c r="F4" s="332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</row>
    <row r="5" spans="1:26" ht="15.75" customHeight="1">
      <c r="A5" s="268" t="s">
        <v>666</v>
      </c>
      <c r="B5" s="230"/>
      <c r="C5" s="230"/>
      <c r="D5" s="230"/>
      <c r="E5" s="230"/>
      <c r="F5" s="333" t="s">
        <v>665</v>
      </c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</row>
    <row r="6" spans="1:26" ht="15.75" customHeight="1">
      <c r="A6" s="268" t="s">
        <v>664</v>
      </c>
      <c r="B6" s="230"/>
      <c r="C6" s="230"/>
      <c r="D6" s="230"/>
      <c r="E6" s="230"/>
      <c r="F6" s="334">
        <v>45702</v>
      </c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</row>
    <row r="7" spans="1:26" ht="15.75" customHeight="1">
      <c r="A7" s="268" t="s">
        <v>663</v>
      </c>
      <c r="B7" s="230"/>
      <c r="C7" s="230"/>
      <c r="D7" s="230"/>
      <c r="E7" s="230"/>
      <c r="F7" s="335" t="s">
        <v>676</v>
      </c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</row>
    <row r="8" spans="1:26" ht="15.75" customHeight="1">
      <c r="A8" s="268" t="s">
        <v>661</v>
      </c>
      <c r="B8" s="230"/>
      <c r="C8" s="230"/>
      <c r="D8" s="230"/>
      <c r="E8" s="230"/>
      <c r="F8" s="336">
        <v>45438</v>
      </c>
      <c r="G8" s="230"/>
      <c r="H8" s="230"/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</row>
    <row r="9" spans="1:26" ht="15.75" customHeight="1">
      <c r="A9" s="268" t="s">
        <v>660</v>
      </c>
      <c r="B9" s="230"/>
      <c r="C9" s="230"/>
      <c r="D9" s="230"/>
      <c r="E9" s="230"/>
      <c r="F9" s="336">
        <v>45620</v>
      </c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</row>
    <row r="10" spans="1:26" ht="15.75" customHeight="1">
      <c r="A10" s="268" t="s">
        <v>552</v>
      </c>
      <c r="B10" s="230"/>
      <c r="C10" s="230"/>
      <c r="D10" s="230"/>
      <c r="E10" s="230"/>
      <c r="F10" s="335" t="s">
        <v>570</v>
      </c>
      <c r="G10" s="230"/>
      <c r="H10" s="230"/>
      <c r="I10" s="230"/>
      <c r="J10" s="230"/>
      <c r="K10" s="230"/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</row>
    <row r="11" spans="1:26" ht="15.75" customHeight="1" thickBot="1">
      <c r="A11" s="267" t="s">
        <v>463</v>
      </c>
      <c r="B11" s="223"/>
      <c r="C11" s="223"/>
      <c r="D11" s="223"/>
      <c r="E11" s="223"/>
      <c r="F11" s="337">
        <v>0.27</v>
      </c>
      <c r="G11" s="230" t="s">
        <v>659</v>
      </c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</row>
    <row r="12" spans="1:26" ht="15.75" customHeight="1">
      <c r="A12" s="230"/>
      <c r="B12" s="230"/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</row>
    <row r="13" spans="1:26" ht="15.75" customHeight="1" thickBot="1">
      <c r="A13" s="230"/>
      <c r="B13" s="230"/>
      <c r="C13" s="230"/>
      <c r="D13" s="230"/>
      <c r="E13" s="230"/>
      <c r="F13" s="230"/>
      <c r="G13" s="434"/>
      <c r="H13" s="427"/>
      <c r="I13" s="427"/>
      <c r="J13" s="230"/>
      <c r="K13" s="230"/>
      <c r="L13" s="23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</row>
    <row r="14" spans="1:26" ht="15.75" customHeight="1" thickBot="1">
      <c r="A14" s="338" t="s">
        <v>658</v>
      </c>
      <c r="B14" s="339"/>
      <c r="C14" s="340" t="s">
        <v>657</v>
      </c>
      <c r="D14" s="340" t="s">
        <v>656</v>
      </c>
      <c r="E14" s="340" t="s">
        <v>655</v>
      </c>
      <c r="F14" s="341"/>
      <c r="G14" s="230"/>
      <c r="H14" s="277"/>
      <c r="I14" s="277"/>
      <c r="J14" s="230"/>
      <c r="K14" s="230"/>
      <c r="L14" s="230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</row>
    <row r="15" spans="1:26" ht="15.75" customHeight="1">
      <c r="A15" s="268" t="s">
        <v>654</v>
      </c>
      <c r="B15" s="230"/>
      <c r="C15" s="342">
        <v>191.19</v>
      </c>
      <c r="D15" s="299"/>
      <c r="E15" s="299"/>
      <c r="F15" s="288"/>
      <c r="G15" s="287" t="s">
        <v>653</v>
      </c>
      <c r="H15" s="265"/>
      <c r="I15" s="230"/>
      <c r="J15" s="230"/>
      <c r="K15" s="230"/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</row>
    <row r="16" spans="1:26" ht="15.75" customHeight="1">
      <c r="A16" s="268" t="s">
        <v>652</v>
      </c>
      <c r="B16" s="230"/>
      <c r="C16" s="299">
        <f>117146786/10^6</f>
        <v>117.14678600000001</v>
      </c>
      <c r="D16" s="299"/>
      <c r="E16" s="299"/>
      <c r="F16" s="286"/>
      <c r="G16" s="230" t="s">
        <v>651</v>
      </c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</row>
    <row r="17" spans="1:26" ht="15.75" customHeight="1">
      <c r="A17" s="268" t="s">
        <v>650</v>
      </c>
      <c r="B17" s="230"/>
      <c r="C17" s="299">
        <f>C16+H45+G53</f>
        <v>117.96825574214134</v>
      </c>
      <c r="D17" s="299"/>
      <c r="E17" s="299"/>
      <c r="F17" s="286"/>
      <c r="G17" s="230"/>
      <c r="H17" s="258"/>
      <c r="I17" s="230"/>
      <c r="J17" s="230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</row>
    <row r="18" spans="1:26" ht="15.75" customHeight="1">
      <c r="A18" s="268" t="s">
        <v>546</v>
      </c>
      <c r="B18" s="231"/>
      <c r="C18" s="299">
        <f>C15*C17</f>
        <v>22554.350815340003</v>
      </c>
      <c r="D18" s="299"/>
      <c r="E18" s="299"/>
      <c r="F18" s="343">
        <f>SUM(C18:E18)</f>
        <v>22554.350815340003</v>
      </c>
      <c r="G18" s="230"/>
      <c r="H18" s="230"/>
      <c r="I18" s="258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</row>
    <row r="19" spans="1:26" ht="15.75" customHeight="1">
      <c r="A19" s="268" t="s">
        <v>523</v>
      </c>
      <c r="B19" s="230"/>
      <c r="C19" s="230"/>
      <c r="D19" s="258"/>
      <c r="E19" s="258"/>
      <c r="F19" s="343">
        <v>0</v>
      </c>
      <c r="G19" s="230"/>
      <c r="H19" s="258"/>
      <c r="I19" s="258"/>
      <c r="J19" s="230"/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</row>
    <row r="20" spans="1:26" ht="15.75" customHeight="1">
      <c r="A20" s="285" t="s">
        <v>649</v>
      </c>
      <c r="B20" s="230"/>
      <c r="C20" s="230"/>
      <c r="D20" s="258"/>
      <c r="E20" s="258"/>
      <c r="F20" s="343">
        <v>0</v>
      </c>
      <c r="G20" s="230"/>
      <c r="H20" s="258"/>
      <c r="I20" s="258"/>
      <c r="J20" s="230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</row>
    <row r="21" spans="1:26" ht="15.75" customHeight="1">
      <c r="A21" s="268"/>
      <c r="B21" s="230" t="s">
        <v>648</v>
      </c>
      <c r="C21" s="230"/>
      <c r="D21" s="230"/>
      <c r="E21" s="299">
        <v>0</v>
      </c>
      <c r="F21" s="286"/>
      <c r="G21" s="230"/>
      <c r="H21" s="230"/>
      <c r="I21" s="230"/>
      <c r="J21" s="230"/>
      <c r="K21" s="230"/>
      <c r="L21" s="230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</row>
    <row r="22" spans="1:26" ht="15.75" customHeight="1">
      <c r="A22" s="268"/>
      <c r="B22" s="257" t="s">
        <v>647</v>
      </c>
      <c r="C22" s="230"/>
      <c r="D22" s="230"/>
      <c r="E22" s="299">
        <v>0</v>
      </c>
      <c r="F22" s="286"/>
      <c r="G22" s="230"/>
      <c r="H22" s="230"/>
      <c r="I22" s="230"/>
      <c r="J22" s="230"/>
      <c r="K22" s="230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</row>
    <row r="23" spans="1:26" ht="15.75" customHeight="1">
      <c r="A23" s="285" t="s">
        <v>646</v>
      </c>
      <c r="B23" s="230"/>
      <c r="C23" s="230"/>
      <c r="D23" s="230"/>
      <c r="E23" s="258"/>
      <c r="F23" s="343">
        <f>SUM(E24:E25)</f>
        <v>2396.8999999999996</v>
      </c>
      <c r="G23" s="230"/>
      <c r="H23" s="258"/>
      <c r="I23" s="258"/>
      <c r="J23" s="230"/>
      <c r="K23" s="230"/>
      <c r="L23" s="230"/>
      <c r="M23" s="230"/>
      <c r="N23" s="230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</row>
    <row r="24" spans="1:26" ht="15" customHeight="1">
      <c r="A24" s="268"/>
      <c r="B24" s="257" t="s">
        <v>645</v>
      </c>
      <c r="C24" s="257"/>
      <c r="D24" s="230"/>
      <c r="E24" s="299">
        <f>2121.7+275.2</f>
        <v>2396.8999999999996</v>
      </c>
      <c r="F24" s="286"/>
      <c r="G24" s="230" t="s">
        <v>644</v>
      </c>
      <c r="H24" s="230"/>
      <c r="I24" s="230"/>
      <c r="J24" s="230"/>
      <c r="K24" s="230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</row>
    <row r="25" spans="1:26" ht="15" customHeight="1">
      <c r="A25" s="268"/>
      <c r="B25" s="257" t="s">
        <v>643</v>
      </c>
      <c r="C25" s="257"/>
      <c r="D25" s="230"/>
      <c r="E25" s="299">
        <v>0</v>
      </c>
      <c r="F25" s="286"/>
      <c r="G25" s="230"/>
      <c r="H25" s="230"/>
      <c r="I25" s="230"/>
      <c r="J25" s="230"/>
      <c r="K25" s="230"/>
      <c r="L25" s="230"/>
      <c r="M25" s="230"/>
      <c r="N25" s="230"/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</row>
    <row r="26" spans="1:26" ht="15.75" customHeight="1">
      <c r="A26" s="285" t="s">
        <v>642</v>
      </c>
      <c r="B26" s="230"/>
      <c r="C26" s="230"/>
      <c r="D26" s="230"/>
      <c r="E26" s="258"/>
      <c r="F26" s="286"/>
      <c r="G26" s="230"/>
      <c r="H26" s="230"/>
      <c r="I26" s="230"/>
      <c r="J26" s="230"/>
      <c r="K26" s="230"/>
      <c r="L26" s="230"/>
      <c r="M26" s="230"/>
      <c r="N26" s="230"/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</row>
    <row r="27" spans="1:26" ht="15" customHeight="1">
      <c r="A27" s="268"/>
      <c r="B27" s="230" t="s">
        <v>641</v>
      </c>
      <c r="C27" s="230"/>
      <c r="D27" s="230"/>
      <c r="E27" s="258"/>
      <c r="F27" s="372">
        <v>0</v>
      </c>
      <c r="G27" s="230"/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</row>
    <row r="28" spans="1:26" ht="15.75" customHeight="1">
      <c r="A28" s="268"/>
      <c r="B28" s="230" t="s">
        <v>640</v>
      </c>
      <c r="C28" s="230"/>
      <c r="D28" s="230"/>
      <c r="E28" s="230"/>
      <c r="F28" s="343">
        <v>3939.1</v>
      </c>
      <c r="G28" s="230" t="s">
        <v>672</v>
      </c>
      <c r="H28" s="258"/>
      <c r="I28" s="258"/>
      <c r="J28" s="230"/>
      <c r="K28" s="230"/>
      <c r="L28" s="230"/>
      <c r="M28" s="230"/>
      <c r="N28" s="230"/>
      <c r="O28" s="230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</row>
    <row r="29" spans="1:26" ht="15.75" customHeight="1">
      <c r="A29" s="285" t="s">
        <v>638</v>
      </c>
      <c r="B29" s="230"/>
      <c r="C29" s="230"/>
      <c r="D29" s="230"/>
      <c r="E29" s="258"/>
      <c r="F29" s="343">
        <v>217.3</v>
      </c>
      <c r="G29" s="230" t="s">
        <v>637</v>
      </c>
      <c r="H29" s="258"/>
      <c r="I29" s="258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</row>
    <row r="30" spans="1:26" ht="15.75" customHeight="1" thickBot="1">
      <c r="A30" s="284" t="s">
        <v>636</v>
      </c>
      <c r="B30" s="283"/>
      <c r="C30" s="283"/>
      <c r="D30" s="282"/>
      <c r="E30" s="282"/>
      <c r="F30" s="344">
        <f>F18+F19+F20+F23+F27+F28-F29</f>
        <v>28673.050815340004</v>
      </c>
      <c r="G30" s="230"/>
      <c r="H30" s="230"/>
      <c r="I30" s="258"/>
      <c r="J30" s="230"/>
      <c r="K30" s="230"/>
      <c r="L30" s="230"/>
      <c r="M30" s="230"/>
      <c r="N30" s="230"/>
      <c r="O30" s="230"/>
      <c r="P30" s="230"/>
      <c r="Q30" s="230"/>
      <c r="R30" s="230"/>
      <c r="S30" s="230"/>
      <c r="T30" s="230"/>
      <c r="U30" s="230"/>
      <c r="V30" s="230"/>
      <c r="W30" s="230"/>
      <c r="X30" s="230"/>
      <c r="Y30" s="230"/>
      <c r="Z30" s="230"/>
    </row>
    <row r="31" spans="1:26" ht="15.75" customHeight="1">
      <c r="A31" s="281" t="s">
        <v>635</v>
      </c>
      <c r="B31" s="259"/>
      <c r="C31" s="259"/>
      <c r="D31" s="261"/>
      <c r="E31" s="261"/>
      <c r="F31" s="312">
        <v>2.8</v>
      </c>
      <c r="G31" s="230" t="s">
        <v>634</v>
      </c>
      <c r="H31" s="258"/>
      <c r="I31" s="258"/>
      <c r="J31" s="230"/>
      <c r="K31" s="230"/>
      <c r="L31" s="230"/>
      <c r="M31" s="230"/>
      <c r="N31" s="230"/>
      <c r="O31" s="230"/>
      <c r="P31" s="230"/>
      <c r="Q31" s="230"/>
      <c r="R31" s="230"/>
      <c r="S31" s="230"/>
      <c r="T31" s="230"/>
      <c r="U31" s="230"/>
      <c r="V31" s="230"/>
      <c r="W31" s="230"/>
      <c r="X31" s="230"/>
      <c r="Y31" s="230"/>
      <c r="Z31" s="230"/>
    </row>
    <row r="32" spans="1:26" ht="14.25" customHeight="1">
      <c r="A32" s="281" t="s">
        <v>414</v>
      </c>
      <c r="B32" s="259"/>
      <c r="C32" s="259"/>
      <c r="D32" s="261"/>
      <c r="E32" s="261"/>
      <c r="F32" s="343">
        <f>F30-F31</f>
        <v>28670.250815340005</v>
      </c>
      <c r="G32" s="230"/>
      <c r="H32" s="230"/>
      <c r="I32" s="258"/>
      <c r="J32" s="230"/>
      <c r="K32" s="230"/>
      <c r="L32" s="230"/>
      <c r="M32" s="230"/>
      <c r="N32" s="230"/>
      <c r="O32" s="230"/>
      <c r="P32" s="230"/>
      <c r="Q32" s="230"/>
      <c r="R32" s="230"/>
      <c r="S32" s="230"/>
      <c r="T32" s="230"/>
      <c r="U32" s="230"/>
      <c r="V32" s="230"/>
      <c r="W32" s="230"/>
      <c r="X32" s="230"/>
      <c r="Y32" s="230"/>
      <c r="Z32" s="230"/>
    </row>
    <row r="33" spans="1:26" ht="15" customHeight="1" thickBot="1">
      <c r="A33" s="267" t="s">
        <v>633</v>
      </c>
      <c r="B33" s="223"/>
      <c r="C33" s="223"/>
      <c r="D33" s="223"/>
      <c r="E33" s="223"/>
      <c r="F33" s="345">
        <f>F18/SUM(C17:E17)</f>
        <v>191.19</v>
      </c>
      <c r="G33" s="230"/>
      <c r="H33" s="230"/>
      <c r="I33" s="230"/>
      <c r="J33" s="280"/>
      <c r="K33" s="230"/>
      <c r="L33" s="230"/>
      <c r="M33" s="230"/>
      <c r="N33" s="230"/>
      <c r="O33" s="230"/>
      <c r="P33" s="230"/>
      <c r="Q33" s="230"/>
      <c r="R33" s="230"/>
      <c r="S33" s="230"/>
      <c r="T33" s="230"/>
      <c r="U33" s="230"/>
      <c r="V33" s="230"/>
      <c r="W33" s="230"/>
      <c r="X33" s="230"/>
      <c r="Y33" s="230"/>
      <c r="Z33" s="230"/>
    </row>
    <row r="34" spans="1:26" ht="15.75" customHeight="1" thickBot="1">
      <c r="A34" s="230"/>
      <c r="B34" s="230"/>
      <c r="C34" s="230"/>
      <c r="D34" s="230"/>
      <c r="E34" s="230"/>
      <c r="F34" s="230"/>
      <c r="G34" s="230"/>
      <c r="H34" s="263"/>
      <c r="I34" s="263"/>
      <c r="J34" s="263"/>
      <c r="K34" s="230"/>
      <c r="L34" s="230"/>
      <c r="M34" s="230"/>
      <c r="N34" s="230"/>
      <c r="O34" s="230"/>
      <c r="P34" s="230"/>
      <c r="Q34" s="230"/>
      <c r="R34" s="230"/>
      <c r="S34" s="230"/>
      <c r="T34" s="230"/>
      <c r="U34" s="230"/>
      <c r="V34" s="230"/>
      <c r="W34" s="230"/>
      <c r="X34" s="230"/>
      <c r="Y34" s="230"/>
      <c r="Z34" s="230"/>
    </row>
    <row r="35" spans="1:26" ht="15.75" customHeight="1" thickBot="1">
      <c r="A35" s="365" t="s">
        <v>632</v>
      </c>
      <c r="B35" s="366"/>
      <c r="C35" s="366"/>
      <c r="D35" s="366"/>
      <c r="E35" s="366"/>
      <c r="F35" s="366"/>
      <c r="G35" s="366"/>
      <c r="H35" s="366"/>
      <c r="I35" s="230"/>
      <c r="J35" s="230"/>
      <c r="K35" s="230"/>
      <c r="L35" s="230"/>
      <c r="M35" s="230"/>
      <c r="N35" s="230"/>
      <c r="O35" s="230"/>
      <c r="P35" s="230"/>
      <c r="Q35" s="230"/>
      <c r="R35" s="230"/>
      <c r="S35" s="230"/>
      <c r="T35" s="230"/>
      <c r="U35" s="230"/>
      <c r="V35" s="230"/>
      <c r="W35" s="230"/>
      <c r="X35" s="230"/>
      <c r="Y35" s="230"/>
      <c r="Z35" s="230"/>
    </row>
    <row r="36" spans="1:26" ht="15.75" customHeight="1" thickBot="1">
      <c r="A36" s="230"/>
      <c r="B36" s="230"/>
      <c r="C36" s="230"/>
      <c r="D36" s="230"/>
      <c r="E36" s="230"/>
      <c r="F36" s="230"/>
      <c r="G36" s="230"/>
      <c r="H36" s="263"/>
      <c r="I36" s="263"/>
      <c r="J36" s="263"/>
      <c r="K36" s="263"/>
      <c r="L36" s="230"/>
      <c r="M36" s="230"/>
      <c r="N36" s="230"/>
      <c r="O36" s="230"/>
      <c r="P36" s="230"/>
      <c r="Q36" s="230"/>
      <c r="R36" s="230"/>
      <c r="S36" s="230"/>
      <c r="T36" s="230"/>
      <c r="U36" s="230"/>
      <c r="V36" s="230"/>
      <c r="W36" s="230"/>
      <c r="X36" s="230"/>
      <c r="Y36" s="230"/>
      <c r="Z36" s="230"/>
    </row>
    <row r="37" spans="1:26" ht="15.75" customHeight="1" thickBot="1">
      <c r="A37" s="230"/>
      <c r="B37" s="338" t="s">
        <v>631</v>
      </c>
      <c r="C37" s="346"/>
      <c r="D37" s="346"/>
      <c r="E37" s="346"/>
      <c r="F37" s="346"/>
      <c r="G37" s="346"/>
      <c r="H37" s="348"/>
      <c r="I37" s="263" t="s">
        <v>675</v>
      </c>
      <c r="J37" s="279"/>
      <c r="K37" s="230"/>
      <c r="L37" s="230"/>
      <c r="M37" s="230"/>
      <c r="N37" s="230"/>
      <c r="O37" s="230"/>
      <c r="P37" s="230"/>
      <c r="Q37" s="230"/>
      <c r="R37" s="230"/>
      <c r="S37" s="230"/>
      <c r="T37" s="230"/>
      <c r="U37" s="230"/>
      <c r="V37" s="230"/>
      <c r="W37" s="230"/>
      <c r="X37" s="230"/>
      <c r="Y37" s="230"/>
      <c r="Z37" s="230"/>
    </row>
    <row r="38" spans="1:26" ht="15.75" customHeight="1">
      <c r="A38" s="230"/>
      <c r="B38" s="278"/>
      <c r="C38" s="231" t="s">
        <v>500</v>
      </c>
      <c r="D38" s="230"/>
      <c r="E38" s="229" t="s">
        <v>499</v>
      </c>
      <c r="F38" s="229"/>
      <c r="G38" s="229"/>
      <c r="H38" s="228" t="s">
        <v>498</v>
      </c>
      <c r="I38" s="263"/>
      <c r="J38" s="231"/>
      <c r="K38" s="231"/>
      <c r="L38" s="277"/>
      <c r="M38" s="277"/>
      <c r="N38" s="231"/>
      <c r="O38" s="230"/>
      <c r="P38" s="230"/>
      <c r="Q38" s="230"/>
      <c r="R38" s="230"/>
      <c r="S38" s="230"/>
      <c r="T38" s="230"/>
      <c r="U38" s="230"/>
      <c r="V38" s="230"/>
      <c r="W38" s="230"/>
      <c r="X38" s="230"/>
      <c r="Y38" s="230"/>
      <c r="Z38" s="230"/>
    </row>
    <row r="39" spans="1:26" ht="15.75" customHeight="1" thickBot="1">
      <c r="A39" s="230"/>
      <c r="B39" s="276" t="s">
        <v>630</v>
      </c>
      <c r="C39" s="227" t="s">
        <v>142</v>
      </c>
      <c r="D39" s="227" t="s">
        <v>496</v>
      </c>
      <c r="E39" s="227" t="s">
        <v>495</v>
      </c>
      <c r="F39" s="227" t="s">
        <v>437</v>
      </c>
      <c r="G39" s="223" t="s">
        <v>494</v>
      </c>
      <c r="H39" s="226" t="s">
        <v>493</v>
      </c>
      <c r="I39" s="263"/>
      <c r="J39" s="262"/>
      <c r="K39" s="231"/>
      <c r="L39" s="231"/>
      <c r="M39" s="230"/>
      <c r="N39" s="231"/>
      <c r="O39" s="230"/>
      <c r="P39" s="230"/>
      <c r="Q39" s="230"/>
      <c r="R39" s="230"/>
      <c r="S39" s="230"/>
      <c r="T39" s="230"/>
      <c r="U39" s="230"/>
      <c r="V39" s="230"/>
      <c r="W39" s="230"/>
      <c r="X39" s="230"/>
      <c r="Y39" s="230"/>
      <c r="Z39" s="230"/>
    </row>
    <row r="40" spans="1:26" ht="15.75" customHeight="1">
      <c r="A40" s="230"/>
      <c r="B40" s="350">
        <v>1.34</v>
      </c>
      <c r="C40" s="351">
        <v>111.08</v>
      </c>
      <c r="D40" s="310" t="str">
        <f>IF(C15&gt;C40,"YES","NO")</f>
        <v>YES</v>
      </c>
      <c r="E40" s="311">
        <f>IF(D40="YES",B40,0)</f>
        <v>1.34</v>
      </c>
      <c r="F40" s="299">
        <f>(E40*C40)</f>
        <v>148.84720000000002</v>
      </c>
      <c r="G40" s="311">
        <f>F40/C15</f>
        <v>0.77853025785867469</v>
      </c>
      <c r="H40" s="312">
        <f>E40-G40</f>
        <v>0.56146974214132539</v>
      </c>
      <c r="I40" s="263"/>
      <c r="J40" s="275"/>
      <c r="K40" s="275"/>
      <c r="L40" s="258"/>
      <c r="M40" s="275"/>
      <c r="N40" s="275"/>
      <c r="O40" s="230"/>
      <c r="P40" s="230"/>
      <c r="Q40" s="230"/>
      <c r="R40" s="230"/>
      <c r="S40" s="230"/>
      <c r="T40" s="230"/>
      <c r="U40" s="230"/>
      <c r="V40" s="230"/>
      <c r="W40" s="230"/>
      <c r="X40" s="230"/>
      <c r="Y40" s="230"/>
      <c r="Z40" s="230"/>
    </row>
    <row r="41" spans="1:26" ht="15.75" customHeight="1">
      <c r="A41" s="230"/>
      <c r="B41" s="350">
        <v>0.26</v>
      </c>
      <c r="C41" s="351">
        <v>0</v>
      </c>
      <c r="D41" s="310" t="str">
        <f>IF(C15&gt;C41,"YES","NO")</f>
        <v>YES</v>
      </c>
      <c r="E41" s="311">
        <f>IF(D41="YES",B41,0)</f>
        <v>0.26</v>
      </c>
      <c r="F41" s="299">
        <f>(E41*C41)</f>
        <v>0</v>
      </c>
      <c r="G41" s="311">
        <f>F41/C15</f>
        <v>0</v>
      </c>
      <c r="H41" s="312">
        <f>E41-G41</f>
        <v>0.26</v>
      </c>
      <c r="I41" s="263"/>
      <c r="J41" s="275"/>
      <c r="K41" s="275"/>
      <c r="L41" s="258"/>
      <c r="M41" s="275"/>
      <c r="N41" s="275"/>
      <c r="O41" s="230"/>
      <c r="P41" s="230"/>
      <c r="Q41" s="230"/>
      <c r="R41" s="230"/>
      <c r="S41" s="230"/>
      <c r="T41" s="230"/>
      <c r="U41" s="230"/>
      <c r="V41" s="230"/>
      <c r="W41" s="230"/>
      <c r="X41" s="230"/>
      <c r="Y41" s="230"/>
      <c r="Z41" s="230"/>
    </row>
    <row r="42" spans="1:26" ht="15.75" customHeight="1">
      <c r="A42" s="230"/>
      <c r="B42" s="352"/>
      <c r="C42" s="351"/>
      <c r="D42" s="310"/>
      <c r="E42" s="311"/>
      <c r="F42" s="299"/>
      <c r="G42" s="311"/>
      <c r="H42" s="312"/>
      <c r="I42" s="263"/>
      <c r="J42" s="275"/>
      <c r="K42" s="275"/>
      <c r="L42" s="258"/>
      <c r="M42" s="275"/>
      <c r="N42" s="275"/>
      <c r="O42" s="230"/>
      <c r="P42" s="230"/>
      <c r="Q42" s="230"/>
      <c r="R42" s="230"/>
      <c r="S42" s="230"/>
      <c r="T42" s="230"/>
      <c r="U42" s="230"/>
      <c r="V42" s="230"/>
      <c r="W42" s="230"/>
      <c r="X42" s="230"/>
      <c r="Y42" s="230"/>
      <c r="Z42" s="230"/>
    </row>
    <row r="43" spans="1:26" ht="15.75" customHeight="1">
      <c r="A43" s="230"/>
      <c r="B43" s="352"/>
      <c r="C43" s="351"/>
      <c r="D43" s="310"/>
      <c r="E43" s="311"/>
      <c r="F43" s="299"/>
      <c r="G43" s="311"/>
      <c r="H43" s="312"/>
      <c r="I43" s="263"/>
      <c r="J43" s="275"/>
      <c r="K43" s="275"/>
      <c r="L43" s="258"/>
      <c r="M43" s="275"/>
      <c r="N43" s="275"/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</row>
    <row r="44" spans="1:26" ht="15.75" customHeight="1">
      <c r="A44" s="230"/>
      <c r="B44" s="352"/>
      <c r="C44" s="351"/>
      <c r="D44" s="310"/>
      <c r="E44" s="311"/>
      <c r="F44" s="299"/>
      <c r="G44" s="311"/>
      <c r="H44" s="312"/>
      <c r="I44" s="263"/>
      <c r="J44" s="275"/>
      <c r="K44" s="275"/>
      <c r="L44" s="258"/>
      <c r="M44" s="275"/>
      <c r="N44" s="275"/>
      <c r="O44" s="230"/>
      <c r="P44" s="230"/>
      <c r="Q44" s="230"/>
      <c r="R44" s="230"/>
      <c r="S44" s="230"/>
      <c r="T44" s="230"/>
      <c r="U44" s="230"/>
      <c r="V44" s="230"/>
      <c r="W44" s="230"/>
      <c r="X44" s="230"/>
      <c r="Y44" s="230"/>
      <c r="Z44" s="230"/>
    </row>
    <row r="45" spans="1:26" ht="15.75" customHeight="1" thickBot="1">
      <c r="A45" s="230"/>
      <c r="B45" s="267"/>
      <c r="C45" s="223"/>
      <c r="D45" s="373"/>
      <c r="E45" s="373"/>
      <c r="F45" s="373"/>
      <c r="G45" s="373"/>
      <c r="H45" s="349">
        <f>SUM(H40:H44)</f>
        <v>0.8214697421413254</v>
      </c>
      <c r="I45" s="263"/>
      <c r="J45" s="230"/>
      <c r="K45" s="230"/>
      <c r="L45" s="230"/>
      <c r="M45" s="230"/>
      <c r="N45" s="275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</row>
    <row r="46" spans="1:26" ht="15.75" customHeight="1" thickBot="1">
      <c r="A46" s="230"/>
      <c r="B46" s="230"/>
      <c r="C46" s="230"/>
      <c r="D46" s="230"/>
      <c r="E46" s="230"/>
      <c r="F46" s="230"/>
      <c r="G46" s="230"/>
      <c r="H46" s="263"/>
      <c r="I46" s="263"/>
      <c r="J46" s="263"/>
      <c r="K46" s="263"/>
      <c r="L46" s="230"/>
      <c r="M46" s="230"/>
      <c r="N46" s="230"/>
      <c r="O46" s="230"/>
      <c r="P46" s="230"/>
      <c r="Q46" s="230"/>
      <c r="R46" s="230"/>
      <c r="S46" s="230"/>
      <c r="T46" s="230"/>
      <c r="U46" s="230"/>
      <c r="V46" s="230"/>
      <c r="W46" s="230"/>
      <c r="X46" s="230"/>
      <c r="Y46" s="230"/>
      <c r="Z46" s="230"/>
    </row>
    <row r="47" spans="1:26" ht="15.75" customHeight="1" thickBot="1">
      <c r="A47" s="230"/>
      <c r="B47" s="338" t="s">
        <v>628</v>
      </c>
      <c r="C47" s="346"/>
      <c r="D47" s="346"/>
      <c r="E47" s="346"/>
      <c r="F47" s="346"/>
      <c r="G47" s="348"/>
      <c r="H47" s="263"/>
      <c r="I47" s="263"/>
      <c r="J47" s="230"/>
      <c r="K47" s="230"/>
      <c r="L47" s="230"/>
      <c r="M47" s="230"/>
      <c r="N47" s="230"/>
      <c r="O47" s="230"/>
      <c r="P47" s="230"/>
      <c r="Q47" s="230"/>
      <c r="R47" s="230"/>
      <c r="S47" s="230"/>
      <c r="T47" s="230"/>
      <c r="U47" s="230"/>
      <c r="V47" s="230"/>
      <c r="W47" s="230"/>
      <c r="X47" s="230"/>
      <c r="Y47" s="230"/>
      <c r="Z47" s="230"/>
    </row>
    <row r="48" spans="1:26" ht="15.75" customHeight="1">
      <c r="A48" s="230"/>
      <c r="B48" s="274"/>
      <c r="C48" s="273"/>
      <c r="D48" s="273"/>
      <c r="E48" s="435" t="s">
        <v>627</v>
      </c>
      <c r="F48" s="272"/>
      <c r="G48" s="436" t="s">
        <v>626</v>
      </c>
      <c r="H48" s="263"/>
      <c r="I48" s="263"/>
      <c r="J48" s="257"/>
      <c r="K48" s="257"/>
      <c r="L48" s="230"/>
      <c r="M48" s="438"/>
      <c r="N48" s="230"/>
      <c r="O48" s="230"/>
      <c r="P48" s="230"/>
      <c r="Q48" s="230"/>
      <c r="R48" s="230"/>
      <c r="S48" s="230"/>
      <c r="T48" s="230"/>
      <c r="U48" s="230"/>
      <c r="V48" s="230"/>
      <c r="W48" s="230"/>
      <c r="X48" s="230"/>
      <c r="Y48" s="230"/>
      <c r="Z48" s="230"/>
    </row>
    <row r="49" spans="1:26" ht="15.75" customHeight="1">
      <c r="A49" s="230"/>
      <c r="B49" s="271" t="s">
        <v>625</v>
      </c>
      <c r="C49" s="270" t="s">
        <v>172</v>
      </c>
      <c r="D49" s="270" t="s">
        <v>624</v>
      </c>
      <c r="E49" s="427"/>
      <c r="F49" s="269" t="s">
        <v>623</v>
      </c>
      <c r="G49" s="437"/>
      <c r="H49" s="263"/>
      <c r="I49" s="263"/>
      <c r="J49" s="257"/>
      <c r="K49" s="270"/>
      <c r="L49" s="269"/>
      <c r="M49" s="427"/>
      <c r="N49" s="230"/>
      <c r="O49" s="230"/>
      <c r="P49" s="230"/>
      <c r="Q49" s="230"/>
      <c r="R49" s="230"/>
      <c r="S49" s="230"/>
      <c r="T49" s="230"/>
      <c r="U49" s="230"/>
      <c r="V49" s="230"/>
      <c r="W49" s="230"/>
      <c r="X49" s="230"/>
      <c r="Y49" s="230"/>
      <c r="Z49" s="230"/>
    </row>
    <row r="50" spans="1:26" ht="15.75" customHeight="1">
      <c r="A50" s="230"/>
      <c r="B50" s="268"/>
      <c r="C50" s="353"/>
      <c r="D50" s="353"/>
      <c r="E50" s="354"/>
      <c r="F50" s="306"/>
      <c r="G50" s="355"/>
      <c r="H50" s="263"/>
      <c r="I50" s="263"/>
      <c r="J50" s="230"/>
      <c r="K50" s="258"/>
      <c r="L50" s="265"/>
      <c r="M50" s="265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</row>
    <row r="51" spans="1:26" ht="15.75" customHeight="1">
      <c r="A51" s="230"/>
      <c r="B51" s="268"/>
      <c r="C51" s="353"/>
      <c r="D51" s="353"/>
      <c r="E51" s="354"/>
      <c r="F51" s="306"/>
      <c r="G51" s="355"/>
      <c r="H51" s="263"/>
      <c r="I51" s="263"/>
      <c r="J51" s="230"/>
      <c r="K51" s="258"/>
      <c r="L51" s="265"/>
      <c r="M51" s="265"/>
      <c r="N51" s="230"/>
      <c r="O51" s="230"/>
      <c r="P51" s="230"/>
      <c r="Q51" s="230"/>
      <c r="R51" s="230"/>
      <c r="S51" s="230"/>
      <c r="T51" s="230"/>
      <c r="U51" s="230"/>
      <c r="V51" s="230"/>
      <c r="W51" s="230"/>
      <c r="X51" s="230"/>
      <c r="Y51" s="230"/>
      <c r="Z51" s="230"/>
    </row>
    <row r="52" spans="1:26" ht="15.75" customHeight="1">
      <c r="A52" s="230"/>
      <c r="B52" s="268"/>
      <c r="C52" s="353"/>
      <c r="D52" s="353"/>
      <c r="E52" s="354"/>
      <c r="F52" s="356"/>
      <c r="G52" s="355"/>
      <c r="H52" s="263"/>
      <c r="I52" s="263"/>
      <c r="J52" s="230"/>
      <c r="K52" s="258"/>
      <c r="L52" s="265"/>
      <c r="M52" s="265"/>
      <c r="N52" s="230"/>
      <c r="O52" s="230"/>
      <c r="P52" s="230"/>
      <c r="Q52" s="230"/>
      <c r="R52" s="230"/>
      <c r="S52" s="230"/>
      <c r="T52" s="230"/>
      <c r="U52" s="230"/>
      <c r="V52" s="230"/>
      <c r="W52" s="230"/>
      <c r="X52" s="230"/>
      <c r="Y52" s="230"/>
      <c r="Z52" s="230"/>
    </row>
    <row r="53" spans="1:26" ht="15.75" customHeight="1" thickBot="1">
      <c r="A53" s="230"/>
      <c r="B53" s="267"/>
      <c r="C53" s="266"/>
      <c r="D53" s="266"/>
      <c r="E53" s="266"/>
      <c r="F53" s="357"/>
      <c r="G53" s="358"/>
      <c r="H53" s="263"/>
      <c r="I53" s="263"/>
      <c r="J53" s="230"/>
      <c r="K53" s="258"/>
      <c r="L53" s="265"/>
      <c r="M53" s="265"/>
      <c r="N53" s="230"/>
      <c r="O53" s="230"/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0"/>
    </row>
    <row r="54" spans="1:26" ht="15.75" customHeight="1">
      <c r="A54" s="230"/>
      <c r="B54" s="230"/>
      <c r="C54" s="230"/>
      <c r="D54" s="230"/>
      <c r="E54" s="230"/>
      <c r="F54" s="230"/>
      <c r="G54" s="230"/>
      <c r="H54" s="263"/>
      <c r="I54" s="263"/>
      <c r="J54" s="230"/>
      <c r="K54" s="230"/>
      <c r="L54" s="230"/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30"/>
      <c r="X54" s="230"/>
      <c r="Y54" s="230"/>
      <c r="Z54" s="230"/>
    </row>
    <row r="55" spans="1:26" ht="15.75" customHeight="1">
      <c r="A55" s="230"/>
      <c r="B55" s="230"/>
      <c r="C55" s="230"/>
      <c r="D55" s="230"/>
      <c r="E55" s="230">
        <v>1000</v>
      </c>
      <c r="F55" s="230"/>
      <c r="G55" s="230"/>
      <c r="H55" s="263" t="s">
        <v>622</v>
      </c>
      <c r="I55" s="263" t="s">
        <v>670</v>
      </c>
      <c r="J55" s="263" t="s">
        <v>670</v>
      </c>
      <c r="K55" s="263"/>
      <c r="L55" s="230"/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30"/>
      <c r="X55" s="230"/>
      <c r="Y55" s="230"/>
      <c r="Z55" s="230"/>
    </row>
    <row r="56" spans="1:26" ht="15.75" customHeight="1">
      <c r="A56" s="230"/>
      <c r="B56" s="230"/>
      <c r="C56" s="230"/>
      <c r="D56" s="230"/>
      <c r="E56" s="230"/>
      <c r="F56" s="230"/>
      <c r="G56" s="290"/>
      <c r="H56" s="263"/>
      <c r="I56" s="263"/>
      <c r="J56" s="263"/>
      <c r="K56" s="263"/>
      <c r="L56" s="230"/>
      <c r="M56" s="230"/>
      <c r="N56" s="230"/>
      <c r="O56" s="230"/>
      <c r="P56" s="230"/>
      <c r="Q56" s="230"/>
      <c r="R56" s="230"/>
      <c r="S56" s="230"/>
      <c r="T56" s="230"/>
      <c r="U56" s="230"/>
      <c r="V56" s="230"/>
      <c r="W56" s="230"/>
      <c r="X56" s="230"/>
      <c r="Y56" s="230"/>
      <c r="Z56" s="230"/>
    </row>
    <row r="57" spans="1:26" ht="15.75" customHeight="1">
      <c r="A57" s="327" t="s">
        <v>620</v>
      </c>
      <c r="B57" s="327"/>
      <c r="C57" s="327"/>
      <c r="D57" s="327"/>
      <c r="E57" s="327"/>
      <c r="F57" s="327"/>
      <c r="G57" s="327"/>
      <c r="H57" s="362" t="s">
        <v>619</v>
      </c>
      <c r="I57" s="362" t="s">
        <v>618</v>
      </c>
      <c r="J57" s="362" t="s">
        <v>617</v>
      </c>
      <c r="K57" s="362" t="s">
        <v>616</v>
      </c>
      <c r="L57" s="362" t="s">
        <v>615</v>
      </c>
      <c r="M57" s="362" t="s">
        <v>614</v>
      </c>
      <c r="N57" s="362" t="s">
        <v>613</v>
      </c>
      <c r="O57" s="362" t="s">
        <v>612</v>
      </c>
      <c r="P57" s="362" t="s">
        <v>611</v>
      </c>
      <c r="Q57" s="230"/>
      <c r="R57" s="230"/>
      <c r="S57" s="230"/>
      <c r="T57" s="230"/>
      <c r="U57" s="230"/>
      <c r="V57" s="230"/>
      <c r="W57" s="230"/>
      <c r="X57" s="230"/>
      <c r="Y57" s="230"/>
      <c r="Z57" s="230"/>
    </row>
    <row r="58" spans="1:26" ht="15.75" customHeight="1">
      <c r="A58" s="230"/>
      <c r="B58" s="230"/>
      <c r="C58" s="230"/>
      <c r="D58" s="230"/>
      <c r="E58" s="230"/>
      <c r="F58" s="230"/>
      <c r="G58" s="230"/>
      <c r="H58" s="230" t="s">
        <v>610</v>
      </c>
      <c r="I58" s="230"/>
      <c r="J58" s="230"/>
      <c r="K58" s="230"/>
      <c r="L58" s="230"/>
      <c r="M58" s="230"/>
      <c r="N58" s="230"/>
      <c r="O58" s="230"/>
      <c r="P58" s="230"/>
      <c r="Q58" s="230"/>
      <c r="R58" s="230"/>
      <c r="S58" s="230"/>
      <c r="T58" s="230"/>
      <c r="U58" s="230"/>
      <c r="V58" s="230"/>
      <c r="W58" s="230"/>
      <c r="X58" s="230"/>
      <c r="Y58" s="230"/>
      <c r="Z58" s="230"/>
    </row>
    <row r="59" spans="1:26" ht="15.75" customHeight="1">
      <c r="A59" s="230" t="s">
        <v>609</v>
      </c>
      <c r="B59" s="230"/>
      <c r="C59" s="230"/>
      <c r="D59" s="230"/>
      <c r="E59" s="230"/>
      <c r="F59" s="230"/>
      <c r="G59" s="230"/>
      <c r="H59" s="291">
        <v>11390</v>
      </c>
      <c r="I59" s="291">
        <v>5647</v>
      </c>
      <c r="J59" s="230">
        <v>5457.9</v>
      </c>
      <c r="K59" s="360">
        <f>H59+I59-J59</f>
        <v>11579.1</v>
      </c>
      <c r="L59">
        <v>12102</v>
      </c>
      <c r="M59">
        <v>13071</v>
      </c>
      <c r="Q59" s="230"/>
      <c r="R59" s="230"/>
      <c r="S59" s="230"/>
      <c r="T59" s="230"/>
      <c r="U59" s="230"/>
      <c r="V59" s="230"/>
      <c r="W59" s="230"/>
      <c r="X59" s="230"/>
      <c r="Y59" s="230"/>
      <c r="Z59" s="230"/>
    </row>
    <row r="60" spans="1:26" ht="5.25" customHeight="1">
      <c r="A60" s="230"/>
      <c r="B60" s="230"/>
      <c r="C60" s="230"/>
      <c r="D60" s="230"/>
      <c r="E60" s="230"/>
      <c r="F60" s="230"/>
      <c r="G60" s="230"/>
      <c r="H60" s="258"/>
      <c r="I60" s="258"/>
      <c r="J60" s="258"/>
      <c r="K60" s="258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0"/>
    </row>
    <row r="61" spans="1:26" ht="15.75" customHeight="1">
      <c r="A61" s="230" t="s">
        <v>608</v>
      </c>
      <c r="B61" s="230"/>
      <c r="C61" s="230"/>
      <c r="D61" s="230"/>
      <c r="E61" s="230"/>
      <c r="F61" s="230"/>
      <c r="G61" s="230"/>
      <c r="H61" s="230">
        <v>1314.2</v>
      </c>
      <c r="I61" s="230">
        <v>561.29999999999995</v>
      </c>
      <c r="J61" s="230">
        <v>531.4</v>
      </c>
      <c r="K61" s="360">
        <f>H61+I61-J61</f>
        <v>1344.1</v>
      </c>
      <c r="L61" s="230">
        <v>1447</v>
      </c>
      <c r="M61" s="230">
        <v>1603</v>
      </c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0"/>
    </row>
    <row r="62" spans="1:26" ht="15.75" customHeight="1">
      <c r="A62" s="230" t="s">
        <v>607</v>
      </c>
      <c r="B62" s="259"/>
      <c r="C62" s="259"/>
      <c r="D62" s="259"/>
      <c r="E62" s="259"/>
      <c r="F62" s="259"/>
      <c r="G62" s="259"/>
      <c r="H62" s="299">
        <v>0</v>
      </c>
      <c r="I62" s="299">
        <v>0</v>
      </c>
      <c r="J62" s="299">
        <v>0</v>
      </c>
      <c r="K62" s="261"/>
      <c r="L62" s="259"/>
      <c r="M62" s="259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</row>
    <row r="63" spans="1:26" ht="15.75" customHeight="1">
      <c r="A63" s="256" t="s">
        <v>606</v>
      </c>
      <c r="B63" s="259"/>
      <c r="C63" s="259"/>
      <c r="D63" s="259"/>
      <c r="E63" s="259"/>
      <c r="F63" s="259"/>
      <c r="G63" s="259"/>
      <c r="H63" s="374">
        <f>H61</f>
        <v>1314.2</v>
      </c>
      <c r="I63" s="374">
        <f>I61</f>
        <v>561.29999999999995</v>
      </c>
      <c r="J63" s="374">
        <f>J61</f>
        <v>531.4</v>
      </c>
      <c r="K63" s="360">
        <f>H63+I63-J63</f>
        <v>1344.1</v>
      </c>
      <c r="L63" s="258">
        <f>L61</f>
        <v>1447</v>
      </c>
      <c r="M63" s="258">
        <f>M61</f>
        <v>1603</v>
      </c>
      <c r="N63" s="258"/>
      <c r="O63" s="258"/>
      <c r="P63" s="258"/>
      <c r="Q63" s="259"/>
      <c r="R63" s="259"/>
      <c r="S63" s="259"/>
      <c r="T63" s="259"/>
      <c r="U63" s="259"/>
      <c r="V63" s="259"/>
      <c r="W63" s="259"/>
      <c r="X63" s="259"/>
      <c r="Y63" s="259"/>
      <c r="Z63" s="259"/>
    </row>
    <row r="64" spans="1:26" ht="15.75" customHeight="1">
      <c r="A64" s="230" t="s">
        <v>605</v>
      </c>
      <c r="B64" s="230"/>
      <c r="C64" s="230"/>
      <c r="D64" s="230"/>
      <c r="E64" s="230"/>
      <c r="F64" s="230"/>
      <c r="G64" s="230"/>
      <c r="H64" s="230">
        <v>459.9</v>
      </c>
      <c r="I64" s="230">
        <v>249.2</v>
      </c>
      <c r="J64" s="230">
        <v>222.3</v>
      </c>
      <c r="K64" s="258"/>
      <c r="L64" s="230"/>
      <c r="M64" s="230"/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0"/>
    </row>
    <row r="65" spans="1:26" ht="15.75" customHeight="1">
      <c r="A65" s="259" t="s">
        <v>604</v>
      </c>
      <c r="B65" s="259"/>
      <c r="C65" s="259"/>
      <c r="D65" s="259"/>
      <c r="E65" s="259"/>
      <c r="F65" s="259"/>
      <c r="G65" s="259"/>
      <c r="H65" s="374">
        <f>H63+H64</f>
        <v>1774.1</v>
      </c>
      <c r="I65" s="374">
        <f>I63+I64</f>
        <v>810.5</v>
      </c>
      <c r="J65" s="374">
        <f>J63+J64</f>
        <v>753.7</v>
      </c>
      <c r="K65" s="360">
        <f>H65+I65-J65</f>
        <v>1830.8999999999999</v>
      </c>
      <c r="L65" s="258">
        <v>1966</v>
      </c>
      <c r="M65" s="258">
        <v>2158</v>
      </c>
      <c r="N65" s="258"/>
      <c r="O65" s="258"/>
      <c r="P65" s="258"/>
      <c r="Q65" s="259"/>
      <c r="R65" s="259"/>
      <c r="S65" s="259"/>
      <c r="T65" s="259"/>
      <c r="U65" s="259"/>
      <c r="V65" s="259"/>
      <c r="W65" s="259"/>
      <c r="X65" s="259"/>
      <c r="Y65" s="259"/>
      <c r="Z65" s="259"/>
    </row>
    <row r="66" spans="1:26" ht="6" customHeight="1">
      <c r="A66" s="230"/>
      <c r="B66" s="230"/>
      <c r="C66" s="230"/>
      <c r="D66" s="230"/>
      <c r="E66" s="230"/>
      <c r="F66" s="230"/>
      <c r="G66" s="230"/>
      <c r="H66" s="258"/>
      <c r="I66" s="258"/>
      <c r="J66" s="258"/>
      <c r="K66" s="258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</row>
    <row r="67" spans="1:26" ht="15.75" customHeight="1">
      <c r="A67" s="230" t="s">
        <v>603</v>
      </c>
      <c r="B67" s="230"/>
      <c r="C67" s="230"/>
      <c r="D67" s="230"/>
      <c r="E67" s="230"/>
      <c r="F67" s="230"/>
      <c r="G67" s="230"/>
      <c r="H67" s="230">
        <v>1027.5999999999999</v>
      </c>
      <c r="I67" s="230">
        <v>422.3</v>
      </c>
      <c r="J67" s="230">
        <v>406.6</v>
      </c>
      <c r="K67" s="360">
        <f>H67+I67-J67</f>
        <v>1043.2999999999997</v>
      </c>
      <c r="L67" s="230">
        <v>1104</v>
      </c>
      <c r="M67" s="230">
        <v>1236</v>
      </c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</row>
    <row r="68" spans="1:26" ht="15.75" customHeight="1">
      <c r="A68" s="230" t="s">
        <v>602</v>
      </c>
      <c r="B68" s="230"/>
      <c r="C68" s="230"/>
      <c r="D68" s="230"/>
      <c r="E68" s="230"/>
      <c r="F68" s="230"/>
      <c r="G68" s="230"/>
      <c r="H68" s="299">
        <f>H62</f>
        <v>0</v>
      </c>
      <c r="I68" s="299">
        <f>I62</f>
        <v>0</v>
      </c>
      <c r="J68" s="299">
        <f>J62</f>
        <v>0</v>
      </c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</row>
    <row r="69" spans="1:26" ht="15.75" customHeight="1">
      <c r="A69" s="230" t="s">
        <v>601</v>
      </c>
      <c r="B69" s="230"/>
      <c r="C69" s="230"/>
      <c r="D69" s="230"/>
      <c r="E69" s="230"/>
      <c r="F69" s="230"/>
      <c r="G69" s="230"/>
      <c r="H69" s="299">
        <v>0</v>
      </c>
      <c r="I69" s="299">
        <v>0</v>
      </c>
      <c r="J69" s="299">
        <v>0</v>
      </c>
      <c r="K69" s="23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0"/>
    </row>
    <row r="70" spans="1:26" ht="15.75" customHeight="1">
      <c r="A70" s="230" t="s">
        <v>600</v>
      </c>
      <c r="B70" s="230"/>
      <c r="C70" s="230"/>
      <c r="D70" s="230"/>
      <c r="E70" s="230"/>
      <c r="F70" s="230"/>
      <c r="G70" s="230"/>
      <c r="H70" s="299">
        <f>-(H68+H69)*F11</f>
        <v>0</v>
      </c>
      <c r="I70" s="299">
        <f>-(I68+I69)*F11</f>
        <v>0</v>
      </c>
      <c r="J70" s="299">
        <f>-(J68+J69)*F11</f>
        <v>0</v>
      </c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</row>
    <row r="71" spans="1:26" ht="15.75" customHeight="1">
      <c r="A71" s="230" t="s">
        <v>599</v>
      </c>
      <c r="B71" s="230"/>
      <c r="C71" s="230"/>
      <c r="D71" s="230"/>
      <c r="E71" s="230"/>
      <c r="F71" s="230"/>
      <c r="G71" s="230"/>
      <c r="H71" s="299"/>
      <c r="I71" s="299"/>
      <c r="J71" s="299"/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</row>
    <row r="72" spans="1:26" ht="15.75" customHeight="1">
      <c r="A72" s="259" t="s">
        <v>598</v>
      </c>
      <c r="B72" s="230"/>
      <c r="C72" s="230"/>
      <c r="D72" s="230"/>
      <c r="E72" s="230"/>
      <c r="F72" s="230"/>
      <c r="G72" s="230"/>
      <c r="H72" s="374">
        <f>H67+H68+H69+H70</f>
        <v>1027.5999999999999</v>
      </c>
      <c r="I72" s="374">
        <f>I67+I68+I69+I70</f>
        <v>422.3</v>
      </c>
      <c r="J72" s="374">
        <f>J67+J68+J69+J70</f>
        <v>406.6</v>
      </c>
      <c r="K72" s="360">
        <f>H72+I72-J72</f>
        <v>1043.2999999999997</v>
      </c>
      <c r="L72" s="230">
        <f>L67</f>
        <v>1104</v>
      </c>
      <c r="M72" s="230">
        <f>M67</f>
        <v>1236</v>
      </c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0"/>
    </row>
    <row r="73" spans="1:26" ht="15.75" customHeight="1">
      <c r="A73" s="230" t="s">
        <v>597</v>
      </c>
      <c r="B73" s="230"/>
      <c r="C73" s="230"/>
      <c r="D73" s="230"/>
      <c r="E73" s="230"/>
      <c r="F73" s="230"/>
      <c r="G73" s="230"/>
      <c r="H73" s="299">
        <v>0</v>
      </c>
      <c r="I73" s="311">
        <v>0</v>
      </c>
      <c r="J73" s="311">
        <v>0</v>
      </c>
      <c r="K73" s="23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0"/>
    </row>
    <row r="74" spans="1:26" ht="15.75" customHeight="1">
      <c r="A74" s="259" t="s">
        <v>596</v>
      </c>
      <c r="B74" s="259"/>
      <c r="C74" s="259"/>
      <c r="D74" s="259"/>
      <c r="E74" s="259"/>
      <c r="F74" s="259"/>
      <c r="G74" s="259"/>
      <c r="H74" s="374">
        <f>H72-H73</f>
        <v>1027.5999999999999</v>
      </c>
      <c r="I74" s="374">
        <f>I72-I73</f>
        <v>422.3</v>
      </c>
      <c r="J74" s="374">
        <f>J72-J73</f>
        <v>406.6</v>
      </c>
      <c r="K74" s="360">
        <f>H74+I74-J74</f>
        <v>1043.2999999999997</v>
      </c>
      <c r="L74" s="258">
        <f>L67</f>
        <v>1104</v>
      </c>
      <c r="M74" s="258">
        <f>M67</f>
        <v>1236</v>
      </c>
      <c r="N74" s="258"/>
      <c r="O74" s="258"/>
      <c r="P74" s="258"/>
      <c r="Q74" s="259"/>
      <c r="R74" s="259"/>
      <c r="S74" s="259"/>
      <c r="T74" s="259"/>
      <c r="U74" s="259"/>
      <c r="V74" s="259"/>
      <c r="W74" s="259"/>
      <c r="X74" s="259"/>
      <c r="Y74" s="259"/>
      <c r="Z74" s="259"/>
    </row>
    <row r="75" spans="1:26" ht="15.75" customHeight="1">
      <c r="A75" s="230"/>
      <c r="B75" s="230"/>
      <c r="C75" s="230"/>
      <c r="D75" s="230"/>
      <c r="E75" s="230"/>
      <c r="F75" s="230"/>
      <c r="G75" s="230"/>
      <c r="H75" s="258"/>
      <c r="I75" s="258"/>
      <c r="J75" s="258"/>
      <c r="K75" s="258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</row>
    <row r="76" spans="1:26" ht="15.75" customHeight="1">
      <c r="A76" s="230" t="s">
        <v>595</v>
      </c>
      <c r="B76" s="230"/>
      <c r="C76" s="230"/>
      <c r="D76" s="230"/>
      <c r="E76" s="230"/>
      <c r="F76" s="230"/>
      <c r="G76" s="230"/>
      <c r="H76" s="299">
        <v>120.8</v>
      </c>
      <c r="I76" s="299">
        <v>118.7</v>
      </c>
      <c r="J76" s="299">
        <v>121.4</v>
      </c>
      <c r="K76" s="258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0"/>
    </row>
    <row r="77" spans="1:26" ht="15.75" customHeight="1">
      <c r="A77" s="230" t="s">
        <v>594</v>
      </c>
      <c r="B77" s="230"/>
      <c r="C77" s="230"/>
      <c r="D77" s="230"/>
      <c r="E77" s="230"/>
      <c r="F77" s="230"/>
      <c r="G77" s="230"/>
      <c r="H77" s="361">
        <f>H74/H76</f>
        <v>8.5066225165562912</v>
      </c>
      <c r="I77" s="361">
        <f>I74/I76</f>
        <v>3.5577085088458298</v>
      </c>
      <c r="J77" s="361">
        <f>J74/J76</f>
        <v>3.3492586490939047</v>
      </c>
      <c r="K77" s="359">
        <f>H77+I77-J77</f>
        <v>8.7150723763082159</v>
      </c>
      <c r="L77" s="230">
        <v>9.3800000000000008</v>
      </c>
      <c r="M77" s="230">
        <v>10.67</v>
      </c>
      <c r="N77" s="230"/>
      <c r="O77" s="230"/>
      <c r="P77" s="230"/>
      <c r="Q77" s="230"/>
      <c r="R77" s="230"/>
      <c r="S77" s="230"/>
      <c r="T77" s="230"/>
      <c r="U77" s="230"/>
      <c r="V77" s="230"/>
      <c r="W77" s="230"/>
      <c r="X77" s="230"/>
      <c r="Y77" s="230"/>
      <c r="Z77" s="230"/>
    </row>
    <row r="78" spans="1:26" ht="15.75" customHeight="1">
      <c r="A78" s="230"/>
      <c r="B78" s="230"/>
      <c r="C78" s="230"/>
      <c r="D78" s="230"/>
      <c r="E78" s="230"/>
      <c r="F78" s="230"/>
      <c r="G78" s="230"/>
      <c r="H78" s="258"/>
      <c r="I78" s="258"/>
      <c r="J78" s="258"/>
      <c r="K78" s="258"/>
      <c r="L78" s="230"/>
      <c r="M78" s="230"/>
      <c r="N78" s="230"/>
      <c r="O78" s="230"/>
      <c r="P78" s="230"/>
      <c r="Q78" s="230"/>
      <c r="R78" s="230"/>
      <c r="S78" s="230"/>
      <c r="T78" s="230"/>
      <c r="U78" s="230"/>
      <c r="V78" s="230"/>
      <c r="W78" s="230"/>
      <c r="X78" s="230"/>
      <c r="Y78" s="230"/>
      <c r="Z78" s="230"/>
    </row>
    <row r="79" spans="1:26" ht="15.75" customHeight="1">
      <c r="A79" s="230"/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0"/>
      <c r="S79" s="230"/>
      <c r="T79" s="230"/>
      <c r="U79" s="230"/>
      <c r="V79" s="230"/>
      <c r="W79" s="230"/>
      <c r="X79" s="230"/>
      <c r="Y79" s="230"/>
      <c r="Z79" s="230"/>
    </row>
    <row r="80" spans="1:26" ht="15.75" customHeight="1">
      <c r="A80" s="230"/>
      <c r="B80" s="23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0"/>
      <c r="S80" s="230"/>
      <c r="T80" s="230"/>
      <c r="U80" s="230"/>
      <c r="V80" s="230"/>
      <c r="W80" s="230"/>
      <c r="X80" s="230"/>
      <c r="Y80" s="230"/>
      <c r="Z80" s="230"/>
    </row>
    <row r="81" spans="1:26" ht="15.75" customHeight="1">
      <c r="A81" s="230"/>
      <c r="B81" s="256" t="s">
        <v>593</v>
      </c>
      <c r="C81" s="230"/>
      <c r="D81" s="230"/>
      <c r="E81" s="230"/>
      <c r="F81" s="230"/>
      <c r="G81" s="230"/>
      <c r="H81" s="230"/>
      <c r="I81" s="230"/>
      <c r="J81" s="230"/>
      <c r="K81" s="230"/>
      <c r="L81" s="257"/>
      <c r="M81" s="230"/>
      <c r="N81" s="230"/>
      <c r="O81" s="230"/>
      <c r="P81" s="230"/>
      <c r="Q81" s="230"/>
      <c r="R81" s="230"/>
      <c r="S81" s="230"/>
      <c r="T81" s="230"/>
      <c r="U81" s="230"/>
      <c r="V81" s="230"/>
      <c r="W81" s="230"/>
      <c r="X81" s="230"/>
      <c r="Y81" s="230"/>
      <c r="Z81" s="230"/>
    </row>
    <row r="82" spans="1:26" ht="15.75" customHeight="1">
      <c r="A82" s="230"/>
      <c r="B82" s="256" t="s">
        <v>592</v>
      </c>
      <c r="C82" s="230"/>
      <c r="D82" s="230"/>
      <c r="E82" s="230"/>
      <c r="F82" s="230"/>
      <c r="G82" s="230"/>
      <c r="H82" s="230"/>
      <c r="I82" s="230"/>
      <c r="J82" s="230"/>
      <c r="K82" s="230"/>
      <c r="L82" s="230"/>
      <c r="M82" s="230"/>
      <c r="N82" s="230"/>
      <c r="O82" s="230"/>
      <c r="P82" s="230"/>
      <c r="Q82" s="230"/>
      <c r="R82" s="230"/>
      <c r="S82" s="230"/>
      <c r="T82" s="230"/>
      <c r="U82" s="230"/>
      <c r="V82" s="230"/>
      <c r="W82" s="230"/>
      <c r="X82" s="230"/>
      <c r="Y82" s="230"/>
      <c r="Z82" s="230"/>
    </row>
    <row r="83" spans="1:26" ht="15.75" customHeight="1">
      <c r="A83" s="230"/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0"/>
      <c r="P83" s="230"/>
      <c r="Q83" s="230"/>
      <c r="R83" s="230"/>
      <c r="S83" s="230"/>
      <c r="T83" s="230"/>
      <c r="U83" s="230"/>
      <c r="V83" s="230"/>
      <c r="W83" s="230"/>
      <c r="X83" s="230"/>
      <c r="Y83" s="230"/>
      <c r="Z83" s="230"/>
    </row>
    <row r="84" spans="1:26" ht="15.75" customHeight="1">
      <c r="A84" s="230"/>
      <c r="B84" s="230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V84" s="230"/>
      <c r="W84" s="230"/>
      <c r="X84" s="230"/>
      <c r="Y84" s="230"/>
      <c r="Z84" s="230"/>
    </row>
    <row r="85" spans="1:26" ht="15.75" customHeight="1">
      <c r="A85" s="230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0"/>
      <c r="S85" s="230"/>
      <c r="T85" s="230"/>
      <c r="U85" s="230"/>
      <c r="V85" s="230"/>
      <c r="W85" s="230"/>
      <c r="X85" s="230"/>
      <c r="Y85" s="230"/>
      <c r="Z85" s="230"/>
    </row>
    <row r="86" spans="1:26" ht="15.75" customHeight="1">
      <c r="A86" s="230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0"/>
      <c r="S86" s="230"/>
      <c r="T86" s="230"/>
      <c r="U86" s="230"/>
      <c r="V86" s="230"/>
      <c r="W86" s="230"/>
      <c r="X86" s="230"/>
      <c r="Y86" s="230"/>
      <c r="Z86" s="230"/>
    </row>
    <row r="87" spans="1:26" ht="15.75" customHeight="1">
      <c r="A87" s="230"/>
      <c r="B87" s="230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230"/>
      <c r="P87" s="230"/>
      <c r="Q87" s="230"/>
      <c r="R87" s="230"/>
      <c r="S87" s="230"/>
      <c r="T87" s="230"/>
      <c r="U87" s="230"/>
      <c r="V87" s="230"/>
      <c r="W87" s="230"/>
      <c r="X87" s="230"/>
      <c r="Y87" s="230"/>
      <c r="Z87" s="230"/>
    </row>
    <row r="88" spans="1:26" ht="15.75" customHeight="1">
      <c r="A88" s="230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0"/>
      <c r="S88" s="230"/>
      <c r="T88" s="230"/>
      <c r="U88" s="230"/>
      <c r="V88" s="230"/>
      <c r="W88" s="230"/>
      <c r="X88" s="230"/>
      <c r="Y88" s="230"/>
      <c r="Z88" s="230"/>
    </row>
    <row r="89" spans="1:26" ht="15.75" customHeight="1">
      <c r="A89" s="230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</row>
    <row r="90" spans="1:26" ht="15.75" customHeight="1">
      <c r="A90" s="230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</row>
    <row r="91" spans="1:26" ht="15.75" customHeight="1">
      <c r="A91" s="230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30"/>
      <c r="W91" s="230"/>
      <c r="X91" s="230"/>
      <c r="Y91" s="230"/>
      <c r="Z91" s="230"/>
    </row>
    <row r="92" spans="1:26" ht="15.75" customHeight="1">
      <c r="A92" s="230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</row>
    <row r="93" spans="1:26" ht="15.75" customHeight="1">
      <c r="A93" s="230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</row>
    <row r="94" spans="1:26" ht="15.75" customHeight="1">
      <c r="A94" s="230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</row>
    <row r="95" spans="1:26" ht="15.75" customHeight="1">
      <c r="A95" s="230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</row>
    <row r="96" spans="1:26" ht="15.75" customHeight="1">
      <c r="A96" s="230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</row>
    <row r="97" spans="1:26" ht="15.75" customHeight="1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</row>
    <row r="98" spans="1:26" ht="15.75" customHeight="1">
      <c r="A98" s="230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</row>
    <row r="99" spans="1:26" ht="15.75" customHeight="1">
      <c r="A99" s="230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0"/>
      <c r="Y99" s="230"/>
      <c r="Z99" s="230"/>
    </row>
    <row r="100" spans="1:26" ht="15.75" customHeight="1">
      <c r="A100" s="230"/>
      <c r="B100" s="230"/>
      <c r="C100" s="230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</row>
    <row r="101" spans="1:26" ht="15.75" customHeight="1">
      <c r="A101" s="230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0"/>
      <c r="S101" s="230"/>
      <c r="T101" s="230"/>
      <c r="U101" s="230"/>
      <c r="V101" s="230"/>
      <c r="W101" s="230"/>
      <c r="X101" s="230"/>
      <c r="Y101" s="230"/>
      <c r="Z101" s="230"/>
    </row>
    <row r="102" spans="1:26" ht="15.75" customHeight="1">
      <c r="A102" s="230"/>
      <c r="B102" s="230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</row>
    <row r="103" spans="1:26" ht="15.75" customHeight="1">
      <c r="A103" s="230"/>
      <c r="B103" s="230"/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</row>
    <row r="104" spans="1:26" ht="15.75" customHeight="1">
      <c r="A104" s="230"/>
      <c r="B104" s="230"/>
      <c r="C104" s="230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</row>
    <row r="105" spans="1:26" ht="15.75" customHeight="1">
      <c r="A105" s="230"/>
      <c r="B105" s="230"/>
      <c r="C105" s="230"/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230"/>
      <c r="O105" s="230"/>
      <c r="P105" s="230"/>
      <c r="Q105" s="230"/>
      <c r="R105" s="230"/>
      <c r="S105" s="230"/>
      <c r="T105" s="230"/>
      <c r="U105" s="230"/>
      <c r="V105" s="230"/>
      <c r="W105" s="230"/>
      <c r="X105" s="230"/>
      <c r="Y105" s="230"/>
      <c r="Z105" s="230"/>
    </row>
    <row r="106" spans="1:26" ht="15.75" customHeight="1">
      <c r="A106" s="230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</row>
    <row r="107" spans="1:26" ht="15.75" customHeight="1">
      <c r="A107" s="230"/>
      <c r="B107" s="230"/>
      <c r="C107" s="230"/>
      <c r="D107" s="230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30"/>
      <c r="S107" s="230"/>
      <c r="T107" s="230"/>
      <c r="U107" s="230"/>
      <c r="V107" s="230"/>
      <c r="W107" s="230"/>
      <c r="X107" s="230"/>
      <c r="Y107" s="230"/>
      <c r="Z107" s="230"/>
    </row>
    <row r="108" spans="1:26" ht="15.75" customHeight="1">
      <c r="A108" s="230"/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0"/>
      <c r="X108" s="230"/>
      <c r="Y108" s="230"/>
      <c r="Z108" s="230"/>
    </row>
    <row r="109" spans="1:26" ht="15.75" customHeight="1">
      <c r="A109" s="230"/>
      <c r="B109" s="230"/>
      <c r="C109" s="230"/>
      <c r="D109" s="230"/>
      <c r="E109" s="230"/>
      <c r="F109" s="230"/>
      <c r="G109" s="230" t="s">
        <v>589</v>
      </c>
      <c r="H109" s="230"/>
      <c r="I109" s="230"/>
      <c r="J109" s="230" t="s">
        <v>588</v>
      </c>
      <c r="K109" s="230"/>
      <c r="L109" s="230"/>
      <c r="M109" s="230"/>
      <c r="N109" s="230"/>
      <c r="O109" s="230"/>
      <c r="P109" s="230"/>
      <c r="Q109" s="230"/>
      <c r="R109" s="230"/>
      <c r="S109" s="230"/>
      <c r="T109" s="230"/>
      <c r="U109" s="230"/>
      <c r="V109" s="230"/>
      <c r="W109" s="230"/>
      <c r="X109" s="230"/>
      <c r="Y109" s="230"/>
      <c r="Z109" s="230"/>
    </row>
    <row r="110" spans="1:26" ht="15.75" customHeight="1">
      <c r="A110" s="230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</row>
    <row r="111" spans="1:26" ht="15.75" customHeight="1">
      <c r="A111" s="230"/>
      <c r="B111" s="230"/>
      <c r="C111" s="230"/>
      <c r="D111" s="230"/>
      <c r="E111" s="230"/>
      <c r="F111" s="230"/>
      <c r="G111" s="230" t="s">
        <v>587</v>
      </c>
      <c r="H111" s="230">
        <v>180</v>
      </c>
      <c r="I111" s="230"/>
      <c r="J111" s="230" t="s">
        <v>586</v>
      </c>
      <c r="K111" s="230">
        <v>200</v>
      </c>
      <c r="L111" s="230"/>
      <c r="M111" s="230"/>
      <c r="N111" s="230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</row>
    <row r="112" spans="1:26" ht="15.75" customHeight="1">
      <c r="A112" s="230"/>
      <c r="B112" s="230"/>
      <c r="C112" s="230"/>
      <c r="D112" s="230"/>
      <c r="E112" s="230"/>
      <c r="F112" s="230"/>
      <c r="G112" s="230" t="s">
        <v>585</v>
      </c>
      <c r="H112" s="230">
        <v>0</v>
      </c>
      <c r="I112" s="230"/>
      <c r="J112" s="230" t="s">
        <v>584</v>
      </c>
      <c r="K112" s="230">
        <v>0</v>
      </c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0"/>
      <c r="X112" s="230"/>
      <c r="Y112" s="230"/>
      <c r="Z112" s="230"/>
    </row>
    <row r="113" spans="1:26" ht="15.75" customHeight="1">
      <c r="A113" s="230"/>
      <c r="B113" s="230"/>
      <c r="C113" s="230"/>
      <c r="D113" s="230"/>
      <c r="E113" s="230"/>
      <c r="F113" s="230"/>
      <c r="G113" s="230" t="s">
        <v>583</v>
      </c>
      <c r="H113" s="230">
        <v>180</v>
      </c>
      <c r="I113" s="230"/>
      <c r="J113" s="230" t="s">
        <v>582</v>
      </c>
      <c r="K113" s="230">
        <v>200</v>
      </c>
      <c r="L113" s="230"/>
      <c r="M113" s="230"/>
      <c r="N113" s="230"/>
      <c r="O113" s="230"/>
      <c r="P113" s="230"/>
      <c r="Q113" s="230"/>
      <c r="R113" s="230"/>
      <c r="S113" s="230"/>
      <c r="T113" s="230"/>
      <c r="U113" s="230"/>
      <c r="V113" s="230"/>
      <c r="W113" s="230"/>
      <c r="X113" s="230"/>
      <c r="Y113" s="230"/>
      <c r="Z113" s="230"/>
    </row>
    <row r="114" spans="1:26" ht="15.75" customHeight="1">
      <c r="A114" s="230"/>
      <c r="B114" s="230"/>
      <c r="C114" s="230"/>
      <c r="D114" s="230"/>
      <c r="E114" s="230"/>
      <c r="F114" s="230"/>
      <c r="G114" s="230" t="s">
        <v>581</v>
      </c>
      <c r="H114" s="230">
        <v>80</v>
      </c>
      <c r="I114" s="230"/>
      <c r="J114" s="230" t="s">
        <v>581</v>
      </c>
      <c r="K114" s="230">
        <v>86</v>
      </c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</row>
    <row r="115" spans="1:26" ht="15.75" customHeight="1">
      <c r="A115" s="230"/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</row>
    <row r="116" spans="1:26" ht="15.75" customHeight="1">
      <c r="A116" s="230"/>
      <c r="B116" s="230"/>
      <c r="C116" s="230"/>
      <c r="D116" s="230"/>
      <c r="E116" s="230"/>
      <c r="F116" s="230"/>
      <c r="G116" s="230" t="s">
        <v>580</v>
      </c>
      <c r="H116" s="230">
        <v>100</v>
      </c>
      <c r="I116" s="230"/>
      <c r="J116" s="230" t="s">
        <v>579</v>
      </c>
      <c r="K116" s="230">
        <v>114</v>
      </c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</row>
    <row r="117" spans="1:26" ht="15.75" customHeight="1">
      <c r="A117" s="230"/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</row>
    <row r="118" spans="1:26" ht="15.75" customHeight="1">
      <c r="A118" s="230"/>
      <c r="B118" s="230"/>
      <c r="C118" s="230"/>
      <c r="D118" s="230"/>
      <c r="E118" s="230"/>
      <c r="F118" s="230"/>
      <c r="G118" s="230"/>
      <c r="H118" s="230"/>
      <c r="I118" s="230"/>
      <c r="J118" s="230" t="s">
        <v>578</v>
      </c>
      <c r="K118" s="230">
        <v>14</v>
      </c>
      <c r="L118" s="230" t="s">
        <v>577</v>
      </c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</row>
    <row r="119" spans="1:26" ht="15.75" customHeight="1">
      <c r="A119" s="230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</row>
    <row r="120" spans="1:26" ht="15.75" customHeight="1">
      <c r="A120" s="230"/>
      <c r="B120" s="230"/>
      <c r="C120" s="230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</row>
    <row r="121" spans="1:26" ht="15.75" customHeight="1">
      <c r="A121" s="230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</row>
    <row r="122" spans="1:26" ht="15.75" customHeight="1">
      <c r="A122" s="230"/>
      <c r="B122" s="230"/>
      <c r="C122" s="230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</row>
    <row r="123" spans="1:26" ht="15.75" customHeight="1">
      <c r="A123" s="230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0"/>
      <c r="S123" s="230"/>
      <c r="T123" s="230"/>
      <c r="U123" s="230"/>
      <c r="V123" s="230"/>
      <c r="W123" s="230"/>
      <c r="X123" s="230"/>
      <c r="Y123" s="230"/>
      <c r="Z123" s="230"/>
    </row>
    <row r="124" spans="1:26" ht="15.75" customHeight="1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</row>
    <row r="125" spans="1:26" ht="15.75" customHeight="1">
      <c r="A125" s="230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</row>
    <row r="126" spans="1:26" ht="15.75" customHeight="1">
      <c r="A126" s="230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0"/>
      <c r="S126" s="230"/>
      <c r="T126" s="230"/>
      <c r="U126" s="230"/>
      <c r="V126" s="230"/>
      <c r="W126" s="230"/>
      <c r="X126" s="230"/>
      <c r="Y126" s="230"/>
      <c r="Z126" s="230"/>
    </row>
    <row r="127" spans="1:26" ht="15.75" customHeight="1">
      <c r="A127" s="230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0"/>
      <c r="W127" s="230"/>
      <c r="X127" s="230"/>
      <c r="Y127" s="230"/>
      <c r="Z127" s="230"/>
    </row>
    <row r="128" spans="1:26" ht="15.75" customHeight="1">
      <c r="A128" s="230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0"/>
      <c r="S128" s="230"/>
      <c r="T128" s="230"/>
      <c r="U128" s="230"/>
      <c r="V128" s="230"/>
      <c r="W128" s="230"/>
      <c r="X128" s="230"/>
      <c r="Y128" s="230"/>
      <c r="Z128" s="230"/>
    </row>
    <row r="129" spans="1:26" ht="15.75" customHeight="1">
      <c r="A129" s="230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0"/>
      <c r="V129" s="230"/>
      <c r="W129" s="230"/>
      <c r="X129" s="230"/>
      <c r="Y129" s="230"/>
      <c r="Z129" s="230"/>
    </row>
    <row r="130" spans="1:26" ht="15.75" customHeight="1">
      <c r="A130" s="230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0"/>
      <c r="S130" s="230"/>
      <c r="T130" s="230"/>
      <c r="U130" s="230"/>
      <c r="V130" s="230"/>
      <c r="W130" s="230"/>
      <c r="X130" s="230"/>
      <c r="Y130" s="230"/>
      <c r="Z130" s="230"/>
    </row>
    <row r="131" spans="1:26" ht="15.75" customHeight="1">
      <c r="A131" s="230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V131" s="230"/>
      <c r="W131" s="230"/>
      <c r="X131" s="230"/>
      <c r="Y131" s="230"/>
      <c r="Z131" s="230"/>
    </row>
    <row r="132" spans="1:26" ht="15.75" customHeight="1">
      <c r="A132" s="230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</row>
    <row r="133" spans="1:26" ht="15.75" customHeight="1">
      <c r="A133" s="230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</row>
    <row r="134" spans="1:26" ht="15.75" customHeight="1">
      <c r="A134" s="230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</row>
    <row r="135" spans="1:26" ht="15.75" customHeight="1">
      <c r="A135" s="230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</row>
    <row r="136" spans="1:26" ht="15.75" customHeight="1">
      <c r="A136" s="230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</row>
    <row r="137" spans="1:26" ht="15.75" customHeight="1">
      <c r="A137" s="230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</row>
    <row r="138" spans="1:26" ht="15.75" customHeight="1">
      <c r="A138" s="230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</row>
    <row r="139" spans="1:26" ht="15.75" customHeight="1">
      <c r="A139" s="230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</row>
    <row r="140" spans="1:26" ht="15.75" customHeight="1">
      <c r="A140" s="230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</row>
    <row r="141" spans="1:26" ht="15.75" customHeight="1">
      <c r="A141" s="230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30"/>
      <c r="W141" s="230"/>
      <c r="X141" s="230"/>
      <c r="Y141" s="230"/>
      <c r="Z141" s="230"/>
    </row>
    <row r="142" spans="1:26" ht="15.75" customHeight="1">
      <c r="A142" s="230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</row>
    <row r="143" spans="1:26" ht="15.75" customHeight="1">
      <c r="A143" s="230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30"/>
      <c r="W143" s="230"/>
      <c r="X143" s="230"/>
      <c r="Y143" s="230"/>
      <c r="Z143" s="230"/>
    </row>
    <row r="144" spans="1:26" ht="15.7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</row>
    <row r="145" spans="1:26" ht="15.75" customHeight="1">
      <c r="A145" s="230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0"/>
      <c r="W145" s="230"/>
      <c r="X145" s="230"/>
      <c r="Y145" s="230"/>
      <c r="Z145" s="230"/>
    </row>
    <row r="146" spans="1:26" ht="15.75" customHeight="1">
      <c r="A146" s="230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V146" s="230"/>
      <c r="W146" s="230"/>
      <c r="X146" s="230"/>
      <c r="Y146" s="230"/>
      <c r="Z146" s="230"/>
    </row>
    <row r="147" spans="1:26" ht="15.75" customHeight="1">
      <c r="A147" s="230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0"/>
      <c r="S147" s="230"/>
      <c r="T147" s="230"/>
      <c r="U147" s="230"/>
      <c r="V147" s="230"/>
      <c r="W147" s="230"/>
      <c r="X147" s="230"/>
      <c r="Y147" s="230"/>
      <c r="Z147" s="230"/>
    </row>
    <row r="148" spans="1:26" ht="15.75" customHeight="1">
      <c r="A148" s="230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0"/>
      <c r="X148" s="230"/>
      <c r="Y148" s="230"/>
      <c r="Z148" s="230"/>
    </row>
    <row r="149" spans="1:26" ht="15.75" customHeight="1">
      <c r="A149" s="230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</row>
    <row r="150" spans="1:26" ht="15.75" customHeight="1">
      <c r="A150" s="230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30"/>
      <c r="U150" s="230"/>
      <c r="V150" s="230"/>
      <c r="W150" s="230"/>
      <c r="X150" s="230"/>
      <c r="Y150" s="230"/>
      <c r="Z150" s="230"/>
    </row>
    <row r="151" spans="1:26" ht="15.75" customHeight="1">
      <c r="A151" s="230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</row>
    <row r="152" spans="1:26" ht="15.75" customHeight="1">
      <c r="A152" s="230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0"/>
      <c r="V152" s="230"/>
      <c r="W152" s="230"/>
      <c r="X152" s="230"/>
      <c r="Y152" s="230"/>
      <c r="Z152" s="230"/>
    </row>
    <row r="153" spans="1:26" ht="15.75" customHeight="1">
      <c r="A153" s="230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0"/>
      <c r="S153" s="230"/>
      <c r="T153" s="230"/>
      <c r="U153" s="230"/>
      <c r="V153" s="230"/>
      <c r="W153" s="230"/>
      <c r="X153" s="230"/>
      <c r="Y153" s="230"/>
      <c r="Z153" s="230"/>
    </row>
    <row r="154" spans="1:26" ht="15.75" customHeight="1">
      <c r="A154" s="230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0"/>
      <c r="Q154" s="230"/>
      <c r="R154" s="230"/>
      <c r="S154" s="230"/>
      <c r="T154" s="230"/>
      <c r="U154" s="230"/>
      <c r="V154" s="230"/>
      <c r="W154" s="230"/>
      <c r="X154" s="230"/>
      <c r="Y154" s="230"/>
      <c r="Z154" s="230"/>
    </row>
    <row r="155" spans="1:26" ht="15.75" customHeight="1">
      <c r="A155" s="230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V155" s="230"/>
      <c r="W155" s="230"/>
      <c r="X155" s="230"/>
      <c r="Y155" s="230"/>
      <c r="Z155" s="230"/>
    </row>
    <row r="156" spans="1:26" ht="15.75" customHeight="1">
      <c r="A156" s="230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30"/>
      <c r="W156" s="230"/>
      <c r="X156" s="230"/>
      <c r="Y156" s="230"/>
      <c r="Z156" s="230"/>
    </row>
    <row r="157" spans="1:26" ht="15.75" customHeight="1">
      <c r="A157" s="230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V157" s="230"/>
      <c r="W157" s="230"/>
      <c r="X157" s="230"/>
      <c r="Y157" s="230"/>
      <c r="Z157" s="230"/>
    </row>
    <row r="158" spans="1:26" ht="15.75" customHeight="1">
      <c r="A158" s="230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V158" s="230"/>
      <c r="W158" s="230"/>
      <c r="X158" s="230"/>
      <c r="Y158" s="230"/>
      <c r="Z158" s="230"/>
    </row>
    <row r="159" spans="1:26" ht="15.75" customHeight="1">
      <c r="A159" s="230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/>
      <c r="Z159" s="230"/>
    </row>
    <row r="160" spans="1:26" ht="15.75" customHeight="1">
      <c r="A160" s="230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0"/>
      <c r="S160" s="230"/>
      <c r="T160" s="230"/>
      <c r="U160" s="230"/>
      <c r="V160" s="230"/>
      <c r="W160" s="230"/>
      <c r="X160" s="230"/>
      <c r="Y160" s="230"/>
      <c r="Z160" s="230"/>
    </row>
    <row r="161" spans="1:26" ht="15.75" customHeight="1">
      <c r="A161" s="230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0"/>
      <c r="S161" s="230"/>
      <c r="T161" s="230"/>
      <c r="U161" s="230"/>
      <c r="V161" s="230"/>
      <c r="W161" s="230"/>
      <c r="X161" s="230"/>
      <c r="Y161" s="230"/>
      <c r="Z161" s="230"/>
    </row>
    <row r="162" spans="1:26" ht="15.75" customHeight="1">
      <c r="A162" s="230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0"/>
      <c r="S162" s="230"/>
      <c r="T162" s="230"/>
      <c r="U162" s="230"/>
      <c r="V162" s="230"/>
      <c r="W162" s="230"/>
      <c r="X162" s="230"/>
      <c r="Y162" s="230"/>
      <c r="Z162" s="230"/>
    </row>
    <row r="163" spans="1:26" ht="15.75" customHeight="1">
      <c r="A163" s="230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</row>
    <row r="164" spans="1:26" ht="15.75" customHeight="1">
      <c r="A164" s="230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</row>
    <row r="165" spans="1:26" ht="15.75" customHeight="1">
      <c r="A165" s="230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</row>
    <row r="166" spans="1:26" ht="15.75" customHeight="1">
      <c r="A166" s="230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</row>
    <row r="167" spans="1:26" ht="15.75" customHeight="1">
      <c r="A167" s="230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</row>
    <row r="168" spans="1:26" ht="15.75" customHeight="1">
      <c r="A168" s="230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</row>
    <row r="169" spans="1:26" ht="15.75" customHeight="1">
      <c r="A169" s="230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V169" s="230"/>
      <c r="W169" s="230"/>
      <c r="X169" s="230"/>
      <c r="Y169" s="230"/>
      <c r="Z169" s="230"/>
    </row>
    <row r="170" spans="1:26" ht="15.75" customHeight="1">
      <c r="A170" s="230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V170" s="230"/>
      <c r="W170" s="230"/>
      <c r="X170" s="230"/>
      <c r="Y170" s="230"/>
      <c r="Z170" s="230"/>
    </row>
    <row r="171" spans="1:26" ht="15.75" customHeight="1">
      <c r="A171" s="230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</row>
    <row r="172" spans="1:26" ht="15.75" customHeight="1">
      <c r="A172" s="230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30"/>
      <c r="S172" s="230"/>
      <c r="T172" s="230"/>
      <c r="U172" s="230"/>
      <c r="V172" s="230"/>
      <c r="W172" s="230"/>
      <c r="X172" s="230"/>
      <c r="Y172" s="230"/>
      <c r="Z172" s="230"/>
    </row>
    <row r="173" spans="1:26" ht="15.75" customHeight="1">
      <c r="A173" s="230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</row>
    <row r="174" spans="1:26" ht="15.75" customHeight="1">
      <c r="A174" s="230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0"/>
      <c r="S174" s="230"/>
      <c r="T174" s="230"/>
      <c r="U174" s="230"/>
      <c r="V174" s="230"/>
      <c r="W174" s="230"/>
      <c r="X174" s="230"/>
      <c r="Y174" s="230"/>
      <c r="Z174" s="230"/>
    </row>
    <row r="175" spans="1:26" ht="15.75" customHeight="1">
      <c r="A175" s="230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0"/>
      <c r="V175" s="230"/>
      <c r="W175" s="230"/>
      <c r="X175" s="230"/>
      <c r="Y175" s="230"/>
      <c r="Z175" s="230"/>
    </row>
    <row r="176" spans="1:26" ht="15.75" customHeight="1">
      <c r="A176" s="230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0"/>
      <c r="Y176" s="230"/>
      <c r="Z176" s="230"/>
    </row>
    <row r="177" spans="1:26" ht="15.75" customHeight="1">
      <c r="A177" s="230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</row>
    <row r="178" spans="1:26" ht="15.75" customHeight="1">
      <c r="A178" s="230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</row>
    <row r="179" spans="1:26" ht="15.75" customHeight="1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V179" s="230"/>
      <c r="W179" s="230"/>
      <c r="X179" s="230"/>
      <c r="Y179" s="230"/>
      <c r="Z179" s="230"/>
    </row>
    <row r="180" spans="1:26" ht="15.75" customHeight="1">
      <c r="A180" s="230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V180" s="230"/>
      <c r="W180" s="230"/>
      <c r="X180" s="230"/>
      <c r="Y180" s="230"/>
      <c r="Z180" s="230"/>
    </row>
    <row r="181" spans="1:26" ht="15.75" customHeight="1">
      <c r="A181" s="230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V181" s="230"/>
      <c r="W181" s="230"/>
      <c r="X181" s="230"/>
      <c r="Y181" s="230"/>
      <c r="Z181" s="230"/>
    </row>
    <row r="182" spans="1:26" ht="15.75" customHeight="1">
      <c r="A182" s="230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</row>
    <row r="183" spans="1:26" ht="15.75" customHeight="1">
      <c r="A183" s="230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</row>
    <row r="184" spans="1:26" ht="15.75" customHeight="1">
      <c r="A184" s="230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</row>
    <row r="185" spans="1:26" ht="15.75" customHeight="1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</row>
    <row r="186" spans="1:26" ht="15.75" customHeight="1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</row>
    <row r="187" spans="1:26" ht="15.75" customHeight="1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</row>
    <row r="188" spans="1:26" ht="15.75" customHeight="1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</row>
    <row r="189" spans="1:26" ht="15.75" customHeight="1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</row>
    <row r="190" spans="1:26" ht="15.75" customHeight="1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</row>
    <row r="191" spans="1:26" ht="15.75" customHeight="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</row>
    <row r="192" spans="1:26" ht="15.75" customHeight="1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</row>
    <row r="193" spans="1:26" ht="15.75" customHeight="1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</row>
    <row r="194" spans="1:26" ht="15.75" customHeight="1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</row>
    <row r="195" spans="1:26" ht="15.75" customHeight="1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</row>
    <row r="196" spans="1:26" ht="15.75" customHeight="1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</row>
    <row r="197" spans="1:26" ht="15.75" customHeight="1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</row>
    <row r="198" spans="1:26" ht="15.75" customHeight="1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</row>
    <row r="199" spans="1:26" ht="15.75" customHeight="1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</row>
    <row r="200" spans="1:26" ht="15.75" customHeight="1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</row>
    <row r="201" spans="1:26" ht="15.75" customHeight="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</row>
    <row r="202" spans="1:26" ht="15.75" customHeight="1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</row>
    <row r="203" spans="1:26" ht="15.75" customHeight="1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</row>
    <row r="204" spans="1:26" ht="15.75" customHeight="1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</row>
    <row r="205" spans="1:26" ht="15.75" customHeight="1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</row>
    <row r="206" spans="1:26" ht="15.75" customHeight="1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</row>
    <row r="207" spans="1:26" ht="15.75" customHeight="1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</row>
    <row r="208" spans="1:26" ht="15.75" customHeight="1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</row>
    <row r="209" spans="1:26" ht="15.75" customHeight="1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</row>
    <row r="210" spans="1:26" ht="15.75" customHeight="1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</row>
    <row r="211" spans="1:26" ht="15.75" customHeight="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</row>
    <row r="212" spans="1:26" ht="15.75" customHeight="1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</row>
    <row r="213" spans="1:26" ht="15.75" customHeight="1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</row>
    <row r="214" spans="1:26" ht="15.75" customHeight="1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</row>
    <row r="215" spans="1:26" ht="15.75" customHeight="1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</row>
    <row r="216" spans="1:26" ht="15.75" customHeight="1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</row>
    <row r="217" spans="1:26" ht="15.75" customHeight="1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</row>
    <row r="218" spans="1:26" ht="15.75" customHeight="1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</row>
    <row r="219" spans="1:26" ht="15.75" customHeight="1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</row>
    <row r="220" spans="1:26" ht="15.75" customHeight="1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</row>
    <row r="221" spans="1:26" ht="15.75" customHeight="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</row>
    <row r="222" spans="1:26" ht="15.75" customHeight="1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</row>
    <row r="223" spans="1:26" ht="15.75" customHeight="1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</row>
    <row r="224" spans="1:26" ht="15.75" customHeight="1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</row>
    <row r="225" spans="1:26" ht="15.75" customHeight="1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</row>
    <row r="226" spans="1:26" ht="15.75" customHeight="1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</row>
    <row r="227" spans="1:26" ht="15.75" customHeight="1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</row>
    <row r="228" spans="1:26" ht="15.75" customHeight="1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</row>
    <row r="229" spans="1:26" ht="15.75" customHeight="1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</row>
    <row r="230" spans="1:26" ht="15.75" customHeight="1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</row>
    <row r="231" spans="1:26" ht="15.75" customHeight="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</row>
    <row r="232" spans="1:26" ht="15.75" customHeight="1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</row>
    <row r="233" spans="1:26" ht="15.75" customHeight="1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</row>
    <row r="234" spans="1:26" ht="15.75" customHeight="1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</row>
    <row r="235" spans="1:26" ht="15.75" customHeight="1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</row>
    <row r="236" spans="1:26" ht="15.75" customHeight="1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</row>
    <row r="237" spans="1:26" ht="15.75" customHeight="1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</row>
    <row r="238" spans="1:26" ht="15.75" customHeight="1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</row>
    <row r="239" spans="1:26" ht="15.75" customHeight="1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</row>
    <row r="240" spans="1:26" ht="15.75" customHeight="1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</row>
    <row r="241" spans="1:26" ht="15.75" customHeight="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</row>
    <row r="242" spans="1:26" ht="15.75" customHeight="1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</row>
    <row r="243" spans="1:26" ht="15.75" customHeight="1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</row>
    <row r="244" spans="1:26" ht="15.75" customHeight="1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</row>
    <row r="245" spans="1:26" ht="15.75" customHeight="1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</row>
    <row r="246" spans="1:26" ht="15.75" customHeight="1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</row>
    <row r="247" spans="1:26" ht="15.75" customHeight="1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</row>
    <row r="248" spans="1:26" ht="15.75" customHeight="1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</row>
    <row r="249" spans="1:26" ht="15.75" customHeight="1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</row>
    <row r="250" spans="1:26" ht="15.75" customHeight="1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</row>
    <row r="251" spans="1:26" ht="15.75" customHeight="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</row>
    <row r="252" spans="1:26" ht="15.75" customHeight="1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</row>
    <row r="253" spans="1:26" ht="15.75" customHeight="1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</row>
    <row r="254" spans="1:26" ht="15.75" customHeight="1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</row>
    <row r="255" spans="1:26" ht="15.75" customHeight="1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</row>
    <row r="256" spans="1:26" ht="15.75" customHeight="1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</row>
    <row r="257" spans="1:26" ht="15.75" customHeight="1">
      <c r="A257" s="230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0"/>
      <c r="S257" s="230"/>
      <c r="T257" s="230"/>
      <c r="U257" s="230"/>
      <c r="V257" s="230"/>
      <c r="W257" s="230"/>
      <c r="X257" s="230"/>
      <c r="Y257" s="230"/>
      <c r="Z257" s="230"/>
    </row>
    <row r="258" spans="1:26" ht="15.75" customHeight="1">
      <c r="A258" s="230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0"/>
      <c r="S258" s="230"/>
      <c r="T258" s="230"/>
      <c r="U258" s="230"/>
      <c r="V258" s="230"/>
      <c r="W258" s="230"/>
      <c r="X258" s="230"/>
      <c r="Y258" s="230"/>
      <c r="Z258" s="230"/>
    </row>
    <row r="259" spans="1:26" ht="15.75" customHeight="1">
      <c r="A259" s="230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0"/>
      <c r="P259" s="230"/>
      <c r="Q259" s="230"/>
      <c r="R259" s="230"/>
      <c r="S259" s="230"/>
      <c r="T259" s="230"/>
      <c r="U259" s="230"/>
      <c r="V259" s="230"/>
      <c r="W259" s="230"/>
      <c r="X259" s="230"/>
      <c r="Y259" s="230"/>
      <c r="Z259" s="230"/>
    </row>
    <row r="260" spans="1:26" ht="15.75" customHeight="1">
      <c r="A260" s="230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0"/>
      <c r="P260" s="230"/>
      <c r="Q260" s="230"/>
      <c r="R260" s="230"/>
      <c r="S260" s="230"/>
      <c r="T260" s="230"/>
      <c r="U260" s="230"/>
      <c r="V260" s="230"/>
      <c r="W260" s="230"/>
      <c r="X260" s="230"/>
      <c r="Y260" s="230"/>
      <c r="Z260" s="230"/>
    </row>
    <row r="261" spans="1:26" ht="15.75" customHeight="1">
      <c r="A261" s="230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0"/>
      <c r="P261" s="230"/>
      <c r="Q261" s="230"/>
      <c r="R261" s="230"/>
      <c r="S261" s="230"/>
      <c r="T261" s="230"/>
      <c r="U261" s="230"/>
      <c r="V261" s="230"/>
      <c r="W261" s="230"/>
      <c r="X261" s="230"/>
      <c r="Y261" s="230"/>
      <c r="Z261" s="230"/>
    </row>
    <row r="262" spans="1:26" ht="15.75" customHeight="1">
      <c r="A262" s="230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0"/>
      <c r="P262" s="230"/>
      <c r="Q262" s="230"/>
      <c r="R262" s="230"/>
      <c r="S262" s="230"/>
      <c r="T262" s="230"/>
      <c r="U262" s="230"/>
      <c r="V262" s="230"/>
      <c r="W262" s="230"/>
      <c r="X262" s="230"/>
      <c r="Y262" s="230"/>
      <c r="Z262" s="230"/>
    </row>
    <row r="263" spans="1:26" ht="15.75" customHeight="1">
      <c r="A263" s="230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0"/>
      <c r="P263" s="230"/>
      <c r="Q263" s="230"/>
      <c r="R263" s="230"/>
      <c r="S263" s="230"/>
      <c r="T263" s="230"/>
      <c r="U263" s="230"/>
      <c r="V263" s="230"/>
      <c r="W263" s="230"/>
      <c r="X263" s="230"/>
      <c r="Y263" s="230"/>
      <c r="Z263" s="230"/>
    </row>
    <row r="264" spans="1:26" ht="15.75" customHeight="1">
      <c r="A264" s="230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0"/>
      <c r="V264" s="230"/>
      <c r="W264" s="230"/>
      <c r="X264" s="230"/>
      <c r="Y264" s="230"/>
      <c r="Z264" s="230"/>
    </row>
    <row r="265" spans="1:26" ht="15.75" customHeight="1">
      <c r="A265" s="230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0"/>
      <c r="P265" s="230"/>
      <c r="Q265" s="230"/>
      <c r="R265" s="230"/>
      <c r="S265" s="230"/>
      <c r="T265" s="230"/>
      <c r="U265" s="230"/>
      <c r="V265" s="230"/>
      <c r="W265" s="230"/>
      <c r="X265" s="230"/>
      <c r="Y265" s="230"/>
      <c r="Z265" s="230"/>
    </row>
    <row r="266" spans="1:26" ht="15.75" customHeight="1">
      <c r="A266" s="230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0"/>
      <c r="P266" s="230"/>
      <c r="Q266" s="230"/>
      <c r="R266" s="230"/>
      <c r="S266" s="230"/>
      <c r="T266" s="230"/>
      <c r="U266" s="230"/>
      <c r="V266" s="230"/>
      <c r="W266" s="230"/>
      <c r="X266" s="230"/>
      <c r="Y266" s="230"/>
      <c r="Z266" s="230"/>
    </row>
    <row r="267" spans="1:26" ht="15.75" customHeight="1">
      <c r="A267" s="230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0"/>
      <c r="P267" s="230"/>
      <c r="Q267" s="230"/>
      <c r="R267" s="230"/>
      <c r="S267" s="230"/>
      <c r="T267" s="230"/>
      <c r="U267" s="230"/>
      <c r="V267" s="230"/>
      <c r="W267" s="230"/>
      <c r="X267" s="230"/>
      <c r="Y267" s="230"/>
      <c r="Z267" s="230"/>
    </row>
    <row r="268" spans="1:26" ht="15.75" customHeight="1">
      <c r="A268" s="230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0"/>
      <c r="P268" s="230"/>
      <c r="Q268" s="230"/>
      <c r="R268" s="230"/>
      <c r="S268" s="230"/>
      <c r="T268" s="230"/>
      <c r="U268" s="230"/>
      <c r="V268" s="230"/>
      <c r="W268" s="230"/>
      <c r="X268" s="230"/>
      <c r="Y268" s="230"/>
      <c r="Z268" s="230"/>
    </row>
    <row r="269" spans="1:26" ht="15.75" customHeight="1">
      <c r="A269" s="230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0"/>
      <c r="S269" s="230"/>
      <c r="T269" s="230"/>
      <c r="U269" s="230"/>
      <c r="V269" s="230"/>
      <c r="W269" s="230"/>
      <c r="X269" s="230"/>
      <c r="Y269" s="230"/>
      <c r="Z269" s="230"/>
    </row>
    <row r="270" spans="1:26" ht="15.75" customHeight="1">
      <c r="A270" s="230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0"/>
      <c r="S270" s="230"/>
      <c r="T270" s="230"/>
      <c r="U270" s="230"/>
      <c r="V270" s="230"/>
      <c r="W270" s="230"/>
      <c r="X270" s="230"/>
      <c r="Y270" s="230"/>
      <c r="Z270" s="230"/>
    </row>
    <row r="271" spans="1:26" ht="15.75" customHeight="1">
      <c r="A271" s="230"/>
      <c r="B271" s="230"/>
      <c r="C271" s="230"/>
      <c r="D271" s="230"/>
      <c r="E271" s="230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0"/>
      <c r="S271" s="230"/>
      <c r="T271" s="230"/>
      <c r="U271" s="230"/>
      <c r="V271" s="230"/>
      <c r="W271" s="230"/>
      <c r="X271" s="230"/>
      <c r="Y271" s="230"/>
      <c r="Z271" s="230"/>
    </row>
    <row r="272" spans="1:26" ht="15.75" customHeight="1">
      <c r="A272" s="230"/>
      <c r="B272" s="230"/>
      <c r="C272" s="230"/>
      <c r="D272" s="230"/>
      <c r="E272" s="230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0"/>
      <c r="S272" s="230"/>
      <c r="T272" s="230"/>
      <c r="U272" s="230"/>
      <c r="V272" s="230"/>
      <c r="W272" s="230"/>
      <c r="X272" s="230"/>
      <c r="Y272" s="230"/>
      <c r="Z272" s="230"/>
    </row>
    <row r="273" spans="1:26" ht="15.75" customHeight="1">
      <c r="A273" s="230"/>
      <c r="B273" s="230"/>
      <c r="C273" s="230"/>
      <c r="D273" s="230"/>
      <c r="E273" s="230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0"/>
      <c r="S273" s="230"/>
      <c r="T273" s="230"/>
      <c r="U273" s="230"/>
      <c r="V273" s="230"/>
      <c r="W273" s="230"/>
      <c r="X273" s="230"/>
      <c r="Y273" s="230"/>
      <c r="Z273" s="230"/>
    </row>
    <row r="274" spans="1:26" ht="15.75" customHeight="1">
      <c r="A274" s="230"/>
      <c r="B274" s="230"/>
      <c r="C274" s="230"/>
      <c r="D274" s="230"/>
      <c r="E274" s="230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0"/>
      <c r="S274" s="230"/>
      <c r="T274" s="230"/>
      <c r="U274" s="230"/>
      <c r="V274" s="230"/>
      <c r="W274" s="230"/>
      <c r="X274" s="230"/>
      <c r="Y274" s="230"/>
      <c r="Z274" s="230"/>
    </row>
    <row r="275" spans="1:26" ht="15.75" customHeight="1">
      <c r="A275" s="230"/>
      <c r="B275" s="230"/>
      <c r="C275" s="230"/>
      <c r="D275" s="230"/>
      <c r="E275" s="230"/>
      <c r="F275" s="230"/>
      <c r="G275" s="230"/>
      <c r="H275" s="230"/>
      <c r="I275" s="230"/>
      <c r="J275" s="230"/>
      <c r="K275" s="230"/>
      <c r="L275" s="230"/>
      <c r="M275" s="230"/>
      <c r="N275" s="230"/>
      <c r="O275" s="230"/>
      <c r="P275" s="230"/>
      <c r="Q275" s="230"/>
      <c r="R275" s="230"/>
      <c r="S275" s="230"/>
      <c r="T275" s="230"/>
      <c r="U275" s="230"/>
      <c r="V275" s="230"/>
      <c r="W275" s="230"/>
      <c r="X275" s="230"/>
      <c r="Y275" s="230"/>
      <c r="Z275" s="230"/>
    </row>
    <row r="276" spans="1:26" ht="15.75" customHeight="1">
      <c r="A276" s="230"/>
      <c r="B276" s="230"/>
      <c r="C276" s="230"/>
      <c r="D276" s="230"/>
      <c r="E276" s="230"/>
      <c r="F276" s="230"/>
      <c r="G276" s="230"/>
      <c r="H276" s="230"/>
      <c r="I276" s="230"/>
      <c r="J276" s="230"/>
      <c r="K276" s="230"/>
      <c r="L276" s="230"/>
      <c r="M276" s="230"/>
      <c r="N276" s="230"/>
      <c r="O276" s="230"/>
      <c r="P276" s="230"/>
      <c r="Q276" s="230"/>
      <c r="R276" s="230"/>
      <c r="S276" s="230"/>
      <c r="T276" s="230"/>
      <c r="U276" s="230"/>
      <c r="V276" s="230"/>
      <c r="W276" s="230"/>
      <c r="X276" s="230"/>
      <c r="Y276" s="230"/>
      <c r="Z276" s="230"/>
    </row>
    <row r="277" spans="1:26" ht="15.75" customHeight="1">
      <c r="A277" s="230"/>
      <c r="B277" s="230"/>
      <c r="C277" s="230"/>
      <c r="D277" s="230"/>
      <c r="E277" s="230"/>
      <c r="F277" s="230"/>
      <c r="G277" s="230"/>
      <c r="H277" s="230"/>
      <c r="I277" s="230"/>
      <c r="J277" s="230"/>
      <c r="K277" s="230"/>
      <c r="L277" s="230"/>
      <c r="M277" s="230"/>
      <c r="N277" s="230"/>
      <c r="O277" s="230"/>
      <c r="P277" s="230"/>
      <c r="Q277" s="230"/>
      <c r="R277" s="230"/>
      <c r="S277" s="230"/>
      <c r="T277" s="230"/>
      <c r="U277" s="230"/>
      <c r="V277" s="230"/>
      <c r="W277" s="230"/>
      <c r="X277" s="230"/>
      <c r="Y277" s="230"/>
      <c r="Z277" s="230"/>
    </row>
    <row r="278" spans="1:26" ht="15.75" customHeight="1">
      <c r="A278" s="230"/>
      <c r="B278" s="230"/>
      <c r="C278" s="230"/>
      <c r="D278" s="230"/>
      <c r="E278" s="230"/>
      <c r="F278" s="230"/>
      <c r="G278" s="230"/>
      <c r="H278" s="230"/>
      <c r="I278" s="230"/>
      <c r="J278" s="230"/>
      <c r="K278" s="230"/>
      <c r="L278" s="230"/>
      <c r="M278" s="230"/>
      <c r="N278" s="230"/>
      <c r="O278" s="230"/>
      <c r="P278" s="230"/>
      <c r="Q278" s="230"/>
      <c r="R278" s="230"/>
      <c r="S278" s="230"/>
      <c r="T278" s="230"/>
      <c r="U278" s="230"/>
      <c r="V278" s="230"/>
      <c r="W278" s="230"/>
      <c r="X278" s="230"/>
      <c r="Y278" s="230"/>
      <c r="Z278" s="230"/>
    </row>
    <row r="279" spans="1:26" ht="15.75" customHeight="1">
      <c r="A279" s="230"/>
      <c r="B279" s="230"/>
      <c r="C279" s="230"/>
      <c r="D279" s="230"/>
      <c r="E279" s="230"/>
      <c r="F279" s="230"/>
      <c r="G279" s="230"/>
      <c r="H279" s="230"/>
      <c r="I279" s="230"/>
      <c r="J279" s="230"/>
      <c r="K279" s="230"/>
      <c r="L279" s="230"/>
      <c r="M279" s="230"/>
      <c r="N279" s="230"/>
      <c r="O279" s="230"/>
      <c r="P279" s="230"/>
      <c r="Q279" s="230"/>
      <c r="R279" s="230"/>
      <c r="S279" s="230"/>
      <c r="T279" s="230"/>
      <c r="U279" s="230"/>
      <c r="V279" s="230"/>
      <c r="W279" s="230"/>
      <c r="X279" s="230"/>
      <c r="Y279" s="230"/>
      <c r="Z279" s="230"/>
    </row>
    <row r="280" spans="1:26" ht="15.75" customHeight="1">
      <c r="A280" s="230"/>
      <c r="B280" s="230"/>
      <c r="C280" s="230"/>
      <c r="D280" s="230"/>
      <c r="E280" s="230"/>
      <c r="F280" s="230"/>
      <c r="G280" s="230"/>
      <c r="H280" s="230"/>
      <c r="I280" s="230"/>
      <c r="J280" s="230"/>
      <c r="K280" s="230"/>
      <c r="L280" s="230"/>
      <c r="M280" s="230"/>
      <c r="N280" s="230"/>
      <c r="O280" s="230"/>
      <c r="P280" s="230"/>
      <c r="Q280" s="230"/>
      <c r="R280" s="230"/>
      <c r="S280" s="230"/>
      <c r="T280" s="230"/>
      <c r="U280" s="230"/>
      <c r="V280" s="230"/>
      <c r="W280" s="230"/>
      <c r="X280" s="230"/>
      <c r="Y280" s="230"/>
      <c r="Z280" s="230"/>
    </row>
    <row r="281" spans="1:26" ht="15.75" customHeight="1">
      <c r="A281" s="230"/>
      <c r="B281" s="230"/>
      <c r="C281" s="230"/>
      <c r="D281" s="230"/>
      <c r="E281" s="230"/>
      <c r="F281" s="230"/>
      <c r="G281" s="230"/>
      <c r="H281" s="230"/>
      <c r="I281" s="230"/>
      <c r="J281" s="230"/>
      <c r="K281" s="230"/>
      <c r="L281" s="230"/>
      <c r="M281" s="230"/>
      <c r="N281" s="230"/>
      <c r="O281" s="230"/>
      <c r="P281" s="230"/>
      <c r="Q281" s="230"/>
      <c r="R281" s="230"/>
      <c r="S281" s="230"/>
      <c r="T281" s="230"/>
      <c r="U281" s="230"/>
      <c r="V281" s="230"/>
      <c r="W281" s="230"/>
      <c r="X281" s="230"/>
      <c r="Y281" s="230"/>
      <c r="Z281" s="230"/>
    </row>
    <row r="282" spans="1:26" ht="15.75" customHeight="1">
      <c r="A282" s="230"/>
      <c r="B282" s="230"/>
      <c r="C282" s="230"/>
      <c r="D282" s="230"/>
      <c r="E282" s="230"/>
      <c r="F282" s="230"/>
      <c r="G282" s="230"/>
      <c r="H282" s="230"/>
      <c r="I282" s="230"/>
      <c r="J282" s="230"/>
      <c r="K282" s="230"/>
      <c r="L282" s="230"/>
      <c r="M282" s="230"/>
      <c r="N282" s="230"/>
      <c r="O282" s="230"/>
      <c r="P282" s="230"/>
      <c r="Q282" s="230"/>
      <c r="R282" s="230"/>
      <c r="S282" s="230"/>
      <c r="T282" s="230"/>
      <c r="U282" s="230"/>
      <c r="V282" s="230"/>
      <c r="W282" s="230"/>
      <c r="X282" s="230"/>
      <c r="Y282" s="230"/>
      <c r="Z282" s="230"/>
    </row>
    <row r="283" spans="1:26" ht="15.75" customHeight="1">
      <c r="A283" s="230"/>
      <c r="B283" s="230"/>
      <c r="C283" s="230"/>
      <c r="D283" s="230"/>
      <c r="E283" s="230"/>
      <c r="F283" s="230"/>
      <c r="G283" s="230"/>
      <c r="H283" s="230"/>
      <c r="I283" s="230"/>
      <c r="J283" s="230"/>
      <c r="K283" s="230"/>
      <c r="L283" s="230"/>
      <c r="M283" s="230"/>
      <c r="N283" s="230"/>
      <c r="O283" s="230"/>
      <c r="P283" s="230"/>
      <c r="Q283" s="230"/>
      <c r="R283" s="230"/>
      <c r="S283" s="230"/>
      <c r="T283" s="230"/>
      <c r="U283" s="230"/>
      <c r="V283" s="230"/>
      <c r="W283" s="230"/>
      <c r="X283" s="230"/>
      <c r="Y283" s="230"/>
      <c r="Z283" s="230"/>
    </row>
    <row r="284" spans="1:26" ht="15.75" customHeight="1">
      <c r="A284" s="230"/>
      <c r="B284" s="230"/>
      <c r="C284" s="230"/>
      <c r="D284" s="230"/>
      <c r="E284" s="230"/>
      <c r="F284" s="230"/>
      <c r="G284" s="230"/>
      <c r="H284" s="230"/>
      <c r="I284" s="230"/>
      <c r="J284" s="230"/>
      <c r="K284" s="230"/>
      <c r="L284" s="230"/>
      <c r="M284" s="230"/>
      <c r="N284" s="230"/>
      <c r="O284" s="230"/>
      <c r="P284" s="230"/>
      <c r="Q284" s="230"/>
      <c r="R284" s="230"/>
      <c r="S284" s="230"/>
      <c r="T284" s="230"/>
      <c r="U284" s="230"/>
      <c r="V284" s="230"/>
      <c r="W284" s="230"/>
      <c r="X284" s="230"/>
      <c r="Y284" s="230"/>
      <c r="Z284" s="230"/>
    </row>
    <row r="285" spans="1:26" ht="15.75" customHeight="1">
      <c r="A285" s="230"/>
      <c r="B285" s="230"/>
      <c r="C285" s="230"/>
      <c r="D285" s="230"/>
      <c r="E285" s="230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0"/>
      <c r="S285" s="230"/>
      <c r="T285" s="230"/>
      <c r="U285" s="230"/>
      <c r="V285" s="230"/>
      <c r="W285" s="230"/>
      <c r="X285" s="230"/>
      <c r="Y285" s="230"/>
      <c r="Z285" s="230"/>
    </row>
    <row r="286" spans="1:26" ht="15.75" customHeight="1">
      <c r="A286" s="230"/>
      <c r="B286" s="230"/>
      <c r="C286" s="230"/>
      <c r="D286" s="230"/>
      <c r="E286" s="230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0"/>
      <c r="S286" s="230"/>
      <c r="T286" s="230"/>
      <c r="U286" s="230"/>
      <c r="V286" s="230"/>
      <c r="W286" s="230"/>
      <c r="X286" s="230"/>
      <c r="Y286" s="230"/>
      <c r="Z286" s="230"/>
    </row>
    <row r="287" spans="1:26" ht="15.75" customHeight="1">
      <c r="A287" s="230"/>
      <c r="B287" s="230"/>
      <c r="C287" s="230"/>
      <c r="D287" s="230"/>
      <c r="E287" s="230"/>
      <c r="F287" s="230"/>
      <c r="G287" s="230"/>
      <c r="H287" s="230"/>
      <c r="I287" s="230"/>
      <c r="J287" s="230"/>
      <c r="K287" s="230"/>
      <c r="L287" s="230"/>
      <c r="M287" s="230"/>
      <c r="N287" s="230"/>
      <c r="O287" s="230"/>
      <c r="P287" s="230"/>
      <c r="Q287" s="230"/>
      <c r="R287" s="230"/>
      <c r="S287" s="230"/>
      <c r="T287" s="230"/>
      <c r="U287" s="230"/>
      <c r="V287" s="230"/>
      <c r="W287" s="230"/>
      <c r="X287" s="230"/>
      <c r="Y287" s="230"/>
      <c r="Z287" s="230"/>
    </row>
    <row r="288" spans="1:26" ht="15.75" customHeight="1">
      <c r="A288" s="230"/>
      <c r="B288" s="230"/>
      <c r="C288" s="230"/>
      <c r="D288" s="230"/>
      <c r="E288" s="230"/>
      <c r="F288" s="230"/>
      <c r="G288" s="230"/>
      <c r="H288" s="230"/>
      <c r="I288" s="230"/>
      <c r="J288" s="230"/>
      <c r="K288" s="230"/>
      <c r="L288" s="230"/>
      <c r="M288" s="230"/>
      <c r="N288" s="230"/>
      <c r="O288" s="230"/>
      <c r="P288" s="230"/>
      <c r="Q288" s="230"/>
      <c r="R288" s="230"/>
      <c r="S288" s="230"/>
      <c r="T288" s="230"/>
      <c r="U288" s="230"/>
      <c r="V288" s="230"/>
      <c r="W288" s="230"/>
      <c r="X288" s="230"/>
      <c r="Y288" s="230"/>
      <c r="Z288" s="230"/>
    </row>
    <row r="289" spans="1:26" ht="15.75" customHeight="1">
      <c r="A289" s="230"/>
      <c r="B289" s="230"/>
      <c r="C289" s="230"/>
      <c r="D289" s="230"/>
      <c r="E289" s="230"/>
      <c r="F289" s="230"/>
      <c r="G289" s="230"/>
      <c r="H289" s="230"/>
      <c r="I289" s="230"/>
      <c r="J289" s="230"/>
      <c r="K289" s="230"/>
      <c r="L289" s="230"/>
      <c r="M289" s="230"/>
      <c r="N289" s="230"/>
      <c r="O289" s="230"/>
      <c r="P289" s="230"/>
      <c r="Q289" s="230"/>
      <c r="R289" s="230"/>
      <c r="S289" s="230"/>
      <c r="T289" s="230"/>
      <c r="U289" s="230"/>
      <c r="V289" s="230"/>
      <c r="W289" s="230"/>
      <c r="X289" s="230"/>
      <c r="Y289" s="230"/>
      <c r="Z289" s="230"/>
    </row>
    <row r="290" spans="1:26" ht="15.75" customHeight="1">
      <c r="A290" s="230"/>
      <c r="B290" s="230"/>
      <c r="C290" s="230"/>
      <c r="D290" s="230"/>
      <c r="E290" s="230"/>
      <c r="F290" s="230"/>
      <c r="G290" s="230"/>
      <c r="H290" s="230"/>
      <c r="I290" s="230"/>
      <c r="J290" s="230"/>
      <c r="K290" s="230"/>
      <c r="L290" s="230"/>
      <c r="M290" s="230"/>
      <c r="N290" s="230"/>
      <c r="O290" s="230"/>
      <c r="P290" s="230"/>
      <c r="Q290" s="230"/>
      <c r="R290" s="230"/>
      <c r="S290" s="230"/>
      <c r="T290" s="230"/>
      <c r="U290" s="230"/>
      <c r="V290" s="230"/>
      <c r="W290" s="230"/>
      <c r="X290" s="230"/>
      <c r="Y290" s="230"/>
      <c r="Z290" s="230"/>
    </row>
    <row r="291" spans="1:26" ht="15.75" customHeight="1">
      <c r="A291" s="230"/>
      <c r="B291" s="230"/>
      <c r="C291" s="230"/>
      <c r="D291" s="230"/>
      <c r="E291" s="230"/>
      <c r="F291" s="230"/>
      <c r="G291" s="230"/>
      <c r="H291" s="230"/>
      <c r="I291" s="230"/>
      <c r="J291" s="230"/>
      <c r="K291" s="230"/>
      <c r="L291" s="230"/>
      <c r="M291" s="230"/>
      <c r="N291" s="230"/>
      <c r="O291" s="230"/>
      <c r="P291" s="230"/>
      <c r="Q291" s="230"/>
      <c r="R291" s="230"/>
      <c r="S291" s="230"/>
      <c r="T291" s="230"/>
      <c r="U291" s="230"/>
      <c r="V291" s="230"/>
      <c r="W291" s="230"/>
      <c r="X291" s="230"/>
      <c r="Y291" s="230"/>
      <c r="Z291" s="230"/>
    </row>
    <row r="292" spans="1:26" ht="15.75" customHeight="1">
      <c r="A292" s="230"/>
      <c r="B292" s="230"/>
      <c r="C292" s="230"/>
      <c r="D292" s="230"/>
      <c r="E292" s="230"/>
      <c r="F292" s="230"/>
      <c r="G292" s="230"/>
      <c r="H292" s="230"/>
      <c r="I292" s="230"/>
      <c r="J292" s="230"/>
      <c r="K292" s="230"/>
      <c r="L292" s="230"/>
      <c r="M292" s="230"/>
      <c r="N292" s="230"/>
      <c r="O292" s="230"/>
      <c r="P292" s="230"/>
      <c r="Q292" s="230"/>
      <c r="R292" s="230"/>
      <c r="S292" s="230"/>
      <c r="T292" s="230"/>
      <c r="U292" s="230"/>
      <c r="V292" s="230"/>
      <c r="W292" s="230"/>
      <c r="X292" s="230"/>
      <c r="Y292" s="230"/>
      <c r="Z292" s="230"/>
    </row>
    <row r="293" spans="1:26" ht="15.75" customHeight="1">
      <c r="A293" s="230"/>
      <c r="B293" s="230"/>
      <c r="C293" s="230"/>
      <c r="D293" s="230"/>
      <c r="E293" s="230"/>
      <c r="F293" s="230"/>
      <c r="G293" s="230"/>
      <c r="H293" s="230"/>
      <c r="I293" s="230"/>
      <c r="J293" s="230"/>
      <c r="K293" s="230"/>
      <c r="L293" s="230"/>
      <c r="M293" s="230"/>
      <c r="N293" s="230"/>
      <c r="O293" s="230"/>
      <c r="P293" s="230"/>
      <c r="Q293" s="230"/>
      <c r="R293" s="230"/>
      <c r="S293" s="230"/>
      <c r="T293" s="230"/>
      <c r="U293" s="230"/>
      <c r="V293" s="230"/>
      <c r="W293" s="230"/>
      <c r="X293" s="230"/>
      <c r="Y293" s="230"/>
      <c r="Z293" s="230"/>
    </row>
    <row r="294" spans="1:26" ht="15.75" customHeight="1">
      <c r="A294" s="230"/>
      <c r="B294" s="230"/>
      <c r="C294" s="230"/>
      <c r="D294" s="230"/>
      <c r="E294" s="230"/>
      <c r="F294" s="230"/>
      <c r="G294" s="230"/>
      <c r="H294" s="230"/>
      <c r="I294" s="230"/>
      <c r="J294" s="230"/>
      <c r="K294" s="230"/>
      <c r="L294" s="230"/>
      <c r="M294" s="230"/>
      <c r="N294" s="230"/>
      <c r="O294" s="230"/>
      <c r="P294" s="230"/>
      <c r="Q294" s="230"/>
      <c r="R294" s="230"/>
      <c r="S294" s="230"/>
      <c r="T294" s="230"/>
      <c r="U294" s="230"/>
      <c r="V294" s="230"/>
      <c r="W294" s="230"/>
      <c r="X294" s="230"/>
      <c r="Y294" s="230"/>
      <c r="Z294" s="230"/>
    </row>
    <row r="295" spans="1:26" ht="15.75" customHeight="1">
      <c r="A295" s="230"/>
      <c r="B295" s="230"/>
      <c r="C295" s="230"/>
      <c r="D295" s="230"/>
      <c r="E295" s="230"/>
      <c r="F295" s="230"/>
      <c r="G295" s="230"/>
      <c r="H295" s="230"/>
      <c r="I295" s="230"/>
      <c r="J295" s="230"/>
      <c r="K295" s="230"/>
      <c r="L295" s="230"/>
      <c r="M295" s="230"/>
      <c r="N295" s="230"/>
      <c r="O295" s="230"/>
      <c r="P295" s="230"/>
      <c r="Q295" s="230"/>
      <c r="R295" s="230"/>
      <c r="S295" s="230"/>
      <c r="T295" s="230"/>
      <c r="U295" s="230"/>
      <c r="V295" s="230"/>
      <c r="W295" s="230"/>
      <c r="X295" s="230"/>
      <c r="Y295" s="230"/>
      <c r="Z295" s="230"/>
    </row>
    <row r="296" spans="1:26" ht="15.75" customHeight="1">
      <c r="A296" s="230"/>
      <c r="B296" s="230"/>
      <c r="C296" s="230"/>
      <c r="D296" s="230"/>
      <c r="E296" s="230"/>
      <c r="F296" s="230"/>
      <c r="G296" s="230"/>
      <c r="H296" s="230"/>
      <c r="I296" s="230"/>
      <c r="J296" s="230"/>
      <c r="K296" s="230"/>
      <c r="L296" s="230"/>
      <c r="M296" s="230"/>
      <c r="N296" s="230"/>
      <c r="O296" s="230"/>
      <c r="P296" s="230"/>
      <c r="Q296" s="230"/>
      <c r="R296" s="230"/>
      <c r="S296" s="230"/>
      <c r="T296" s="230"/>
      <c r="U296" s="230"/>
      <c r="V296" s="230"/>
      <c r="W296" s="230"/>
      <c r="X296" s="230"/>
      <c r="Y296" s="230"/>
      <c r="Z296" s="230"/>
    </row>
    <row r="297" spans="1:26" ht="15.75" customHeight="1">
      <c r="A297" s="230"/>
      <c r="B297" s="230"/>
      <c r="C297" s="230"/>
      <c r="D297" s="230"/>
      <c r="E297" s="230"/>
      <c r="F297" s="230"/>
      <c r="G297" s="230"/>
      <c r="H297" s="230"/>
      <c r="I297" s="230"/>
      <c r="J297" s="230"/>
      <c r="K297" s="230"/>
      <c r="L297" s="230"/>
      <c r="M297" s="230"/>
      <c r="N297" s="230"/>
      <c r="O297" s="230"/>
      <c r="P297" s="230"/>
      <c r="Q297" s="230"/>
      <c r="R297" s="230"/>
      <c r="S297" s="230"/>
      <c r="T297" s="230"/>
      <c r="U297" s="230"/>
      <c r="V297" s="230"/>
      <c r="W297" s="230"/>
      <c r="X297" s="230"/>
      <c r="Y297" s="230"/>
      <c r="Z297" s="230"/>
    </row>
    <row r="298" spans="1:26" ht="15.75" customHeight="1">
      <c r="A298" s="230"/>
      <c r="B298" s="230"/>
      <c r="C298" s="230"/>
      <c r="D298" s="230"/>
      <c r="E298" s="230"/>
      <c r="F298" s="230"/>
      <c r="G298" s="230"/>
      <c r="H298" s="230"/>
      <c r="I298" s="230"/>
      <c r="J298" s="230"/>
      <c r="K298" s="230"/>
      <c r="L298" s="230"/>
      <c r="M298" s="230"/>
      <c r="N298" s="230"/>
      <c r="O298" s="230"/>
      <c r="P298" s="230"/>
      <c r="Q298" s="230"/>
      <c r="R298" s="230"/>
      <c r="S298" s="230"/>
      <c r="T298" s="230"/>
      <c r="U298" s="230"/>
      <c r="V298" s="230"/>
      <c r="W298" s="230"/>
      <c r="X298" s="230"/>
      <c r="Y298" s="230"/>
      <c r="Z298" s="230"/>
    </row>
    <row r="299" spans="1:26" ht="15.75" customHeight="1">
      <c r="A299" s="230"/>
      <c r="B299" s="230"/>
      <c r="C299" s="230"/>
      <c r="D299" s="230"/>
      <c r="E299" s="230"/>
      <c r="F299" s="230"/>
      <c r="G299" s="230"/>
      <c r="H299" s="230"/>
      <c r="I299" s="230"/>
      <c r="J299" s="230"/>
      <c r="K299" s="230"/>
      <c r="L299" s="230"/>
      <c r="M299" s="230"/>
      <c r="N299" s="230"/>
      <c r="O299" s="230"/>
      <c r="P299" s="230"/>
      <c r="Q299" s="230"/>
      <c r="R299" s="230"/>
      <c r="S299" s="230"/>
      <c r="T299" s="230"/>
      <c r="U299" s="230"/>
      <c r="V299" s="230"/>
      <c r="W299" s="230"/>
      <c r="X299" s="230"/>
      <c r="Y299" s="230"/>
      <c r="Z299" s="230"/>
    </row>
    <row r="300" spans="1:26" ht="15.75" customHeight="1">
      <c r="A300" s="230"/>
      <c r="B300" s="230"/>
      <c r="C300" s="230"/>
      <c r="D300" s="230"/>
      <c r="E300" s="230"/>
      <c r="F300" s="230"/>
      <c r="G300" s="230"/>
      <c r="H300" s="230"/>
      <c r="I300" s="230"/>
      <c r="J300" s="230"/>
      <c r="K300" s="230"/>
      <c r="L300" s="230"/>
      <c r="M300" s="230"/>
      <c r="N300" s="230"/>
      <c r="O300" s="230"/>
      <c r="P300" s="230"/>
      <c r="Q300" s="230"/>
      <c r="R300" s="230"/>
      <c r="S300" s="230"/>
      <c r="T300" s="230"/>
      <c r="U300" s="230"/>
      <c r="V300" s="230"/>
      <c r="W300" s="230"/>
      <c r="X300" s="230"/>
      <c r="Y300" s="230"/>
      <c r="Z300" s="230"/>
    </row>
    <row r="301" spans="1:26" ht="15.75" customHeight="1">
      <c r="A301" s="230"/>
      <c r="B301" s="230"/>
      <c r="C301" s="230"/>
      <c r="D301" s="230"/>
      <c r="E301" s="230"/>
      <c r="F301" s="230"/>
      <c r="G301" s="230"/>
      <c r="H301" s="230"/>
      <c r="I301" s="230"/>
      <c r="J301" s="230"/>
      <c r="K301" s="230"/>
      <c r="L301" s="230"/>
      <c r="M301" s="230"/>
      <c r="N301" s="230"/>
      <c r="O301" s="230"/>
      <c r="P301" s="230"/>
      <c r="Q301" s="230"/>
      <c r="R301" s="230"/>
      <c r="S301" s="230"/>
      <c r="T301" s="230"/>
      <c r="U301" s="230"/>
      <c r="V301" s="230"/>
      <c r="W301" s="230"/>
      <c r="X301" s="230"/>
      <c r="Y301" s="230"/>
      <c r="Z301" s="230"/>
    </row>
    <row r="302" spans="1:26" ht="15.75" customHeight="1">
      <c r="A302" s="230"/>
      <c r="B302" s="230"/>
      <c r="C302" s="230"/>
      <c r="D302" s="230"/>
      <c r="E302" s="230"/>
      <c r="F302" s="230"/>
      <c r="G302" s="230"/>
      <c r="H302" s="230"/>
      <c r="I302" s="230"/>
      <c r="J302" s="230"/>
      <c r="K302" s="230"/>
      <c r="L302" s="230"/>
      <c r="M302" s="230"/>
      <c r="N302" s="230"/>
      <c r="O302" s="230"/>
      <c r="P302" s="230"/>
      <c r="Q302" s="230"/>
      <c r="R302" s="230"/>
      <c r="S302" s="230"/>
      <c r="T302" s="230"/>
      <c r="U302" s="230"/>
      <c r="V302" s="230"/>
      <c r="W302" s="230"/>
      <c r="X302" s="230"/>
      <c r="Y302" s="230"/>
      <c r="Z302" s="230"/>
    </row>
    <row r="303" spans="1:26" ht="15.75" customHeight="1">
      <c r="A303" s="230"/>
      <c r="B303" s="230"/>
      <c r="C303" s="230"/>
      <c r="D303" s="230"/>
      <c r="E303" s="230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30"/>
      <c r="S303" s="230"/>
      <c r="T303" s="230"/>
      <c r="U303" s="230"/>
      <c r="V303" s="230"/>
      <c r="W303" s="230"/>
      <c r="X303" s="230"/>
      <c r="Y303" s="230"/>
      <c r="Z303" s="230"/>
    </row>
    <row r="304" spans="1:26" ht="15.75" customHeight="1">
      <c r="A304" s="230"/>
      <c r="B304" s="230"/>
      <c r="C304" s="230"/>
      <c r="D304" s="230"/>
      <c r="E304" s="230"/>
      <c r="F304" s="230"/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0"/>
      <c r="S304" s="230"/>
      <c r="T304" s="230"/>
      <c r="U304" s="230"/>
      <c r="V304" s="230"/>
      <c r="W304" s="230"/>
      <c r="X304" s="230"/>
      <c r="Y304" s="230"/>
      <c r="Z304" s="230"/>
    </row>
    <row r="305" spans="1:26" ht="15.75" customHeight="1">
      <c r="A305" s="230"/>
      <c r="B305" s="230"/>
      <c r="C305" s="230"/>
      <c r="D305" s="230"/>
      <c r="E305" s="230"/>
      <c r="F305" s="230"/>
      <c r="G305" s="230"/>
      <c r="H305" s="230"/>
      <c r="I305" s="230"/>
      <c r="J305" s="230"/>
      <c r="K305" s="230"/>
      <c r="L305" s="230"/>
      <c r="M305" s="230"/>
      <c r="N305" s="230"/>
      <c r="O305" s="230"/>
      <c r="P305" s="230"/>
      <c r="Q305" s="230"/>
      <c r="R305" s="230"/>
      <c r="S305" s="230"/>
      <c r="T305" s="230"/>
      <c r="U305" s="230"/>
      <c r="V305" s="230"/>
      <c r="W305" s="230"/>
      <c r="X305" s="230"/>
      <c r="Y305" s="230"/>
      <c r="Z305" s="230"/>
    </row>
    <row r="306" spans="1:26" ht="15.75" customHeight="1">
      <c r="A306" s="230"/>
      <c r="B306" s="230"/>
      <c r="C306" s="230"/>
      <c r="D306" s="230"/>
      <c r="E306" s="230"/>
      <c r="F306" s="230"/>
      <c r="G306" s="230"/>
      <c r="H306" s="230"/>
      <c r="I306" s="230"/>
      <c r="J306" s="230"/>
      <c r="K306" s="230"/>
      <c r="L306" s="230"/>
      <c r="M306" s="230"/>
      <c r="N306" s="230"/>
      <c r="O306" s="230"/>
      <c r="P306" s="230"/>
      <c r="Q306" s="230"/>
      <c r="R306" s="230"/>
      <c r="S306" s="230"/>
      <c r="T306" s="230"/>
      <c r="U306" s="230"/>
      <c r="V306" s="230"/>
      <c r="W306" s="230"/>
      <c r="X306" s="230"/>
      <c r="Y306" s="230"/>
      <c r="Z306" s="230"/>
    </row>
    <row r="307" spans="1:26" ht="15.75" customHeight="1">
      <c r="A307" s="230"/>
      <c r="B307" s="230"/>
      <c r="C307" s="230"/>
      <c r="D307" s="230"/>
      <c r="E307" s="230"/>
      <c r="F307" s="230"/>
      <c r="G307" s="230"/>
      <c r="H307" s="230"/>
      <c r="I307" s="230"/>
      <c r="J307" s="230"/>
      <c r="K307" s="230"/>
      <c r="L307" s="230"/>
      <c r="M307" s="230"/>
      <c r="N307" s="230"/>
      <c r="O307" s="230"/>
      <c r="P307" s="230"/>
      <c r="Q307" s="230"/>
      <c r="R307" s="230"/>
      <c r="S307" s="230"/>
      <c r="T307" s="230"/>
      <c r="U307" s="230"/>
      <c r="V307" s="230"/>
      <c r="W307" s="230"/>
      <c r="X307" s="230"/>
      <c r="Y307" s="230"/>
      <c r="Z307" s="230"/>
    </row>
    <row r="308" spans="1:26" ht="15.75" customHeight="1">
      <c r="A308" s="230"/>
      <c r="B308" s="230"/>
      <c r="C308" s="230"/>
      <c r="D308" s="230"/>
      <c r="E308" s="230"/>
      <c r="F308" s="230"/>
      <c r="G308" s="230"/>
      <c r="H308" s="230"/>
      <c r="I308" s="230"/>
      <c r="J308" s="230"/>
      <c r="K308" s="230"/>
      <c r="L308" s="230"/>
      <c r="M308" s="230"/>
      <c r="N308" s="230"/>
      <c r="O308" s="230"/>
      <c r="P308" s="230"/>
      <c r="Q308" s="230"/>
      <c r="R308" s="230"/>
      <c r="S308" s="230"/>
      <c r="T308" s="230"/>
      <c r="U308" s="230"/>
      <c r="V308" s="230"/>
      <c r="W308" s="230"/>
      <c r="X308" s="230"/>
      <c r="Y308" s="230"/>
      <c r="Z308" s="230"/>
    </row>
    <row r="309" spans="1:26" ht="15.75" customHeight="1">
      <c r="A309" s="230"/>
      <c r="B309" s="230"/>
      <c r="C309" s="230"/>
      <c r="D309" s="230"/>
      <c r="E309" s="230"/>
      <c r="F309" s="230"/>
      <c r="G309" s="230"/>
      <c r="H309" s="230"/>
      <c r="I309" s="230"/>
      <c r="J309" s="230"/>
      <c r="K309" s="230"/>
      <c r="L309" s="230"/>
      <c r="M309" s="230"/>
      <c r="N309" s="230"/>
      <c r="O309" s="230"/>
      <c r="P309" s="230"/>
      <c r="Q309" s="230"/>
      <c r="R309" s="230"/>
      <c r="S309" s="230"/>
      <c r="T309" s="230"/>
      <c r="U309" s="230"/>
      <c r="V309" s="230"/>
      <c r="W309" s="230"/>
      <c r="X309" s="230"/>
      <c r="Y309" s="230"/>
      <c r="Z309" s="230"/>
    </row>
    <row r="310" spans="1:26" ht="15.75" customHeight="1">
      <c r="A310" s="230"/>
      <c r="B310" s="230"/>
      <c r="C310" s="230"/>
      <c r="D310" s="230"/>
      <c r="E310" s="230"/>
      <c r="F310" s="230"/>
      <c r="G310" s="230"/>
      <c r="H310" s="230"/>
      <c r="I310" s="230"/>
      <c r="J310" s="230"/>
      <c r="K310" s="230"/>
      <c r="L310" s="230"/>
      <c r="M310" s="230"/>
      <c r="N310" s="230"/>
      <c r="O310" s="230"/>
      <c r="P310" s="230"/>
      <c r="Q310" s="230"/>
      <c r="R310" s="230"/>
      <c r="S310" s="230"/>
      <c r="T310" s="230"/>
      <c r="U310" s="230"/>
      <c r="V310" s="230"/>
      <c r="W310" s="230"/>
      <c r="X310" s="230"/>
      <c r="Y310" s="230"/>
      <c r="Z310" s="230"/>
    </row>
    <row r="311" spans="1:26" ht="15.75" customHeight="1">
      <c r="A311" s="230"/>
      <c r="B311" s="230"/>
      <c r="C311" s="230"/>
      <c r="D311" s="230"/>
      <c r="E311" s="230"/>
      <c r="F311" s="230"/>
      <c r="G311" s="230"/>
      <c r="H311" s="230"/>
      <c r="I311" s="230"/>
      <c r="J311" s="230"/>
      <c r="K311" s="230"/>
      <c r="L311" s="230"/>
      <c r="M311" s="230"/>
      <c r="N311" s="230"/>
      <c r="O311" s="230"/>
      <c r="P311" s="230"/>
      <c r="Q311" s="230"/>
      <c r="R311" s="230"/>
      <c r="S311" s="230"/>
      <c r="T311" s="230"/>
      <c r="U311" s="230"/>
      <c r="V311" s="230"/>
      <c r="W311" s="230"/>
      <c r="X311" s="230"/>
      <c r="Y311" s="230"/>
      <c r="Z311" s="230"/>
    </row>
    <row r="312" spans="1:26" ht="15.75" customHeight="1">
      <c r="A312" s="230"/>
      <c r="B312" s="230"/>
      <c r="C312" s="230"/>
      <c r="D312" s="230"/>
      <c r="E312" s="230"/>
      <c r="F312" s="230"/>
      <c r="G312" s="230"/>
      <c r="H312" s="230"/>
      <c r="I312" s="230"/>
      <c r="J312" s="230"/>
      <c r="K312" s="230"/>
      <c r="L312" s="230"/>
      <c r="M312" s="230"/>
      <c r="N312" s="230"/>
      <c r="O312" s="230"/>
      <c r="P312" s="230"/>
      <c r="Q312" s="230"/>
      <c r="R312" s="230"/>
      <c r="S312" s="230"/>
      <c r="T312" s="230"/>
      <c r="U312" s="230"/>
      <c r="V312" s="230"/>
      <c r="W312" s="230"/>
      <c r="X312" s="230"/>
      <c r="Y312" s="230"/>
      <c r="Z312" s="230"/>
    </row>
    <row r="313" spans="1:26" ht="15.75" customHeight="1">
      <c r="A313" s="230"/>
      <c r="B313" s="230"/>
      <c r="C313" s="230"/>
      <c r="D313" s="230"/>
      <c r="E313" s="230"/>
      <c r="F313" s="230"/>
      <c r="G313" s="230"/>
      <c r="H313" s="230"/>
      <c r="I313" s="230"/>
      <c r="J313" s="230"/>
      <c r="K313" s="230"/>
      <c r="L313" s="230"/>
      <c r="M313" s="230"/>
      <c r="N313" s="230"/>
      <c r="O313" s="230"/>
      <c r="P313" s="230"/>
      <c r="Q313" s="230"/>
      <c r="R313" s="230"/>
      <c r="S313" s="230"/>
      <c r="T313" s="230"/>
      <c r="U313" s="230"/>
      <c r="V313" s="230"/>
      <c r="W313" s="230"/>
      <c r="X313" s="230"/>
      <c r="Y313" s="230"/>
      <c r="Z313" s="230"/>
    </row>
    <row r="314" spans="1:26" ht="15.75" customHeight="1">
      <c r="A314" s="230"/>
      <c r="B314" s="230"/>
      <c r="C314" s="230"/>
      <c r="D314" s="230"/>
      <c r="E314" s="230"/>
      <c r="F314" s="230"/>
      <c r="G314" s="230"/>
      <c r="H314" s="230"/>
      <c r="I314" s="230"/>
      <c r="J314" s="230"/>
      <c r="K314" s="230"/>
      <c r="L314" s="230"/>
      <c r="M314" s="230"/>
      <c r="N314" s="230"/>
      <c r="O314" s="230"/>
      <c r="P314" s="230"/>
      <c r="Q314" s="230"/>
      <c r="R314" s="230"/>
      <c r="S314" s="230"/>
      <c r="T314" s="230"/>
      <c r="U314" s="230"/>
      <c r="V314" s="230"/>
      <c r="W314" s="230"/>
      <c r="X314" s="230"/>
      <c r="Y314" s="230"/>
      <c r="Z314" s="230"/>
    </row>
    <row r="315" spans="1:26" ht="15.75" customHeight="1">
      <c r="A315" s="230"/>
      <c r="B315" s="230"/>
      <c r="C315" s="230"/>
      <c r="D315" s="230"/>
      <c r="E315" s="230"/>
      <c r="F315" s="230"/>
      <c r="G315" s="230"/>
      <c r="H315" s="230"/>
      <c r="I315" s="230"/>
      <c r="J315" s="230"/>
      <c r="K315" s="230"/>
      <c r="L315" s="230"/>
      <c r="M315" s="230"/>
      <c r="N315" s="230"/>
      <c r="O315" s="230"/>
      <c r="P315" s="230"/>
      <c r="Q315" s="230"/>
      <c r="R315" s="230"/>
      <c r="S315" s="230"/>
      <c r="T315" s="230"/>
      <c r="U315" s="230"/>
      <c r="V315" s="230"/>
      <c r="W315" s="230"/>
      <c r="X315" s="230"/>
      <c r="Y315" s="230"/>
      <c r="Z315" s="230"/>
    </row>
    <row r="316" spans="1:26" ht="15.75" customHeight="1">
      <c r="A316" s="230"/>
      <c r="B316" s="230"/>
      <c r="C316" s="230"/>
      <c r="D316" s="230"/>
      <c r="E316" s="230"/>
      <c r="F316" s="230"/>
      <c r="G316" s="230"/>
      <c r="H316" s="230"/>
      <c r="I316" s="230"/>
      <c r="J316" s="230"/>
      <c r="K316" s="230"/>
      <c r="L316" s="230"/>
      <c r="M316" s="230"/>
      <c r="N316" s="230"/>
      <c r="O316" s="230"/>
      <c r="P316" s="230"/>
      <c r="Q316" s="230"/>
      <c r="R316" s="230"/>
      <c r="S316" s="230"/>
      <c r="T316" s="230"/>
      <c r="U316" s="230"/>
      <c r="V316" s="230"/>
      <c r="W316" s="230"/>
      <c r="X316" s="230"/>
      <c r="Y316" s="230"/>
      <c r="Z316" s="230"/>
    </row>
    <row r="317" spans="1:26" ht="15.75" customHeight="1">
      <c r="A317" s="230"/>
      <c r="B317" s="230"/>
      <c r="C317" s="230"/>
      <c r="D317" s="230"/>
      <c r="E317" s="230"/>
      <c r="F317" s="230"/>
      <c r="G317" s="230"/>
      <c r="H317" s="230"/>
      <c r="I317" s="230"/>
      <c r="J317" s="230"/>
      <c r="K317" s="230"/>
      <c r="L317" s="230"/>
      <c r="M317" s="230"/>
      <c r="N317" s="230"/>
      <c r="O317" s="230"/>
      <c r="P317" s="230"/>
      <c r="Q317" s="230"/>
      <c r="R317" s="230"/>
      <c r="S317" s="230"/>
      <c r="T317" s="230"/>
      <c r="U317" s="230"/>
      <c r="V317" s="230"/>
      <c r="W317" s="230"/>
      <c r="X317" s="230"/>
      <c r="Y317" s="230"/>
      <c r="Z317" s="230"/>
    </row>
    <row r="318" spans="1:26" ht="15.75" customHeight="1">
      <c r="A318" s="230"/>
      <c r="B318" s="230"/>
      <c r="C318" s="230"/>
      <c r="D318" s="230"/>
      <c r="E318" s="230"/>
      <c r="F318" s="230"/>
      <c r="G318" s="230"/>
      <c r="H318" s="230"/>
      <c r="I318" s="230"/>
      <c r="J318" s="230"/>
      <c r="K318" s="230"/>
      <c r="L318" s="230"/>
      <c r="M318" s="230"/>
      <c r="N318" s="230"/>
      <c r="O318" s="230"/>
      <c r="P318" s="230"/>
      <c r="Q318" s="230"/>
      <c r="R318" s="230"/>
      <c r="S318" s="230"/>
      <c r="T318" s="230"/>
      <c r="U318" s="230"/>
      <c r="V318" s="230"/>
      <c r="W318" s="230"/>
      <c r="X318" s="230"/>
      <c r="Y318" s="230"/>
      <c r="Z318" s="230"/>
    </row>
    <row r="319" spans="1:26" ht="15.75" customHeight="1">
      <c r="A319" s="230"/>
      <c r="B319" s="230"/>
      <c r="C319" s="230"/>
      <c r="D319" s="230"/>
      <c r="E319" s="230"/>
      <c r="F319" s="230"/>
      <c r="G319" s="230"/>
      <c r="H319" s="230"/>
      <c r="I319" s="230"/>
      <c r="J319" s="230"/>
      <c r="K319" s="230"/>
      <c r="L319" s="230"/>
      <c r="M319" s="230"/>
      <c r="N319" s="230"/>
      <c r="O319" s="230"/>
      <c r="P319" s="230"/>
      <c r="Q319" s="230"/>
      <c r="R319" s="230"/>
      <c r="S319" s="230"/>
      <c r="T319" s="230"/>
      <c r="U319" s="230"/>
      <c r="V319" s="230"/>
      <c r="W319" s="230"/>
      <c r="X319" s="230"/>
      <c r="Y319" s="230"/>
      <c r="Z319" s="230"/>
    </row>
    <row r="320" spans="1:26" ht="15.75" customHeight="1">
      <c r="A320" s="230"/>
      <c r="B320" s="230"/>
      <c r="C320" s="230"/>
      <c r="D320" s="230"/>
      <c r="E320" s="230"/>
      <c r="F320" s="230"/>
      <c r="G320" s="230"/>
      <c r="H320" s="230"/>
      <c r="I320" s="230"/>
      <c r="J320" s="230"/>
      <c r="K320" s="230"/>
      <c r="L320" s="230"/>
      <c r="M320" s="230"/>
      <c r="N320" s="230"/>
      <c r="O320" s="230"/>
      <c r="P320" s="230"/>
      <c r="Q320" s="230"/>
      <c r="R320" s="230"/>
      <c r="S320" s="230"/>
      <c r="T320" s="230"/>
      <c r="U320" s="230"/>
      <c r="V320" s="230"/>
      <c r="W320" s="230"/>
      <c r="X320" s="230"/>
      <c r="Y320" s="230"/>
      <c r="Z320" s="230"/>
    </row>
    <row r="321" spans="1:26" ht="15.75" customHeight="1">
      <c r="A321" s="230"/>
      <c r="B321" s="230"/>
      <c r="C321" s="230"/>
      <c r="D321" s="230"/>
      <c r="E321" s="230"/>
      <c r="F321" s="230"/>
      <c r="G321" s="230"/>
      <c r="H321" s="230"/>
      <c r="I321" s="230"/>
      <c r="J321" s="230"/>
      <c r="K321" s="230"/>
      <c r="L321" s="230"/>
      <c r="M321" s="230"/>
      <c r="N321" s="230"/>
      <c r="O321" s="230"/>
      <c r="P321" s="230"/>
      <c r="Q321" s="230"/>
      <c r="R321" s="230"/>
      <c r="S321" s="230"/>
      <c r="T321" s="230"/>
      <c r="U321" s="230"/>
      <c r="V321" s="230"/>
      <c r="W321" s="230"/>
      <c r="X321" s="230"/>
      <c r="Y321" s="230"/>
      <c r="Z321" s="230"/>
    </row>
    <row r="322" spans="1:26" ht="15.75" customHeight="1">
      <c r="A322" s="230"/>
      <c r="B322" s="230"/>
      <c r="C322" s="230"/>
      <c r="D322" s="230"/>
      <c r="E322" s="230"/>
      <c r="F322" s="230"/>
      <c r="G322" s="230"/>
      <c r="H322" s="230"/>
      <c r="I322" s="230"/>
      <c r="J322" s="230"/>
      <c r="K322" s="230"/>
      <c r="L322" s="230"/>
      <c r="M322" s="230"/>
      <c r="N322" s="230"/>
      <c r="O322" s="230"/>
      <c r="P322" s="230"/>
      <c r="Q322" s="230"/>
      <c r="R322" s="230"/>
      <c r="S322" s="230"/>
      <c r="T322" s="230"/>
      <c r="U322" s="230"/>
      <c r="V322" s="230"/>
      <c r="W322" s="230"/>
      <c r="X322" s="230"/>
      <c r="Y322" s="230"/>
      <c r="Z322" s="230"/>
    </row>
    <row r="323" spans="1:26" ht="15.75" customHeight="1">
      <c r="A323" s="230"/>
      <c r="B323" s="230"/>
      <c r="C323" s="230"/>
      <c r="D323" s="230"/>
      <c r="E323" s="230"/>
      <c r="F323" s="230"/>
      <c r="G323" s="230"/>
      <c r="H323" s="230"/>
      <c r="I323" s="230"/>
      <c r="J323" s="230"/>
      <c r="K323" s="230"/>
      <c r="L323" s="230"/>
      <c r="M323" s="230"/>
      <c r="N323" s="230"/>
      <c r="O323" s="230"/>
      <c r="P323" s="230"/>
      <c r="Q323" s="230"/>
      <c r="R323" s="230"/>
      <c r="S323" s="230"/>
      <c r="T323" s="230"/>
      <c r="U323" s="230"/>
      <c r="V323" s="230"/>
      <c r="W323" s="230"/>
      <c r="X323" s="230"/>
      <c r="Y323" s="230"/>
      <c r="Z323" s="230"/>
    </row>
    <row r="324" spans="1:26" ht="15.75" customHeight="1">
      <c r="A324" s="230"/>
      <c r="B324" s="230"/>
      <c r="C324" s="230"/>
      <c r="D324" s="230"/>
      <c r="E324" s="230"/>
      <c r="F324" s="230"/>
      <c r="G324" s="230"/>
      <c r="H324" s="230"/>
      <c r="I324" s="230"/>
      <c r="J324" s="230"/>
      <c r="K324" s="230"/>
      <c r="L324" s="230"/>
      <c r="M324" s="230"/>
      <c r="N324" s="230"/>
      <c r="O324" s="230"/>
      <c r="P324" s="230"/>
      <c r="Q324" s="230"/>
      <c r="R324" s="230"/>
      <c r="S324" s="230"/>
      <c r="T324" s="230"/>
      <c r="U324" s="230"/>
      <c r="V324" s="230"/>
      <c r="W324" s="230"/>
      <c r="X324" s="230"/>
      <c r="Y324" s="230"/>
      <c r="Z324" s="230"/>
    </row>
    <row r="325" spans="1:26" ht="15.75" customHeight="1">
      <c r="A325" s="230"/>
      <c r="B325" s="230"/>
      <c r="C325" s="230"/>
      <c r="D325" s="230"/>
      <c r="E325" s="230"/>
      <c r="F325" s="230"/>
      <c r="G325" s="230"/>
      <c r="H325" s="230"/>
      <c r="I325" s="230"/>
      <c r="J325" s="230"/>
      <c r="K325" s="230"/>
      <c r="L325" s="230"/>
      <c r="M325" s="230"/>
      <c r="N325" s="230"/>
      <c r="O325" s="230"/>
      <c r="P325" s="230"/>
      <c r="Q325" s="230"/>
      <c r="R325" s="230"/>
      <c r="S325" s="230"/>
      <c r="T325" s="230"/>
      <c r="U325" s="230"/>
      <c r="V325" s="230"/>
      <c r="W325" s="230"/>
      <c r="X325" s="230"/>
      <c r="Y325" s="230"/>
      <c r="Z325" s="230"/>
    </row>
    <row r="326" spans="1:26" ht="15.75" customHeight="1">
      <c r="A326" s="230"/>
      <c r="B326" s="230"/>
      <c r="C326" s="230"/>
      <c r="D326" s="230"/>
      <c r="E326" s="230"/>
      <c r="F326" s="230"/>
      <c r="G326" s="230"/>
      <c r="H326" s="230"/>
      <c r="I326" s="230"/>
      <c r="J326" s="230"/>
      <c r="K326" s="230"/>
      <c r="L326" s="230"/>
      <c r="M326" s="230"/>
      <c r="N326" s="230"/>
      <c r="O326" s="230"/>
      <c r="P326" s="230"/>
      <c r="Q326" s="230"/>
      <c r="R326" s="230"/>
      <c r="S326" s="230"/>
      <c r="T326" s="230"/>
      <c r="U326" s="230"/>
      <c r="V326" s="230"/>
      <c r="W326" s="230"/>
      <c r="X326" s="230"/>
      <c r="Y326" s="230"/>
      <c r="Z326" s="230"/>
    </row>
    <row r="327" spans="1:26" ht="15.75" customHeight="1">
      <c r="A327" s="230"/>
      <c r="B327" s="230"/>
      <c r="C327" s="230"/>
      <c r="D327" s="230"/>
      <c r="E327" s="230"/>
      <c r="F327" s="230"/>
      <c r="G327" s="230"/>
      <c r="H327" s="230"/>
      <c r="I327" s="230"/>
      <c r="J327" s="230"/>
      <c r="K327" s="230"/>
      <c r="L327" s="230"/>
      <c r="M327" s="230"/>
      <c r="N327" s="230"/>
      <c r="O327" s="230"/>
      <c r="P327" s="230"/>
      <c r="Q327" s="230"/>
      <c r="R327" s="230"/>
      <c r="S327" s="230"/>
      <c r="T327" s="230"/>
      <c r="U327" s="230"/>
      <c r="V327" s="230"/>
      <c r="W327" s="230"/>
      <c r="X327" s="230"/>
      <c r="Y327" s="230"/>
      <c r="Z327" s="230"/>
    </row>
    <row r="328" spans="1:26" ht="15.75" customHeight="1">
      <c r="A328" s="230"/>
      <c r="B328" s="230"/>
      <c r="C328" s="230"/>
      <c r="D328" s="230"/>
      <c r="E328" s="230"/>
      <c r="F328" s="230"/>
      <c r="G328" s="230"/>
      <c r="H328" s="230"/>
      <c r="I328" s="230"/>
      <c r="J328" s="230"/>
      <c r="K328" s="230"/>
      <c r="L328" s="230"/>
      <c r="M328" s="230"/>
      <c r="N328" s="230"/>
      <c r="O328" s="230"/>
      <c r="P328" s="230"/>
      <c r="Q328" s="230"/>
      <c r="R328" s="230"/>
      <c r="S328" s="230"/>
      <c r="T328" s="230"/>
      <c r="U328" s="230"/>
      <c r="V328" s="230"/>
      <c r="W328" s="230"/>
      <c r="X328" s="230"/>
      <c r="Y328" s="230"/>
      <c r="Z328" s="230"/>
    </row>
    <row r="329" spans="1:26" ht="15.75" customHeight="1">
      <c r="A329" s="230"/>
      <c r="B329" s="230"/>
      <c r="C329" s="230"/>
      <c r="D329" s="230"/>
      <c r="E329" s="230"/>
      <c r="F329" s="230"/>
      <c r="G329" s="230"/>
      <c r="H329" s="230"/>
      <c r="I329" s="230"/>
      <c r="J329" s="230"/>
      <c r="K329" s="230"/>
      <c r="L329" s="230"/>
      <c r="M329" s="230"/>
      <c r="N329" s="230"/>
      <c r="O329" s="230"/>
      <c r="P329" s="230"/>
      <c r="Q329" s="230"/>
      <c r="R329" s="230"/>
      <c r="S329" s="230"/>
      <c r="T329" s="230"/>
      <c r="U329" s="230"/>
      <c r="V329" s="230"/>
      <c r="W329" s="230"/>
      <c r="X329" s="230"/>
      <c r="Y329" s="230"/>
      <c r="Z329" s="230"/>
    </row>
    <row r="330" spans="1:26" ht="15.75" customHeight="1">
      <c r="A330" s="230"/>
      <c r="B330" s="230"/>
      <c r="C330" s="230"/>
      <c r="D330" s="230"/>
      <c r="E330" s="230"/>
      <c r="F330" s="230"/>
      <c r="G330" s="230"/>
      <c r="H330" s="230"/>
      <c r="I330" s="230"/>
      <c r="J330" s="230"/>
      <c r="K330" s="230"/>
      <c r="L330" s="230"/>
      <c r="M330" s="230"/>
      <c r="N330" s="230"/>
      <c r="O330" s="230"/>
      <c r="P330" s="230"/>
      <c r="Q330" s="230"/>
      <c r="R330" s="230"/>
      <c r="S330" s="230"/>
      <c r="T330" s="230"/>
      <c r="U330" s="230"/>
      <c r="V330" s="230"/>
      <c r="W330" s="230"/>
      <c r="X330" s="230"/>
      <c r="Y330" s="230"/>
      <c r="Z330" s="230"/>
    </row>
    <row r="331" spans="1:26" ht="15.75" customHeight="1">
      <c r="A331" s="230"/>
      <c r="B331" s="230"/>
      <c r="C331" s="230"/>
      <c r="D331" s="230"/>
      <c r="E331" s="230"/>
      <c r="F331" s="230"/>
      <c r="G331" s="230"/>
      <c r="H331" s="230"/>
      <c r="I331" s="230"/>
      <c r="J331" s="230"/>
      <c r="K331" s="230"/>
      <c r="L331" s="230"/>
      <c r="M331" s="230"/>
      <c r="N331" s="230"/>
      <c r="O331" s="230"/>
      <c r="P331" s="230"/>
      <c r="Q331" s="230"/>
      <c r="R331" s="230"/>
      <c r="S331" s="230"/>
      <c r="T331" s="230"/>
      <c r="U331" s="230"/>
      <c r="V331" s="230"/>
      <c r="W331" s="230"/>
      <c r="X331" s="230"/>
      <c r="Y331" s="230"/>
      <c r="Z331" s="230"/>
    </row>
    <row r="332" spans="1:26" ht="15.75" customHeight="1">
      <c r="A332" s="230"/>
      <c r="B332" s="230"/>
      <c r="C332" s="230"/>
      <c r="D332" s="230"/>
      <c r="E332" s="230"/>
      <c r="F332" s="230"/>
      <c r="G332" s="230"/>
      <c r="H332" s="230"/>
      <c r="I332" s="230"/>
      <c r="J332" s="230"/>
      <c r="K332" s="230"/>
      <c r="L332" s="230"/>
      <c r="M332" s="230"/>
      <c r="N332" s="230"/>
      <c r="O332" s="230"/>
      <c r="P332" s="230"/>
      <c r="Q332" s="230"/>
      <c r="R332" s="230"/>
      <c r="S332" s="230"/>
      <c r="T332" s="230"/>
      <c r="U332" s="230"/>
      <c r="V332" s="230"/>
      <c r="W332" s="230"/>
      <c r="X332" s="230"/>
      <c r="Y332" s="230"/>
      <c r="Z332" s="230"/>
    </row>
    <row r="333" spans="1:26" ht="15.75" customHeight="1">
      <c r="A333" s="230"/>
      <c r="B333" s="230"/>
      <c r="C333" s="230"/>
      <c r="D333" s="230"/>
      <c r="E333" s="230"/>
      <c r="F333" s="230"/>
      <c r="G333" s="230"/>
      <c r="H333" s="230"/>
      <c r="I333" s="230"/>
      <c r="J333" s="230"/>
      <c r="K333" s="230"/>
      <c r="L333" s="230"/>
      <c r="M333" s="230"/>
      <c r="N333" s="230"/>
      <c r="O333" s="230"/>
      <c r="P333" s="230"/>
      <c r="Q333" s="230"/>
      <c r="R333" s="230"/>
      <c r="S333" s="230"/>
      <c r="T333" s="230"/>
      <c r="U333" s="230"/>
      <c r="V333" s="230"/>
      <c r="W333" s="230"/>
      <c r="X333" s="230"/>
      <c r="Y333" s="230"/>
      <c r="Z333" s="230"/>
    </row>
    <row r="334" spans="1:26" ht="15.75" customHeight="1">
      <c r="A334" s="230"/>
      <c r="B334" s="230"/>
      <c r="C334" s="230"/>
      <c r="D334" s="230"/>
      <c r="E334" s="230"/>
      <c r="F334" s="230"/>
      <c r="G334" s="230"/>
      <c r="H334" s="230"/>
      <c r="I334" s="230"/>
      <c r="J334" s="230"/>
      <c r="K334" s="230"/>
      <c r="L334" s="230"/>
      <c r="M334" s="230"/>
      <c r="N334" s="230"/>
      <c r="O334" s="230"/>
      <c r="P334" s="230"/>
      <c r="Q334" s="230"/>
      <c r="R334" s="230"/>
      <c r="S334" s="230"/>
      <c r="T334" s="230"/>
      <c r="U334" s="230"/>
      <c r="V334" s="230"/>
      <c r="W334" s="230"/>
      <c r="X334" s="230"/>
      <c r="Y334" s="230"/>
      <c r="Z334" s="230"/>
    </row>
    <row r="335" spans="1:26" ht="15.75" customHeight="1">
      <c r="A335" s="230"/>
      <c r="B335" s="230"/>
      <c r="C335" s="230"/>
      <c r="D335" s="230"/>
      <c r="E335" s="230"/>
      <c r="F335" s="230"/>
      <c r="G335" s="230"/>
      <c r="H335" s="230"/>
      <c r="I335" s="230"/>
      <c r="J335" s="230"/>
      <c r="K335" s="230"/>
      <c r="L335" s="230"/>
      <c r="M335" s="230"/>
      <c r="N335" s="230"/>
      <c r="O335" s="230"/>
      <c r="P335" s="230"/>
      <c r="Q335" s="230"/>
      <c r="R335" s="230"/>
      <c r="S335" s="230"/>
      <c r="T335" s="230"/>
      <c r="U335" s="230"/>
      <c r="V335" s="230"/>
      <c r="W335" s="230"/>
      <c r="X335" s="230"/>
      <c r="Y335" s="230"/>
      <c r="Z335" s="230"/>
    </row>
    <row r="336" spans="1:26" ht="15.75" customHeight="1">
      <c r="A336" s="230"/>
      <c r="B336" s="230"/>
      <c r="C336" s="230"/>
      <c r="D336" s="230"/>
      <c r="E336" s="230"/>
      <c r="F336" s="230"/>
      <c r="G336" s="230"/>
      <c r="H336" s="230"/>
      <c r="I336" s="230"/>
      <c r="J336" s="230"/>
      <c r="K336" s="230"/>
      <c r="L336" s="230"/>
      <c r="M336" s="230"/>
      <c r="N336" s="230"/>
      <c r="O336" s="230"/>
      <c r="P336" s="230"/>
      <c r="Q336" s="230"/>
      <c r="R336" s="230"/>
      <c r="S336" s="230"/>
      <c r="T336" s="230"/>
      <c r="U336" s="230"/>
      <c r="V336" s="230"/>
      <c r="W336" s="230"/>
      <c r="X336" s="230"/>
      <c r="Y336" s="230"/>
      <c r="Z336" s="230"/>
    </row>
    <row r="337" spans="1:26" ht="15.75" customHeight="1">
      <c r="A337" s="230"/>
      <c r="B337" s="230"/>
      <c r="C337" s="230"/>
      <c r="D337" s="230"/>
      <c r="E337" s="230"/>
      <c r="F337" s="230"/>
      <c r="G337" s="230"/>
      <c r="H337" s="230"/>
      <c r="I337" s="230"/>
      <c r="J337" s="230"/>
      <c r="K337" s="230"/>
      <c r="L337" s="230"/>
      <c r="M337" s="230"/>
      <c r="N337" s="230"/>
      <c r="O337" s="230"/>
      <c r="P337" s="230"/>
      <c r="Q337" s="230"/>
      <c r="R337" s="230"/>
      <c r="S337" s="230"/>
      <c r="T337" s="230"/>
      <c r="U337" s="230"/>
      <c r="V337" s="230"/>
      <c r="W337" s="230"/>
      <c r="X337" s="230"/>
      <c r="Y337" s="230"/>
      <c r="Z337" s="230"/>
    </row>
    <row r="338" spans="1:26" ht="15.75" customHeight="1">
      <c r="A338" s="230"/>
      <c r="B338" s="230"/>
      <c r="C338" s="230"/>
      <c r="D338" s="230"/>
      <c r="E338" s="230"/>
      <c r="F338" s="230"/>
      <c r="G338" s="230"/>
      <c r="H338" s="230"/>
      <c r="I338" s="230"/>
      <c r="J338" s="230"/>
      <c r="K338" s="230"/>
      <c r="L338" s="230"/>
      <c r="M338" s="230"/>
      <c r="N338" s="230"/>
      <c r="O338" s="230"/>
      <c r="P338" s="230"/>
      <c r="Q338" s="230"/>
      <c r="R338" s="230"/>
      <c r="S338" s="230"/>
      <c r="T338" s="230"/>
      <c r="U338" s="230"/>
      <c r="V338" s="230"/>
      <c r="W338" s="230"/>
      <c r="X338" s="230"/>
      <c r="Y338" s="230"/>
      <c r="Z338" s="230"/>
    </row>
    <row r="339" spans="1:26" ht="15.75" customHeight="1">
      <c r="A339" s="230"/>
      <c r="B339" s="230"/>
      <c r="C339" s="230"/>
      <c r="D339" s="230"/>
      <c r="E339" s="230"/>
      <c r="F339" s="230"/>
      <c r="G339" s="230"/>
      <c r="H339" s="230"/>
      <c r="I339" s="230"/>
      <c r="J339" s="230"/>
      <c r="K339" s="230"/>
      <c r="L339" s="230"/>
      <c r="M339" s="230"/>
      <c r="N339" s="230"/>
      <c r="O339" s="230"/>
      <c r="P339" s="230"/>
      <c r="Q339" s="230"/>
      <c r="R339" s="230"/>
      <c r="S339" s="230"/>
      <c r="T339" s="230"/>
      <c r="U339" s="230"/>
      <c r="V339" s="230"/>
      <c r="W339" s="230"/>
      <c r="X339" s="230"/>
      <c r="Y339" s="230"/>
      <c r="Z339" s="230"/>
    </row>
    <row r="340" spans="1:26" ht="15.75" customHeight="1">
      <c r="A340" s="230"/>
      <c r="B340" s="230"/>
      <c r="C340" s="230"/>
      <c r="D340" s="230"/>
      <c r="E340" s="230"/>
      <c r="F340" s="230"/>
      <c r="G340" s="230"/>
      <c r="H340" s="230"/>
      <c r="I340" s="230"/>
      <c r="J340" s="230"/>
      <c r="K340" s="230"/>
      <c r="L340" s="230"/>
      <c r="M340" s="230"/>
      <c r="N340" s="230"/>
      <c r="O340" s="230"/>
      <c r="P340" s="230"/>
      <c r="Q340" s="230"/>
      <c r="R340" s="230"/>
      <c r="S340" s="230"/>
      <c r="T340" s="230"/>
      <c r="U340" s="230"/>
      <c r="V340" s="230"/>
      <c r="W340" s="230"/>
      <c r="X340" s="230"/>
      <c r="Y340" s="230"/>
      <c r="Z340" s="230"/>
    </row>
    <row r="341" spans="1:26" ht="15.75" customHeight="1">
      <c r="A341" s="230"/>
      <c r="B341" s="230"/>
      <c r="C341" s="230"/>
      <c r="D341" s="230"/>
      <c r="E341" s="230"/>
      <c r="F341" s="230"/>
      <c r="G341" s="230"/>
      <c r="H341" s="230"/>
      <c r="I341" s="230"/>
      <c r="J341" s="230"/>
      <c r="K341" s="230"/>
      <c r="L341" s="230"/>
      <c r="M341" s="230"/>
      <c r="N341" s="230"/>
      <c r="O341" s="230"/>
      <c r="P341" s="230"/>
      <c r="Q341" s="230"/>
      <c r="R341" s="230"/>
      <c r="S341" s="230"/>
      <c r="T341" s="230"/>
      <c r="U341" s="230"/>
      <c r="V341" s="230"/>
      <c r="W341" s="230"/>
      <c r="X341" s="230"/>
      <c r="Y341" s="230"/>
      <c r="Z341" s="230"/>
    </row>
    <row r="342" spans="1:26" ht="15.75" customHeight="1">
      <c r="A342" s="230"/>
      <c r="B342" s="230"/>
      <c r="C342" s="230"/>
      <c r="D342" s="230"/>
      <c r="E342" s="230"/>
      <c r="F342" s="230"/>
      <c r="G342" s="230"/>
      <c r="H342" s="230"/>
      <c r="I342" s="230"/>
      <c r="J342" s="230"/>
      <c r="K342" s="230"/>
      <c r="L342" s="230"/>
      <c r="M342" s="230"/>
      <c r="N342" s="230"/>
      <c r="O342" s="230"/>
      <c r="P342" s="230"/>
      <c r="Q342" s="230"/>
      <c r="R342" s="230"/>
      <c r="S342" s="230"/>
      <c r="T342" s="230"/>
      <c r="U342" s="230"/>
      <c r="V342" s="230"/>
      <c r="W342" s="230"/>
      <c r="X342" s="230"/>
      <c r="Y342" s="230"/>
      <c r="Z342" s="230"/>
    </row>
    <row r="343" spans="1:26" ht="15.75" customHeight="1">
      <c r="A343" s="230"/>
      <c r="B343" s="230"/>
      <c r="C343" s="230"/>
      <c r="D343" s="230"/>
      <c r="E343" s="230"/>
      <c r="F343" s="230"/>
      <c r="G343" s="230"/>
      <c r="H343" s="230"/>
      <c r="I343" s="230"/>
      <c r="J343" s="230"/>
      <c r="K343" s="230"/>
      <c r="L343" s="230"/>
      <c r="M343" s="230"/>
      <c r="N343" s="230"/>
      <c r="O343" s="230"/>
      <c r="P343" s="230"/>
      <c r="Q343" s="230"/>
      <c r="R343" s="230"/>
      <c r="S343" s="230"/>
      <c r="T343" s="230"/>
      <c r="U343" s="230"/>
      <c r="V343" s="230"/>
      <c r="W343" s="230"/>
      <c r="X343" s="230"/>
      <c r="Y343" s="230"/>
      <c r="Z343" s="230"/>
    </row>
    <row r="344" spans="1:26" ht="15.75" customHeight="1">
      <c r="A344" s="230"/>
      <c r="B344" s="230"/>
      <c r="C344" s="230"/>
      <c r="D344" s="230"/>
      <c r="E344" s="230"/>
      <c r="F344" s="230"/>
      <c r="G344" s="230"/>
      <c r="H344" s="230"/>
      <c r="I344" s="230"/>
      <c r="J344" s="230"/>
      <c r="K344" s="230"/>
      <c r="L344" s="230"/>
      <c r="M344" s="230"/>
      <c r="N344" s="230"/>
      <c r="O344" s="230"/>
      <c r="P344" s="230"/>
      <c r="Q344" s="230"/>
      <c r="R344" s="230"/>
      <c r="S344" s="230"/>
      <c r="T344" s="230"/>
      <c r="U344" s="230"/>
      <c r="V344" s="230"/>
      <c r="W344" s="230"/>
      <c r="X344" s="230"/>
      <c r="Y344" s="230"/>
      <c r="Z344" s="230"/>
    </row>
    <row r="345" spans="1:26" ht="15.75" customHeight="1">
      <c r="A345" s="230"/>
      <c r="B345" s="230"/>
      <c r="C345" s="230"/>
      <c r="D345" s="230"/>
      <c r="E345" s="230"/>
      <c r="F345" s="230"/>
      <c r="G345" s="230"/>
      <c r="H345" s="230"/>
      <c r="I345" s="230"/>
      <c r="J345" s="230"/>
      <c r="K345" s="230"/>
      <c r="L345" s="230"/>
      <c r="M345" s="230"/>
      <c r="N345" s="230"/>
      <c r="O345" s="230"/>
      <c r="P345" s="230"/>
      <c r="Q345" s="230"/>
      <c r="R345" s="230"/>
      <c r="S345" s="230"/>
      <c r="T345" s="230"/>
      <c r="U345" s="230"/>
      <c r="V345" s="230"/>
      <c r="W345" s="230"/>
      <c r="X345" s="230"/>
      <c r="Y345" s="230"/>
      <c r="Z345" s="230"/>
    </row>
    <row r="346" spans="1:26" ht="15.75" customHeight="1">
      <c r="A346" s="230"/>
      <c r="B346" s="230"/>
      <c r="C346" s="230"/>
      <c r="D346" s="230"/>
      <c r="E346" s="230"/>
      <c r="F346" s="230"/>
      <c r="G346" s="230"/>
      <c r="H346" s="230"/>
      <c r="I346" s="230"/>
      <c r="J346" s="230"/>
      <c r="K346" s="230"/>
      <c r="L346" s="230"/>
      <c r="M346" s="230"/>
      <c r="N346" s="230"/>
      <c r="O346" s="230"/>
      <c r="P346" s="230"/>
      <c r="Q346" s="230"/>
      <c r="R346" s="230"/>
      <c r="S346" s="230"/>
      <c r="T346" s="230"/>
      <c r="U346" s="230"/>
      <c r="V346" s="230"/>
      <c r="W346" s="230"/>
      <c r="X346" s="230"/>
      <c r="Y346" s="230"/>
      <c r="Z346" s="230"/>
    </row>
    <row r="347" spans="1:26" ht="15.75" customHeight="1">
      <c r="A347" s="230"/>
      <c r="B347" s="230"/>
      <c r="C347" s="230"/>
      <c r="D347" s="230"/>
      <c r="E347" s="230"/>
      <c r="F347" s="230"/>
      <c r="G347" s="230"/>
      <c r="H347" s="230"/>
      <c r="I347" s="230"/>
      <c r="J347" s="230"/>
      <c r="K347" s="230"/>
      <c r="L347" s="230"/>
      <c r="M347" s="230"/>
      <c r="N347" s="230"/>
      <c r="O347" s="230"/>
      <c r="P347" s="230"/>
      <c r="Q347" s="230"/>
      <c r="R347" s="230"/>
      <c r="S347" s="230"/>
      <c r="T347" s="230"/>
      <c r="U347" s="230"/>
      <c r="V347" s="230"/>
      <c r="W347" s="230"/>
      <c r="X347" s="230"/>
      <c r="Y347" s="230"/>
      <c r="Z347" s="230"/>
    </row>
    <row r="348" spans="1:26" ht="15.75" customHeight="1">
      <c r="A348" s="230"/>
      <c r="B348" s="230"/>
      <c r="C348" s="230"/>
      <c r="D348" s="230"/>
      <c r="E348" s="230"/>
      <c r="F348" s="230"/>
      <c r="G348" s="230"/>
      <c r="H348" s="230"/>
      <c r="I348" s="230"/>
      <c r="J348" s="230"/>
      <c r="K348" s="230"/>
      <c r="L348" s="230"/>
      <c r="M348" s="230"/>
      <c r="N348" s="230"/>
      <c r="O348" s="230"/>
      <c r="P348" s="230"/>
      <c r="Q348" s="230"/>
      <c r="R348" s="230"/>
      <c r="S348" s="230"/>
      <c r="T348" s="230"/>
      <c r="U348" s="230"/>
      <c r="V348" s="230"/>
      <c r="W348" s="230"/>
      <c r="X348" s="230"/>
      <c r="Y348" s="230"/>
      <c r="Z348" s="230"/>
    </row>
    <row r="349" spans="1:26" ht="15.75" customHeight="1">
      <c r="A349" s="230"/>
      <c r="B349" s="230"/>
      <c r="C349" s="230"/>
      <c r="D349" s="230"/>
      <c r="E349" s="230"/>
      <c r="F349" s="230"/>
      <c r="G349" s="230"/>
      <c r="H349" s="230"/>
      <c r="I349" s="230"/>
      <c r="J349" s="230"/>
      <c r="K349" s="230"/>
      <c r="L349" s="230"/>
      <c r="M349" s="230"/>
      <c r="N349" s="230"/>
      <c r="O349" s="230"/>
      <c r="P349" s="230"/>
      <c r="Q349" s="230"/>
      <c r="R349" s="230"/>
      <c r="S349" s="230"/>
      <c r="T349" s="230"/>
      <c r="U349" s="230"/>
      <c r="V349" s="230"/>
      <c r="W349" s="230"/>
      <c r="X349" s="230"/>
      <c r="Y349" s="230"/>
      <c r="Z349" s="230"/>
    </row>
    <row r="350" spans="1:26" ht="15.75" customHeight="1">
      <c r="A350" s="230"/>
      <c r="B350" s="230"/>
      <c r="C350" s="230"/>
      <c r="D350" s="230"/>
      <c r="E350" s="230"/>
      <c r="F350" s="230"/>
      <c r="G350" s="230"/>
      <c r="H350" s="230"/>
      <c r="I350" s="230"/>
      <c r="J350" s="230"/>
      <c r="K350" s="230"/>
      <c r="L350" s="230"/>
      <c r="M350" s="230"/>
      <c r="N350" s="230"/>
      <c r="O350" s="230"/>
      <c r="P350" s="230"/>
      <c r="Q350" s="230"/>
      <c r="R350" s="230"/>
      <c r="S350" s="230"/>
      <c r="T350" s="230"/>
      <c r="U350" s="230"/>
      <c r="V350" s="230"/>
      <c r="W350" s="230"/>
      <c r="X350" s="230"/>
      <c r="Y350" s="230"/>
      <c r="Z350" s="230"/>
    </row>
    <row r="351" spans="1:26" ht="15.75" customHeight="1">
      <c r="A351" s="230"/>
      <c r="B351" s="230"/>
      <c r="C351" s="230"/>
      <c r="D351" s="230"/>
      <c r="E351" s="230"/>
      <c r="F351" s="230"/>
      <c r="G351" s="230"/>
      <c r="H351" s="230"/>
      <c r="I351" s="230"/>
      <c r="J351" s="230"/>
      <c r="K351" s="230"/>
      <c r="L351" s="230"/>
      <c r="M351" s="230"/>
      <c r="N351" s="230"/>
      <c r="O351" s="230"/>
      <c r="P351" s="230"/>
      <c r="Q351" s="230"/>
      <c r="R351" s="230"/>
      <c r="S351" s="230"/>
      <c r="T351" s="230"/>
      <c r="U351" s="230"/>
      <c r="V351" s="230"/>
      <c r="W351" s="230"/>
      <c r="X351" s="230"/>
      <c r="Y351" s="230"/>
      <c r="Z351" s="230"/>
    </row>
    <row r="352" spans="1:26" ht="15.75" customHeight="1">
      <c r="A352" s="230"/>
      <c r="B352" s="230"/>
      <c r="C352" s="230"/>
      <c r="D352" s="230"/>
      <c r="E352" s="230"/>
      <c r="F352" s="230"/>
      <c r="G352" s="230"/>
      <c r="H352" s="230"/>
      <c r="I352" s="230"/>
      <c r="J352" s="230"/>
      <c r="K352" s="230"/>
      <c r="L352" s="230"/>
      <c r="M352" s="230"/>
      <c r="N352" s="230"/>
      <c r="O352" s="230"/>
      <c r="P352" s="230"/>
      <c r="Q352" s="230"/>
      <c r="R352" s="230"/>
      <c r="S352" s="230"/>
      <c r="T352" s="230"/>
      <c r="U352" s="230"/>
      <c r="V352" s="230"/>
      <c r="W352" s="230"/>
      <c r="X352" s="230"/>
      <c r="Y352" s="230"/>
      <c r="Z352" s="230"/>
    </row>
    <row r="353" spans="1:26" ht="15.75" customHeight="1">
      <c r="A353" s="230"/>
      <c r="B353" s="230"/>
      <c r="C353" s="230"/>
      <c r="D353" s="230"/>
      <c r="E353" s="230"/>
      <c r="F353" s="230"/>
      <c r="G353" s="230"/>
      <c r="H353" s="230"/>
      <c r="I353" s="230"/>
      <c r="J353" s="230"/>
      <c r="K353" s="230"/>
      <c r="L353" s="230"/>
      <c r="M353" s="230"/>
      <c r="N353" s="230"/>
      <c r="O353" s="230"/>
      <c r="P353" s="230"/>
      <c r="Q353" s="230"/>
      <c r="R353" s="230"/>
      <c r="S353" s="230"/>
      <c r="T353" s="230"/>
      <c r="U353" s="230"/>
      <c r="V353" s="230"/>
      <c r="W353" s="230"/>
      <c r="X353" s="230"/>
      <c r="Y353" s="230"/>
      <c r="Z353" s="230"/>
    </row>
    <row r="354" spans="1:26" ht="15.75" customHeight="1">
      <c r="A354" s="230"/>
      <c r="B354" s="230"/>
      <c r="C354" s="230"/>
      <c r="D354" s="230"/>
      <c r="E354" s="230"/>
      <c r="F354" s="230"/>
      <c r="G354" s="230"/>
      <c r="H354" s="230"/>
      <c r="I354" s="230"/>
      <c r="J354" s="230"/>
      <c r="K354" s="230"/>
      <c r="L354" s="230"/>
      <c r="M354" s="230"/>
      <c r="N354" s="230"/>
      <c r="O354" s="230"/>
      <c r="P354" s="230"/>
      <c r="Q354" s="230"/>
      <c r="R354" s="230"/>
      <c r="S354" s="230"/>
      <c r="T354" s="230"/>
      <c r="U354" s="230"/>
      <c r="V354" s="230"/>
      <c r="W354" s="230"/>
      <c r="X354" s="230"/>
      <c r="Y354" s="230"/>
      <c r="Z354" s="230"/>
    </row>
    <row r="355" spans="1:26" ht="15.75" customHeight="1">
      <c r="A355" s="230"/>
      <c r="B355" s="230"/>
      <c r="C355" s="230"/>
      <c r="D355" s="230"/>
      <c r="E355" s="230"/>
      <c r="F355" s="230"/>
      <c r="G355" s="230"/>
      <c r="H355" s="230"/>
      <c r="I355" s="230"/>
      <c r="J355" s="230"/>
      <c r="K355" s="230"/>
      <c r="L355" s="230"/>
      <c r="M355" s="230"/>
      <c r="N355" s="230"/>
      <c r="O355" s="230"/>
      <c r="P355" s="230"/>
      <c r="Q355" s="230"/>
      <c r="R355" s="230"/>
      <c r="S355" s="230"/>
      <c r="T355" s="230"/>
      <c r="U355" s="230"/>
      <c r="V355" s="230"/>
      <c r="W355" s="230"/>
      <c r="X355" s="230"/>
      <c r="Y355" s="230"/>
      <c r="Z355" s="230"/>
    </row>
    <row r="356" spans="1:26" ht="15.75" customHeight="1">
      <c r="A356" s="230"/>
      <c r="B356" s="230"/>
      <c r="C356" s="230"/>
      <c r="D356" s="230"/>
      <c r="E356" s="230"/>
      <c r="F356" s="230"/>
      <c r="G356" s="230"/>
      <c r="H356" s="230"/>
      <c r="I356" s="230"/>
      <c r="J356" s="230"/>
      <c r="K356" s="230"/>
      <c r="L356" s="230"/>
      <c r="M356" s="230"/>
      <c r="N356" s="230"/>
      <c r="O356" s="230"/>
      <c r="P356" s="230"/>
      <c r="Q356" s="230"/>
      <c r="R356" s="230"/>
      <c r="S356" s="230"/>
      <c r="T356" s="230"/>
      <c r="U356" s="230"/>
      <c r="V356" s="230"/>
      <c r="W356" s="230"/>
      <c r="X356" s="230"/>
      <c r="Y356" s="230"/>
      <c r="Z356" s="230"/>
    </row>
    <row r="357" spans="1:26" ht="15.75" customHeight="1">
      <c r="A357" s="230"/>
      <c r="B357" s="230"/>
      <c r="C357" s="230"/>
      <c r="D357" s="230"/>
      <c r="E357" s="230"/>
      <c r="F357" s="230"/>
      <c r="G357" s="230"/>
      <c r="H357" s="230"/>
      <c r="I357" s="230"/>
      <c r="J357" s="230"/>
      <c r="K357" s="230"/>
      <c r="L357" s="230"/>
      <c r="M357" s="230"/>
      <c r="N357" s="230"/>
      <c r="O357" s="230"/>
      <c r="P357" s="230"/>
      <c r="Q357" s="230"/>
      <c r="R357" s="230"/>
      <c r="S357" s="230"/>
      <c r="T357" s="230"/>
      <c r="U357" s="230"/>
      <c r="V357" s="230"/>
      <c r="W357" s="230"/>
      <c r="X357" s="230"/>
      <c r="Y357" s="230"/>
      <c r="Z357" s="230"/>
    </row>
    <row r="358" spans="1:26" ht="15.75" customHeight="1">
      <c r="A358" s="230"/>
      <c r="B358" s="230"/>
      <c r="C358" s="230"/>
      <c r="D358" s="230"/>
      <c r="E358" s="230"/>
      <c r="F358" s="230"/>
      <c r="G358" s="230"/>
      <c r="H358" s="230"/>
      <c r="I358" s="230"/>
      <c r="J358" s="230"/>
      <c r="K358" s="230"/>
      <c r="L358" s="230"/>
      <c r="M358" s="230"/>
      <c r="N358" s="230"/>
      <c r="O358" s="230"/>
      <c r="P358" s="230"/>
      <c r="Q358" s="230"/>
      <c r="R358" s="230"/>
      <c r="S358" s="230"/>
      <c r="T358" s="230"/>
      <c r="U358" s="230"/>
      <c r="V358" s="230"/>
      <c r="W358" s="230"/>
      <c r="X358" s="230"/>
      <c r="Y358" s="230"/>
      <c r="Z358" s="230"/>
    </row>
    <row r="359" spans="1:26" ht="15.75" customHeight="1">
      <c r="A359" s="230"/>
      <c r="B359" s="230"/>
      <c r="C359" s="230"/>
      <c r="D359" s="230"/>
      <c r="E359" s="230"/>
      <c r="F359" s="230"/>
      <c r="G359" s="230"/>
      <c r="H359" s="230"/>
      <c r="I359" s="230"/>
      <c r="J359" s="230"/>
      <c r="K359" s="230"/>
      <c r="L359" s="230"/>
      <c r="M359" s="230"/>
      <c r="N359" s="230"/>
      <c r="O359" s="230"/>
      <c r="P359" s="230"/>
      <c r="Q359" s="230"/>
      <c r="R359" s="230"/>
      <c r="S359" s="230"/>
      <c r="T359" s="230"/>
      <c r="U359" s="230"/>
      <c r="V359" s="230"/>
      <c r="W359" s="230"/>
      <c r="X359" s="230"/>
      <c r="Y359" s="230"/>
      <c r="Z359" s="230"/>
    </row>
    <row r="360" spans="1:26" ht="15.75" customHeight="1">
      <c r="A360" s="230"/>
      <c r="B360" s="230"/>
      <c r="C360" s="230"/>
      <c r="D360" s="230"/>
      <c r="E360" s="230"/>
      <c r="F360" s="230"/>
      <c r="G360" s="230"/>
      <c r="H360" s="230"/>
      <c r="I360" s="230"/>
      <c r="J360" s="230"/>
      <c r="K360" s="230"/>
      <c r="L360" s="230"/>
      <c r="M360" s="230"/>
      <c r="N360" s="230"/>
      <c r="O360" s="230"/>
      <c r="P360" s="230"/>
      <c r="Q360" s="230"/>
      <c r="R360" s="230"/>
      <c r="S360" s="230"/>
      <c r="T360" s="230"/>
      <c r="U360" s="230"/>
      <c r="V360" s="230"/>
      <c r="W360" s="230"/>
      <c r="X360" s="230"/>
      <c r="Y360" s="230"/>
      <c r="Z360" s="230"/>
    </row>
    <row r="361" spans="1:26" ht="15.75" customHeight="1">
      <c r="A361" s="230"/>
      <c r="B361" s="230"/>
      <c r="C361" s="230"/>
      <c r="D361" s="230"/>
      <c r="E361" s="230"/>
      <c r="F361" s="230"/>
      <c r="G361" s="230"/>
      <c r="H361" s="230"/>
      <c r="I361" s="230"/>
      <c r="J361" s="230"/>
      <c r="K361" s="230"/>
      <c r="L361" s="230"/>
      <c r="M361" s="230"/>
      <c r="N361" s="230"/>
      <c r="O361" s="230"/>
      <c r="P361" s="230"/>
      <c r="Q361" s="230"/>
      <c r="R361" s="230"/>
      <c r="S361" s="230"/>
      <c r="T361" s="230"/>
      <c r="U361" s="230"/>
      <c r="V361" s="230"/>
      <c r="W361" s="230"/>
      <c r="X361" s="230"/>
      <c r="Y361" s="230"/>
      <c r="Z361" s="230"/>
    </row>
    <row r="362" spans="1:26" ht="15.75" customHeight="1">
      <c r="A362" s="230"/>
      <c r="B362" s="230"/>
      <c r="C362" s="230"/>
      <c r="D362" s="230"/>
      <c r="E362" s="230"/>
      <c r="F362" s="230"/>
      <c r="G362" s="230"/>
      <c r="H362" s="230"/>
      <c r="I362" s="230"/>
      <c r="J362" s="230"/>
      <c r="K362" s="230"/>
      <c r="L362" s="230"/>
      <c r="M362" s="230"/>
      <c r="N362" s="230"/>
      <c r="O362" s="230"/>
      <c r="P362" s="230"/>
      <c r="Q362" s="230"/>
      <c r="R362" s="230"/>
      <c r="S362" s="230"/>
      <c r="T362" s="230"/>
      <c r="U362" s="230"/>
      <c r="V362" s="230"/>
      <c r="W362" s="230"/>
      <c r="X362" s="230"/>
      <c r="Y362" s="230"/>
      <c r="Z362" s="230"/>
    </row>
    <row r="363" spans="1:26" ht="15.75" customHeight="1">
      <c r="A363" s="230"/>
      <c r="B363" s="230"/>
      <c r="C363" s="230"/>
      <c r="D363" s="230"/>
      <c r="E363" s="230"/>
      <c r="F363" s="230"/>
      <c r="G363" s="230"/>
      <c r="H363" s="230"/>
      <c r="I363" s="230"/>
      <c r="J363" s="230"/>
      <c r="K363" s="230"/>
      <c r="L363" s="230"/>
      <c r="M363" s="230"/>
      <c r="N363" s="230"/>
      <c r="O363" s="230"/>
      <c r="P363" s="230"/>
      <c r="Q363" s="230"/>
      <c r="R363" s="230"/>
      <c r="S363" s="230"/>
      <c r="T363" s="230"/>
      <c r="U363" s="230"/>
      <c r="V363" s="230"/>
      <c r="W363" s="230"/>
      <c r="X363" s="230"/>
      <c r="Y363" s="230"/>
      <c r="Z363" s="230"/>
    </row>
    <row r="364" spans="1:26" ht="15.75" customHeight="1">
      <c r="A364" s="230"/>
      <c r="B364" s="230"/>
      <c r="C364" s="230"/>
      <c r="D364" s="230"/>
      <c r="E364" s="230"/>
      <c r="F364" s="230"/>
      <c r="G364" s="230"/>
      <c r="H364" s="230"/>
      <c r="I364" s="230"/>
      <c r="J364" s="230"/>
      <c r="K364" s="230"/>
      <c r="L364" s="230"/>
      <c r="M364" s="230"/>
      <c r="N364" s="230"/>
      <c r="O364" s="230"/>
      <c r="P364" s="230"/>
      <c r="Q364" s="230"/>
      <c r="R364" s="230"/>
      <c r="S364" s="230"/>
      <c r="T364" s="230"/>
      <c r="U364" s="230"/>
      <c r="V364" s="230"/>
      <c r="W364" s="230"/>
      <c r="X364" s="230"/>
      <c r="Y364" s="230"/>
      <c r="Z364" s="230"/>
    </row>
    <row r="365" spans="1:26" ht="15.75" customHeight="1">
      <c r="A365" s="230"/>
      <c r="B365" s="230"/>
      <c r="C365" s="230"/>
      <c r="D365" s="230"/>
      <c r="E365" s="230"/>
      <c r="F365" s="230"/>
      <c r="G365" s="230"/>
      <c r="H365" s="230"/>
      <c r="I365" s="230"/>
      <c r="J365" s="230"/>
      <c r="K365" s="230"/>
      <c r="L365" s="230"/>
      <c r="M365" s="230"/>
      <c r="N365" s="230"/>
      <c r="O365" s="230"/>
      <c r="P365" s="230"/>
      <c r="Q365" s="230"/>
      <c r="R365" s="230"/>
      <c r="S365" s="230"/>
      <c r="T365" s="230"/>
      <c r="U365" s="230"/>
      <c r="V365" s="230"/>
      <c r="W365" s="230"/>
      <c r="X365" s="230"/>
      <c r="Y365" s="230"/>
      <c r="Z365" s="230"/>
    </row>
    <row r="366" spans="1:26" ht="15.75" customHeight="1">
      <c r="A366" s="230"/>
      <c r="B366" s="230"/>
      <c r="C366" s="230"/>
      <c r="D366" s="230"/>
      <c r="E366" s="230"/>
      <c r="F366" s="230"/>
      <c r="G366" s="230"/>
      <c r="H366" s="230"/>
      <c r="I366" s="230"/>
      <c r="J366" s="230"/>
      <c r="K366" s="230"/>
      <c r="L366" s="230"/>
      <c r="M366" s="230"/>
      <c r="N366" s="230"/>
      <c r="O366" s="230"/>
      <c r="P366" s="230"/>
      <c r="Q366" s="230"/>
      <c r="R366" s="230"/>
      <c r="S366" s="230"/>
      <c r="T366" s="230"/>
      <c r="U366" s="230"/>
      <c r="V366" s="230"/>
      <c r="W366" s="230"/>
      <c r="X366" s="230"/>
      <c r="Y366" s="230"/>
      <c r="Z366" s="230"/>
    </row>
    <row r="367" spans="1:26" ht="15.75" customHeight="1">
      <c r="A367" s="230"/>
      <c r="B367" s="230"/>
      <c r="C367" s="230"/>
      <c r="D367" s="230"/>
      <c r="E367" s="230"/>
      <c r="F367" s="230"/>
      <c r="G367" s="230"/>
      <c r="H367" s="230"/>
      <c r="I367" s="230"/>
      <c r="J367" s="230"/>
      <c r="K367" s="230"/>
      <c r="L367" s="230"/>
      <c r="M367" s="230"/>
      <c r="N367" s="230"/>
      <c r="O367" s="230"/>
      <c r="P367" s="230"/>
      <c r="Q367" s="230"/>
      <c r="R367" s="230"/>
      <c r="S367" s="230"/>
      <c r="T367" s="230"/>
      <c r="U367" s="230"/>
      <c r="V367" s="230"/>
      <c r="W367" s="230"/>
      <c r="X367" s="230"/>
      <c r="Y367" s="230"/>
      <c r="Z367" s="230"/>
    </row>
    <row r="368" spans="1:26" ht="15.75" customHeight="1">
      <c r="A368" s="230"/>
      <c r="B368" s="230"/>
      <c r="C368" s="230"/>
      <c r="D368" s="230"/>
      <c r="E368" s="230"/>
      <c r="F368" s="230"/>
      <c r="G368" s="230"/>
      <c r="H368" s="230"/>
      <c r="I368" s="230"/>
      <c r="J368" s="230"/>
      <c r="K368" s="230"/>
      <c r="L368" s="230"/>
      <c r="M368" s="230"/>
      <c r="N368" s="230"/>
      <c r="O368" s="230"/>
      <c r="P368" s="230"/>
      <c r="Q368" s="230"/>
      <c r="R368" s="230"/>
      <c r="S368" s="230"/>
      <c r="T368" s="230"/>
      <c r="U368" s="230"/>
      <c r="V368" s="230"/>
      <c r="W368" s="230"/>
      <c r="X368" s="230"/>
      <c r="Y368" s="230"/>
      <c r="Z368" s="230"/>
    </row>
    <row r="369" spans="1:26" ht="15.75" customHeight="1">
      <c r="A369" s="230"/>
      <c r="B369" s="230"/>
      <c r="C369" s="230"/>
      <c r="D369" s="230"/>
      <c r="E369" s="230"/>
      <c r="F369" s="230"/>
      <c r="G369" s="230"/>
      <c r="H369" s="230"/>
      <c r="I369" s="230"/>
      <c r="J369" s="230"/>
      <c r="K369" s="230"/>
      <c r="L369" s="230"/>
      <c r="M369" s="230"/>
      <c r="N369" s="230"/>
      <c r="O369" s="230"/>
      <c r="P369" s="230"/>
      <c r="Q369" s="230"/>
      <c r="R369" s="230"/>
      <c r="S369" s="230"/>
      <c r="T369" s="230"/>
      <c r="U369" s="230"/>
      <c r="V369" s="230"/>
      <c r="W369" s="230"/>
      <c r="X369" s="230"/>
      <c r="Y369" s="230"/>
      <c r="Z369" s="230"/>
    </row>
    <row r="370" spans="1:26" ht="15.75" customHeight="1">
      <c r="A370" s="230"/>
      <c r="B370" s="230"/>
      <c r="C370" s="230"/>
      <c r="D370" s="230"/>
      <c r="E370" s="230"/>
      <c r="F370" s="230"/>
      <c r="G370" s="230"/>
      <c r="H370" s="230"/>
      <c r="I370" s="230"/>
      <c r="J370" s="230"/>
      <c r="K370" s="230"/>
      <c r="L370" s="230"/>
      <c r="M370" s="230"/>
      <c r="N370" s="230"/>
      <c r="O370" s="230"/>
      <c r="P370" s="230"/>
      <c r="Q370" s="230"/>
      <c r="R370" s="230"/>
      <c r="S370" s="230"/>
      <c r="T370" s="230"/>
      <c r="U370" s="230"/>
      <c r="V370" s="230"/>
      <c r="W370" s="230"/>
      <c r="X370" s="230"/>
      <c r="Y370" s="230"/>
      <c r="Z370" s="230"/>
    </row>
    <row r="371" spans="1:26" ht="15.75" customHeight="1">
      <c r="A371" s="230"/>
      <c r="B371" s="230"/>
      <c r="C371" s="230"/>
      <c r="D371" s="230"/>
      <c r="E371" s="230"/>
      <c r="F371" s="230"/>
      <c r="G371" s="230"/>
      <c r="H371" s="230"/>
      <c r="I371" s="230"/>
      <c r="J371" s="230"/>
      <c r="K371" s="230"/>
      <c r="L371" s="230"/>
      <c r="M371" s="230"/>
      <c r="N371" s="230"/>
      <c r="O371" s="230"/>
      <c r="P371" s="230"/>
      <c r="Q371" s="230"/>
      <c r="R371" s="230"/>
      <c r="S371" s="230"/>
      <c r="T371" s="230"/>
      <c r="U371" s="230"/>
      <c r="V371" s="230"/>
      <c r="W371" s="230"/>
      <c r="X371" s="230"/>
      <c r="Y371" s="230"/>
      <c r="Z371" s="230"/>
    </row>
    <row r="372" spans="1:26" ht="15.75" customHeight="1">
      <c r="A372" s="230"/>
      <c r="B372" s="230"/>
      <c r="C372" s="230"/>
      <c r="D372" s="230"/>
      <c r="E372" s="230"/>
      <c r="F372" s="230"/>
      <c r="G372" s="230"/>
      <c r="H372" s="230"/>
      <c r="I372" s="230"/>
      <c r="J372" s="230"/>
      <c r="K372" s="230"/>
      <c r="L372" s="230"/>
      <c r="M372" s="230"/>
      <c r="N372" s="230"/>
      <c r="O372" s="230"/>
      <c r="P372" s="230"/>
      <c r="Q372" s="230"/>
      <c r="R372" s="230"/>
      <c r="S372" s="230"/>
      <c r="T372" s="230"/>
      <c r="U372" s="230"/>
      <c r="V372" s="230"/>
      <c r="W372" s="230"/>
      <c r="X372" s="230"/>
      <c r="Y372" s="230"/>
      <c r="Z372" s="230"/>
    </row>
    <row r="373" spans="1:26" ht="15.75" customHeight="1">
      <c r="A373" s="230"/>
      <c r="B373" s="230"/>
      <c r="C373" s="230"/>
      <c r="D373" s="230"/>
      <c r="E373" s="230"/>
      <c r="F373" s="230"/>
      <c r="G373" s="230"/>
      <c r="H373" s="230"/>
      <c r="I373" s="230"/>
      <c r="J373" s="230"/>
      <c r="K373" s="230"/>
      <c r="L373" s="230"/>
      <c r="M373" s="230"/>
      <c r="N373" s="230"/>
      <c r="O373" s="230"/>
      <c r="P373" s="230"/>
      <c r="Q373" s="230"/>
      <c r="R373" s="230"/>
      <c r="S373" s="230"/>
      <c r="T373" s="230"/>
      <c r="U373" s="230"/>
      <c r="V373" s="230"/>
      <c r="W373" s="230"/>
      <c r="X373" s="230"/>
      <c r="Y373" s="230"/>
      <c r="Z373" s="230"/>
    </row>
    <row r="374" spans="1:26" ht="15.75" customHeight="1">
      <c r="A374" s="230"/>
      <c r="B374" s="230"/>
      <c r="C374" s="230"/>
      <c r="D374" s="230"/>
      <c r="E374" s="230"/>
      <c r="F374" s="230"/>
      <c r="G374" s="230"/>
      <c r="H374" s="230"/>
      <c r="I374" s="230"/>
      <c r="J374" s="230"/>
      <c r="K374" s="230"/>
      <c r="L374" s="230"/>
      <c r="M374" s="230"/>
      <c r="N374" s="230"/>
      <c r="O374" s="230"/>
      <c r="P374" s="230"/>
      <c r="Q374" s="230"/>
      <c r="R374" s="230"/>
      <c r="S374" s="230"/>
      <c r="T374" s="230"/>
      <c r="U374" s="230"/>
      <c r="V374" s="230"/>
      <c r="W374" s="230"/>
      <c r="X374" s="230"/>
      <c r="Y374" s="230"/>
      <c r="Z374" s="230"/>
    </row>
    <row r="375" spans="1:26" ht="15.75" customHeight="1">
      <c r="A375" s="230"/>
      <c r="B375" s="230"/>
      <c r="C375" s="230"/>
      <c r="D375" s="230"/>
      <c r="E375" s="230"/>
      <c r="F375" s="230"/>
      <c r="G375" s="230"/>
      <c r="H375" s="230"/>
      <c r="I375" s="230"/>
      <c r="J375" s="230"/>
      <c r="K375" s="230"/>
      <c r="L375" s="230"/>
      <c r="M375" s="230"/>
      <c r="N375" s="230"/>
      <c r="O375" s="230"/>
      <c r="P375" s="230"/>
      <c r="Q375" s="230"/>
      <c r="R375" s="230"/>
      <c r="S375" s="230"/>
      <c r="T375" s="230"/>
      <c r="U375" s="230"/>
      <c r="V375" s="230"/>
      <c r="W375" s="230"/>
      <c r="X375" s="230"/>
      <c r="Y375" s="230"/>
      <c r="Z375" s="230"/>
    </row>
    <row r="376" spans="1:26" ht="15.75" customHeight="1">
      <c r="A376" s="230"/>
      <c r="B376" s="230"/>
      <c r="C376" s="230"/>
      <c r="D376" s="230"/>
      <c r="E376" s="230"/>
      <c r="F376" s="230"/>
      <c r="G376" s="230"/>
      <c r="H376" s="230"/>
      <c r="I376" s="230"/>
      <c r="J376" s="230"/>
      <c r="K376" s="230"/>
      <c r="L376" s="230"/>
      <c r="M376" s="230"/>
      <c r="N376" s="230"/>
      <c r="O376" s="230"/>
      <c r="P376" s="230"/>
      <c r="Q376" s="230"/>
      <c r="R376" s="230"/>
      <c r="S376" s="230"/>
      <c r="T376" s="230"/>
      <c r="U376" s="230"/>
      <c r="V376" s="230"/>
      <c r="W376" s="230"/>
      <c r="X376" s="230"/>
      <c r="Y376" s="230"/>
      <c r="Z376" s="230"/>
    </row>
    <row r="377" spans="1:26" ht="15.75" customHeight="1">
      <c r="A377" s="230"/>
      <c r="B377" s="230"/>
      <c r="C377" s="230"/>
      <c r="D377" s="230"/>
      <c r="E377" s="230"/>
      <c r="F377" s="230"/>
      <c r="G377" s="230"/>
      <c r="H377" s="230"/>
      <c r="I377" s="230"/>
      <c r="J377" s="230"/>
      <c r="K377" s="230"/>
      <c r="L377" s="230"/>
      <c r="M377" s="230"/>
      <c r="N377" s="230"/>
      <c r="O377" s="230"/>
      <c r="P377" s="230"/>
      <c r="Q377" s="230"/>
      <c r="R377" s="230"/>
      <c r="S377" s="230"/>
      <c r="T377" s="230"/>
      <c r="U377" s="230"/>
      <c r="V377" s="230"/>
      <c r="W377" s="230"/>
      <c r="X377" s="230"/>
      <c r="Y377" s="230"/>
      <c r="Z377" s="230"/>
    </row>
    <row r="378" spans="1:26" ht="15.75" customHeight="1">
      <c r="A378" s="230"/>
      <c r="B378" s="230"/>
      <c r="C378" s="230"/>
      <c r="D378" s="230"/>
      <c r="E378" s="230"/>
      <c r="F378" s="230"/>
      <c r="G378" s="230"/>
      <c r="H378" s="230"/>
      <c r="I378" s="230"/>
      <c r="J378" s="230"/>
      <c r="K378" s="230"/>
      <c r="L378" s="230"/>
      <c r="M378" s="230"/>
      <c r="N378" s="230"/>
      <c r="O378" s="230"/>
      <c r="P378" s="230"/>
      <c r="Q378" s="230"/>
      <c r="R378" s="230"/>
      <c r="S378" s="230"/>
      <c r="T378" s="230"/>
      <c r="U378" s="230"/>
      <c r="V378" s="230"/>
      <c r="W378" s="230"/>
      <c r="X378" s="230"/>
      <c r="Y378" s="230"/>
      <c r="Z378" s="230"/>
    </row>
    <row r="379" spans="1:26" ht="15.75" customHeight="1">
      <c r="A379" s="230"/>
      <c r="B379" s="230"/>
      <c r="C379" s="230"/>
      <c r="D379" s="230"/>
      <c r="E379" s="230"/>
      <c r="F379" s="230"/>
      <c r="G379" s="230"/>
      <c r="H379" s="230"/>
      <c r="I379" s="230"/>
      <c r="J379" s="230"/>
      <c r="K379" s="230"/>
      <c r="L379" s="230"/>
      <c r="M379" s="230"/>
      <c r="N379" s="230"/>
      <c r="O379" s="230"/>
      <c r="P379" s="230"/>
      <c r="Q379" s="230"/>
      <c r="R379" s="230"/>
      <c r="S379" s="230"/>
      <c r="T379" s="230"/>
      <c r="U379" s="230"/>
      <c r="V379" s="230"/>
      <c r="W379" s="230"/>
      <c r="X379" s="230"/>
      <c r="Y379" s="230"/>
      <c r="Z379" s="230"/>
    </row>
    <row r="380" spans="1:26" ht="15.75" customHeight="1">
      <c r="A380" s="230"/>
      <c r="B380" s="230"/>
      <c r="C380" s="230"/>
      <c r="D380" s="230"/>
      <c r="E380" s="230"/>
      <c r="F380" s="230"/>
      <c r="G380" s="230"/>
      <c r="H380" s="230"/>
      <c r="I380" s="230"/>
      <c r="J380" s="230"/>
      <c r="K380" s="230"/>
      <c r="L380" s="230"/>
      <c r="M380" s="230"/>
      <c r="N380" s="230"/>
      <c r="O380" s="230"/>
      <c r="P380" s="230"/>
      <c r="Q380" s="230"/>
      <c r="R380" s="230"/>
      <c r="S380" s="230"/>
      <c r="T380" s="230"/>
      <c r="U380" s="230"/>
      <c r="V380" s="230"/>
      <c r="W380" s="230"/>
      <c r="X380" s="230"/>
      <c r="Y380" s="230"/>
      <c r="Z380" s="230"/>
    </row>
    <row r="381" spans="1:26" ht="15.75" customHeight="1">
      <c r="A381" s="230"/>
      <c r="B381" s="230"/>
      <c r="C381" s="230"/>
      <c r="D381" s="230"/>
      <c r="E381" s="230"/>
      <c r="F381" s="230"/>
      <c r="G381" s="230"/>
      <c r="H381" s="230"/>
      <c r="I381" s="230"/>
      <c r="J381" s="230"/>
      <c r="K381" s="230"/>
      <c r="L381" s="230"/>
      <c r="M381" s="230"/>
      <c r="N381" s="230"/>
      <c r="O381" s="230"/>
      <c r="P381" s="230"/>
      <c r="Q381" s="230"/>
      <c r="R381" s="230"/>
      <c r="S381" s="230"/>
      <c r="T381" s="230"/>
      <c r="U381" s="230"/>
      <c r="V381" s="230"/>
      <c r="W381" s="230"/>
      <c r="X381" s="230"/>
      <c r="Y381" s="230"/>
      <c r="Z381" s="230"/>
    </row>
    <row r="382" spans="1:26" ht="15.75" customHeight="1">
      <c r="A382" s="230"/>
      <c r="B382" s="230"/>
      <c r="C382" s="230"/>
      <c r="D382" s="230"/>
      <c r="E382" s="230"/>
      <c r="F382" s="230"/>
      <c r="G382" s="230"/>
      <c r="H382" s="230"/>
      <c r="I382" s="230"/>
      <c r="J382" s="230"/>
      <c r="K382" s="230"/>
      <c r="L382" s="230"/>
      <c r="M382" s="230"/>
      <c r="N382" s="230"/>
      <c r="O382" s="230"/>
      <c r="P382" s="230"/>
      <c r="Q382" s="230"/>
      <c r="R382" s="230"/>
      <c r="S382" s="230"/>
      <c r="T382" s="230"/>
      <c r="U382" s="230"/>
      <c r="V382" s="230"/>
      <c r="W382" s="230"/>
      <c r="X382" s="230"/>
      <c r="Y382" s="230"/>
      <c r="Z382" s="230"/>
    </row>
    <row r="383" spans="1:26" ht="15.75" customHeight="1">
      <c r="A383" s="230"/>
      <c r="B383" s="230"/>
      <c r="C383" s="230"/>
      <c r="D383" s="230"/>
      <c r="E383" s="230"/>
      <c r="F383" s="230"/>
      <c r="G383" s="230"/>
      <c r="H383" s="230"/>
      <c r="I383" s="230"/>
      <c r="J383" s="230"/>
      <c r="K383" s="230"/>
      <c r="L383" s="230"/>
      <c r="M383" s="230"/>
      <c r="N383" s="230"/>
      <c r="O383" s="230"/>
      <c r="P383" s="230"/>
      <c r="Q383" s="230"/>
      <c r="R383" s="230"/>
      <c r="S383" s="230"/>
      <c r="T383" s="230"/>
      <c r="U383" s="230"/>
      <c r="V383" s="230"/>
      <c r="W383" s="230"/>
      <c r="X383" s="230"/>
      <c r="Y383" s="230"/>
      <c r="Z383" s="230"/>
    </row>
    <row r="384" spans="1:26" ht="15.75" customHeight="1">
      <c r="A384" s="230"/>
      <c r="B384" s="230"/>
      <c r="C384" s="230"/>
      <c r="D384" s="230"/>
      <c r="E384" s="230"/>
      <c r="F384" s="230"/>
      <c r="G384" s="230"/>
      <c r="H384" s="230"/>
      <c r="I384" s="230"/>
      <c r="J384" s="230"/>
      <c r="K384" s="230"/>
      <c r="L384" s="230"/>
      <c r="M384" s="230"/>
      <c r="N384" s="230"/>
      <c r="O384" s="230"/>
      <c r="P384" s="230"/>
      <c r="Q384" s="230"/>
      <c r="R384" s="230"/>
      <c r="S384" s="230"/>
      <c r="T384" s="230"/>
      <c r="U384" s="230"/>
      <c r="V384" s="230"/>
      <c r="W384" s="230"/>
      <c r="X384" s="230"/>
      <c r="Y384" s="230"/>
      <c r="Z384" s="230"/>
    </row>
    <row r="385" spans="1:26" ht="15.75" customHeight="1">
      <c r="A385" s="230"/>
      <c r="B385" s="230"/>
      <c r="C385" s="230"/>
      <c r="D385" s="230"/>
      <c r="E385" s="230"/>
      <c r="F385" s="230"/>
      <c r="G385" s="230"/>
      <c r="H385" s="230"/>
      <c r="I385" s="230"/>
      <c r="J385" s="230"/>
      <c r="K385" s="230"/>
      <c r="L385" s="230"/>
      <c r="M385" s="230"/>
      <c r="N385" s="230"/>
      <c r="O385" s="230"/>
      <c r="P385" s="230"/>
      <c r="Q385" s="230"/>
      <c r="R385" s="230"/>
      <c r="S385" s="230"/>
      <c r="T385" s="230"/>
      <c r="U385" s="230"/>
      <c r="V385" s="230"/>
      <c r="W385" s="230"/>
      <c r="X385" s="230"/>
      <c r="Y385" s="230"/>
      <c r="Z385" s="230"/>
    </row>
    <row r="386" spans="1:26" ht="15.75" customHeight="1">
      <c r="A386" s="230"/>
      <c r="B386" s="230"/>
      <c r="C386" s="230"/>
      <c r="D386" s="230"/>
      <c r="E386" s="230"/>
      <c r="F386" s="230"/>
      <c r="G386" s="230"/>
      <c r="H386" s="230"/>
      <c r="I386" s="230"/>
      <c r="J386" s="230"/>
      <c r="K386" s="230"/>
      <c r="L386" s="230"/>
      <c r="M386" s="230"/>
      <c r="N386" s="230"/>
      <c r="O386" s="230"/>
      <c r="P386" s="230"/>
      <c r="Q386" s="230"/>
      <c r="R386" s="230"/>
      <c r="S386" s="230"/>
      <c r="T386" s="230"/>
      <c r="U386" s="230"/>
      <c r="V386" s="230"/>
      <c r="W386" s="230"/>
      <c r="X386" s="230"/>
      <c r="Y386" s="230"/>
      <c r="Z386" s="230"/>
    </row>
    <row r="387" spans="1:26" ht="15.75" customHeight="1">
      <c r="A387" s="230"/>
      <c r="B387" s="230"/>
      <c r="C387" s="230"/>
      <c r="D387" s="230"/>
      <c r="E387" s="230"/>
      <c r="F387" s="230"/>
      <c r="G387" s="230"/>
      <c r="H387" s="230"/>
      <c r="I387" s="230"/>
      <c r="J387" s="230"/>
      <c r="K387" s="230"/>
      <c r="L387" s="230"/>
      <c r="M387" s="230"/>
      <c r="N387" s="230"/>
      <c r="O387" s="230"/>
      <c r="P387" s="230"/>
      <c r="Q387" s="230"/>
      <c r="R387" s="230"/>
      <c r="S387" s="230"/>
      <c r="T387" s="230"/>
      <c r="U387" s="230"/>
      <c r="V387" s="230"/>
      <c r="W387" s="230"/>
      <c r="X387" s="230"/>
      <c r="Y387" s="230"/>
      <c r="Z387" s="230"/>
    </row>
    <row r="388" spans="1:26" ht="15.75" customHeight="1">
      <c r="A388" s="230"/>
      <c r="B388" s="230"/>
      <c r="C388" s="230"/>
      <c r="D388" s="230"/>
      <c r="E388" s="230"/>
      <c r="F388" s="230"/>
      <c r="G388" s="230"/>
      <c r="H388" s="230"/>
      <c r="I388" s="230"/>
      <c r="J388" s="230"/>
      <c r="K388" s="230"/>
      <c r="L388" s="230"/>
      <c r="M388" s="230"/>
      <c r="N388" s="230"/>
      <c r="O388" s="230"/>
      <c r="P388" s="230"/>
      <c r="Q388" s="230"/>
      <c r="R388" s="230"/>
      <c r="S388" s="230"/>
      <c r="T388" s="230"/>
      <c r="U388" s="230"/>
      <c r="V388" s="230"/>
      <c r="W388" s="230"/>
      <c r="X388" s="230"/>
      <c r="Y388" s="230"/>
      <c r="Z388" s="230"/>
    </row>
    <row r="389" spans="1:26" ht="15.75" customHeight="1">
      <c r="A389" s="230"/>
      <c r="B389" s="230"/>
      <c r="C389" s="230"/>
      <c r="D389" s="230"/>
      <c r="E389" s="230"/>
      <c r="F389" s="230"/>
      <c r="G389" s="230"/>
      <c r="H389" s="230"/>
      <c r="I389" s="230"/>
      <c r="J389" s="230"/>
      <c r="K389" s="230"/>
      <c r="L389" s="230"/>
      <c r="M389" s="230"/>
      <c r="N389" s="230"/>
      <c r="O389" s="230"/>
      <c r="P389" s="230"/>
      <c r="Q389" s="230"/>
      <c r="R389" s="230"/>
      <c r="S389" s="230"/>
      <c r="T389" s="230"/>
      <c r="U389" s="230"/>
      <c r="V389" s="230"/>
      <c r="W389" s="230"/>
      <c r="X389" s="230"/>
      <c r="Y389" s="230"/>
      <c r="Z389" s="230"/>
    </row>
    <row r="390" spans="1:26" ht="15.75" customHeight="1">
      <c r="A390" s="230"/>
      <c r="B390" s="230"/>
      <c r="C390" s="230"/>
      <c r="D390" s="230"/>
      <c r="E390" s="230"/>
      <c r="F390" s="230"/>
      <c r="G390" s="230"/>
      <c r="H390" s="230"/>
      <c r="I390" s="230"/>
      <c r="J390" s="230"/>
      <c r="K390" s="230"/>
      <c r="L390" s="230"/>
      <c r="M390" s="230"/>
      <c r="N390" s="230"/>
      <c r="O390" s="230"/>
      <c r="P390" s="230"/>
      <c r="Q390" s="230"/>
      <c r="R390" s="230"/>
      <c r="S390" s="230"/>
      <c r="T390" s="230"/>
      <c r="U390" s="230"/>
      <c r="V390" s="230"/>
      <c r="W390" s="230"/>
      <c r="X390" s="230"/>
      <c r="Y390" s="230"/>
      <c r="Z390" s="230"/>
    </row>
    <row r="391" spans="1:26" ht="15.75" customHeight="1">
      <c r="A391" s="230"/>
      <c r="B391" s="230"/>
      <c r="C391" s="230"/>
      <c r="D391" s="230"/>
      <c r="E391" s="230"/>
      <c r="F391" s="230"/>
      <c r="G391" s="230"/>
      <c r="H391" s="230"/>
      <c r="I391" s="230"/>
      <c r="J391" s="230"/>
      <c r="K391" s="230"/>
      <c r="L391" s="230"/>
      <c r="M391" s="230"/>
      <c r="N391" s="230"/>
      <c r="O391" s="230"/>
      <c r="P391" s="230"/>
      <c r="Q391" s="230"/>
      <c r="R391" s="230"/>
      <c r="S391" s="230"/>
      <c r="T391" s="230"/>
      <c r="U391" s="230"/>
      <c r="V391" s="230"/>
      <c r="W391" s="230"/>
      <c r="X391" s="230"/>
      <c r="Y391" s="230"/>
      <c r="Z391" s="230"/>
    </row>
    <row r="392" spans="1:26" ht="15.75" customHeight="1">
      <c r="A392" s="230"/>
      <c r="B392" s="230"/>
      <c r="C392" s="230"/>
      <c r="D392" s="230"/>
      <c r="E392" s="230"/>
      <c r="F392" s="230"/>
      <c r="G392" s="230"/>
      <c r="H392" s="230"/>
      <c r="I392" s="230"/>
      <c r="J392" s="230"/>
      <c r="K392" s="230"/>
      <c r="L392" s="230"/>
      <c r="M392" s="230"/>
      <c r="N392" s="230"/>
      <c r="O392" s="230"/>
      <c r="P392" s="230"/>
      <c r="Q392" s="230"/>
      <c r="R392" s="230"/>
      <c r="S392" s="230"/>
      <c r="T392" s="230"/>
      <c r="U392" s="230"/>
      <c r="V392" s="230"/>
      <c r="W392" s="230"/>
      <c r="X392" s="230"/>
      <c r="Y392" s="230"/>
      <c r="Z392" s="230"/>
    </row>
    <row r="393" spans="1:26" ht="15.75" customHeight="1">
      <c r="A393" s="230"/>
      <c r="B393" s="230"/>
      <c r="C393" s="230"/>
      <c r="D393" s="230"/>
      <c r="E393" s="230"/>
      <c r="F393" s="230"/>
      <c r="G393" s="230"/>
      <c r="H393" s="230"/>
      <c r="I393" s="230"/>
      <c r="J393" s="230"/>
      <c r="K393" s="230"/>
      <c r="L393" s="230"/>
      <c r="M393" s="230"/>
      <c r="N393" s="230"/>
      <c r="O393" s="230"/>
      <c r="P393" s="230"/>
      <c r="Q393" s="230"/>
      <c r="R393" s="230"/>
      <c r="S393" s="230"/>
      <c r="T393" s="230"/>
      <c r="U393" s="230"/>
      <c r="V393" s="230"/>
      <c r="W393" s="230"/>
      <c r="X393" s="230"/>
      <c r="Y393" s="230"/>
      <c r="Z393" s="230"/>
    </row>
    <row r="394" spans="1:26" ht="15.75" customHeight="1">
      <c r="A394" s="230"/>
      <c r="B394" s="230"/>
      <c r="C394" s="230"/>
      <c r="D394" s="230"/>
      <c r="E394" s="230"/>
      <c r="F394" s="230"/>
      <c r="G394" s="230"/>
      <c r="H394" s="230"/>
      <c r="I394" s="230"/>
      <c r="J394" s="230"/>
      <c r="K394" s="230"/>
      <c r="L394" s="230"/>
      <c r="M394" s="230"/>
      <c r="N394" s="230"/>
      <c r="O394" s="230"/>
      <c r="P394" s="230"/>
      <c r="Q394" s="230"/>
      <c r="R394" s="230"/>
      <c r="S394" s="230"/>
      <c r="T394" s="230"/>
      <c r="U394" s="230"/>
      <c r="V394" s="230"/>
      <c r="W394" s="230"/>
      <c r="X394" s="230"/>
      <c r="Y394" s="230"/>
      <c r="Z394" s="230"/>
    </row>
    <row r="395" spans="1:26" ht="15.75" customHeight="1">
      <c r="A395" s="230"/>
      <c r="B395" s="230"/>
      <c r="C395" s="230"/>
      <c r="D395" s="230"/>
      <c r="E395" s="230"/>
      <c r="F395" s="230"/>
      <c r="G395" s="230"/>
      <c r="H395" s="230"/>
      <c r="I395" s="230"/>
      <c r="J395" s="230"/>
      <c r="K395" s="230"/>
      <c r="L395" s="230"/>
      <c r="M395" s="230"/>
      <c r="N395" s="230"/>
      <c r="O395" s="230"/>
      <c r="P395" s="230"/>
      <c r="Q395" s="230"/>
      <c r="R395" s="230"/>
      <c r="S395" s="230"/>
      <c r="T395" s="230"/>
      <c r="U395" s="230"/>
      <c r="V395" s="230"/>
      <c r="W395" s="230"/>
      <c r="X395" s="230"/>
      <c r="Y395" s="230"/>
      <c r="Z395" s="230"/>
    </row>
    <row r="396" spans="1:26" ht="15.75" customHeight="1">
      <c r="A396" s="230"/>
      <c r="B396" s="230"/>
      <c r="C396" s="230"/>
      <c r="D396" s="230"/>
      <c r="E396" s="230"/>
      <c r="F396" s="230"/>
      <c r="G396" s="230"/>
      <c r="H396" s="230"/>
      <c r="I396" s="230"/>
      <c r="J396" s="230"/>
      <c r="K396" s="230"/>
      <c r="L396" s="230"/>
      <c r="M396" s="230"/>
      <c r="N396" s="230"/>
      <c r="O396" s="230"/>
      <c r="P396" s="230"/>
      <c r="Q396" s="230"/>
      <c r="R396" s="230"/>
      <c r="S396" s="230"/>
      <c r="T396" s="230"/>
      <c r="U396" s="230"/>
      <c r="V396" s="230"/>
      <c r="W396" s="230"/>
      <c r="X396" s="230"/>
      <c r="Y396" s="230"/>
      <c r="Z396" s="230"/>
    </row>
    <row r="397" spans="1:26" ht="15.75" customHeight="1">
      <c r="A397" s="230"/>
      <c r="B397" s="230"/>
      <c r="C397" s="230"/>
      <c r="D397" s="230"/>
      <c r="E397" s="230"/>
      <c r="F397" s="230"/>
      <c r="G397" s="230"/>
      <c r="H397" s="230"/>
      <c r="I397" s="230"/>
      <c r="J397" s="230"/>
      <c r="K397" s="230"/>
      <c r="L397" s="230"/>
      <c r="M397" s="230"/>
      <c r="N397" s="230"/>
      <c r="O397" s="230"/>
      <c r="P397" s="230"/>
      <c r="Q397" s="230"/>
      <c r="R397" s="230"/>
      <c r="S397" s="230"/>
      <c r="T397" s="230"/>
      <c r="U397" s="230"/>
      <c r="V397" s="230"/>
      <c r="W397" s="230"/>
      <c r="X397" s="230"/>
      <c r="Y397" s="230"/>
      <c r="Z397" s="230"/>
    </row>
    <row r="398" spans="1:26" ht="15.75" customHeight="1">
      <c r="A398" s="230"/>
      <c r="B398" s="230"/>
      <c r="C398" s="230"/>
      <c r="D398" s="230"/>
      <c r="E398" s="230"/>
      <c r="F398" s="230"/>
      <c r="G398" s="230"/>
      <c r="H398" s="230"/>
      <c r="I398" s="230"/>
      <c r="J398" s="230"/>
      <c r="K398" s="230"/>
      <c r="L398" s="230"/>
      <c r="M398" s="230"/>
      <c r="N398" s="230"/>
      <c r="O398" s="230"/>
      <c r="P398" s="230"/>
      <c r="Q398" s="230"/>
      <c r="R398" s="230"/>
      <c r="S398" s="230"/>
      <c r="T398" s="230"/>
      <c r="U398" s="230"/>
      <c r="V398" s="230"/>
      <c r="W398" s="230"/>
      <c r="X398" s="230"/>
      <c r="Y398" s="230"/>
      <c r="Z398" s="230"/>
    </row>
    <row r="399" spans="1:26" ht="15.75" customHeight="1">
      <c r="A399" s="230"/>
      <c r="B399" s="230"/>
      <c r="C399" s="230"/>
      <c r="D399" s="230"/>
      <c r="E399" s="230"/>
      <c r="F399" s="230"/>
      <c r="G399" s="230"/>
      <c r="H399" s="230"/>
      <c r="I399" s="230"/>
      <c r="J399" s="230"/>
      <c r="K399" s="230"/>
      <c r="L399" s="230"/>
      <c r="M399" s="230"/>
      <c r="N399" s="230"/>
      <c r="O399" s="230"/>
      <c r="P399" s="230"/>
      <c r="Q399" s="230"/>
      <c r="R399" s="230"/>
      <c r="S399" s="230"/>
      <c r="T399" s="230"/>
      <c r="U399" s="230"/>
      <c r="V399" s="230"/>
      <c r="W399" s="230"/>
      <c r="X399" s="230"/>
      <c r="Y399" s="230"/>
      <c r="Z399" s="230"/>
    </row>
    <row r="400" spans="1:26" ht="15.75" customHeight="1">
      <c r="A400" s="230"/>
      <c r="B400" s="230"/>
      <c r="C400" s="230"/>
      <c r="D400" s="230"/>
      <c r="E400" s="230"/>
      <c r="F400" s="230"/>
      <c r="G400" s="230"/>
      <c r="H400" s="230"/>
      <c r="I400" s="230"/>
      <c r="J400" s="230"/>
      <c r="K400" s="230"/>
      <c r="L400" s="230"/>
      <c r="M400" s="230"/>
      <c r="N400" s="230"/>
      <c r="O400" s="230"/>
      <c r="P400" s="230"/>
      <c r="Q400" s="230"/>
      <c r="R400" s="230"/>
      <c r="S400" s="230"/>
      <c r="T400" s="230"/>
      <c r="U400" s="230"/>
      <c r="V400" s="230"/>
      <c r="W400" s="230"/>
      <c r="X400" s="230"/>
      <c r="Y400" s="230"/>
      <c r="Z400" s="230"/>
    </row>
    <row r="401" spans="1:26" ht="15.75" customHeight="1">
      <c r="A401" s="230"/>
      <c r="B401" s="230"/>
      <c r="C401" s="230"/>
      <c r="D401" s="230"/>
      <c r="E401" s="230"/>
      <c r="F401" s="230"/>
      <c r="G401" s="230"/>
      <c r="H401" s="230"/>
      <c r="I401" s="230"/>
      <c r="J401" s="230"/>
      <c r="K401" s="230"/>
      <c r="L401" s="230"/>
      <c r="M401" s="230"/>
      <c r="N401" s="230"/>
      <c r="O401" s="230"/>
      <c r="P401" s="230"/>
      <c r="Q401" s="230"/>
      <c r="R401" s="230"/>
      <c r="S401" s="230"/>
      <c r="T401" s="230"/>
      <c r="U401" s="230"/>
      <c r="V401" s="230"/>
      <c r="W401" s="230"/>
      <c r="X401" s="230"/>
      <c r="Y401" s="230"/>
      <c r="Z401" s="230"/>
    </row>
    <row r="402" spans="1:26" ht="15.75" customHeight="1">
      <c r="A402" s="230"/>
      <c r="B402" s="230"/>
      <c r="C402" s="230"/>
      <c r="D402" s="230"/>
      <c r="E402" s="230"/>
      <c r="F402" s="230"/>
      <c r="G402" s="230"/>
      <c r="H402" s="230"/>
      <c r="I402" s="230"/>
      <c r="J402" s="230"/>
      <c r="K402" s="230"/>
      <c r="L402" s="230"/>
      <c r="M402" s="230"/>
      <c r="N402" s="230"/>
      <c r="O402" s="230"/>
      <c r="P402" s="230"/>
      <c r="Q402" s="230"/>
      <c r="R402" s="230"/>
      <c r="S402" s="230"/>
      <c r="T402" s="230"/>
      <c r="U402" s="230"/>
      <c r="V402" s="230"/>
      <c r="W402" s="230"/>
      <c r="X402" s="230"/>
      <c r="Y402" s="230"/>
      <c r="Z402" s="230"/>
    </row>
    <row r="403" spans="1:26" ht="15.75" customHeight="1">
      <c r="A403" s="230"/>
      <c r="B403" s="230"/>
      <c r="C403" s="230"/>
      <c r="D403" s="230"/>
      <c r="E403" s="230"/>
      <c r="F403" s="230"/>
      <c r="G403" s="230"/>
      <c r="H403" s="230"/>
      <c r="I403" s="230"/>
      <c r="J403" s="230"/>
      <c r="K403" s="230"/>
      <c r="L403" s="230"/>
      <c r="M403" s="230"/>
      <c r="N403" s="230"/>
      <c r="O403" s="230"/>
      <c r="P403" s="230"/>
      <c r="Q403" s="230"/>
      <c r="R403" s="230"/>
      <c r="S403" s="230"/>
      <c r="T403" s="230"/>
      <c r="U403" s="230"/>
      <c r="V403" s="230"/>
      <c r="W403" s="230"/>
      <c r="X403" s="230"/>
      <c r="Y403" s="230"/>
      <c r="Z403" s="230"/>
    </row>
    <row r="404" spans="1:26" ht="15.75" customHeight="1">
      <c r="A404" s="230"/>
      <c r="B404" s="230"/>
      <c r="C404" s="230"/>
      <c r="D404" s="230"/>
      <c r="E404" s="230"/>
      <c r="F404" s="230"/>
      <c r="G404" s="230"/>
      <c r="H404" s="230"/>
      <c r="I404" s="230"/>
      <c r="J404" s="230"/>
      <c r="K404" s="230"/>
      <c r="L404" s="230"/>
      <c r="M404" s="230"/>
      <c r="N404" s="230"/>
      <c r="O404" s="230"/>
      <c r="P404" s="230"/>
      <c r="Q404" s="230"/>
      <c r="R404" s="230"/>
      <c r="S404" s="230"/>
      <c r="T404" s="230"/>
      <c r="U404" s="230"/>
      <c r="V404" s="230"/>
      <c r="W404" s="230"/>
      <c r="X404" s="230"/>
      <c r="Y404" s="230"/>
      <c r="Z404" s="230"/>
    </row>
    <row r="405" spans="1:26" ht="15.75" customHeight="1">
      <c r="A405" s="230"/>
      <c r="B405" s="230"/>
      <c r="C405" s="230"/>
      <c r="D405" s="230"/>
      <c r="E405" s="230"/>
      <c r="F405" s="230"/>
      <c r="G405" s="230"/>
      <c r="H405" s="230"/>
      <c r="I405" s="230"/>
      <c r="J405" s="230"/>
      <c r="K405" s="230"/>
      <c r="L405" s="230"/>
      <c r="M405" s="230"/>
      <c r="N405" s="230"/>
      <c r="O405" s="230"/>
      <c r="P405" s="230"/>
      <c r="Q405" s="230"/>
      <c r="R405" s="230"/>
      <c r="S405" s="230"/>
      <c r="T405" s="230"/>
      <c r="U405" s="230"/>
      <c r="V405" s="230"/>
      <c r="W405" s="230"/>
      <c r="X405" s="230"/>
      <c r="Y405" s="230"/>
      <c r="Z405" s="230"/>
    </row>
    <row r="406" spans="1:26" ht="15.75" customHeight="1">
      <c r="A406" s="230"/>
      <c r="B406" s="230"/>
      <c r="C406" s="230"/>
      <c r="D406" s="230"/>
      <c r="E406" s="230"/>
      <c r="F406" s="230"/>
      <c r="G406" s="230"/>
      <c r="H406" s="230"/>
      <c r="I406" s="230"/>
      <c r="J406" s="230"/>
      <c r="K406" s="230"/>
      <c r="L406" s="230"/>
      <c r="M406" s="230"/>
      <c r="N406" s="230"/>
      <c r="O406" s="230"/>
      <c r="P406" s="230"/>
      <c r="Q406" s="230"/>
      <c r="R406" s="230"/>
      <c r="S406" s="230"/>
      <c r="T406" s="230"/>
      <c r="U406" s="230"/>
      <c r="V406" s="230"/>
      <c r="W406" s="230"/>
      <c r="X406" s="230"/>
      <c r="Y406" s="230"/>
      <c r="Z406" s="230"/>
    </row>
    <row r="407" spans="1:26" ht="15.75" customHeight="1">
      <c r="A407" s="230"/>
      <c r="B407" s="230"/>
      <c r="C407" s="230"/>
      <c r="D407" s="230"/>
      <c r="E407" s="230"/>
      <c r="F407" s="230"/>
      <c r="G407" s="230"/>
      <c r="H407" s="230"/>
      <c r="I407" s="230"/>
      <c r="J407" s="230"/>
      <c r="K407" s="230"/>
      <c r="L407" s="230"/>
      <c r="M407" s="230"/>
      <c r="N407" s="230"/>
      <c r="O407" s="230"/>
      <c r="P407" s="230"/>
      <c r="Q407" s="230"/>
      <c r="R407" s="230"/>
      <c r="S407" s="230"/>
      <c r="T407" s="230"/>
      <c r="U407" s="230"/>
      <c r="V407" s="230"/>
      <c r="W407" s="230"/>
      <c r="X407" s="230"/>
      <c r="Y407" s="230"/>
      <c r="Z407" s="230"/>
    </row>
    <row r="408" spans="1:26" ht="15.75" customHeight="1">
      <c r="A408" s="230"/>
      <c r="B408" s="230"/>
      <c r="C408" s="230"/>
      <c r="D408" s="230"/>
      <c r="E408" s="230"/>
      <c r="F408" s="230"/>
      <c r="G408" s="230"/>
      <c r="H408" s="230"/>
      <c r="I408" s="230"/>
      <c r="J408" s="230"/>
      <c r="K408" s="230"/>
      <c r="L408" s="230"/>
      <c r="M408" s="230"/>
      <c r="N408" s="230"/>
      <c r="O408" s="230"/>
      <c r="P408" s="230"/>
      <c r="Q408" s="230"/>
      <c r="R408" s="230"/>
      <c r="S408" s="230"/>
      <c r="T408" s="230"/>
      <c r="U408" s="230"/>
      <c r="V408" s="230"/>
      <c r="W408" s="230"/>
      <c r="X408" s="230"/>
      <c r="Y408" s="230"/>
      <c r="Z408" s="230"/>
    </row>
    <row r="409" spans="1:26" ht="15.75" customHeight="1">
      <c r="A409" s="230"/>
      <c r="B409" s="230"/>
      <c r="C409" s="230"/>
      <c r="D409" s="230"/>
      <c r="E409" s="230"/>
      <c r="F409" s="230"/>
      <c r="G409" s="230"/>
      <c r="H409" s="230"/>
      <c r="I409" s="230"/>
      <c r="J409" s="230"/>
      <c r="K409" s="230"/>
      <c r="L409" s="230"/>
      <c r="M409" s="230"/>
      <c r="N409" s="230"/>
      <c r="O409" s="230"/>
      <c r="P409" s="230"/>
      <c r="Q409" s="230"/>
      <c r="R409" s="230"/>
      <c r="S409" s="230"/>
      <c r="T409" s="230"/>
      <c r="U409" s="230"/>
      <c r="V409" s="230"/>
      <c r="W409" s="230"/>
      <c r="X409" s="230"/>
      <c r="Y409" s="230"/>
      <c r="Z409" s="230"/>
    </row>
    <row r="410" spans="1:26" ht="15.75" customHeight="1">
      <c r="A410" s="230"/>
      <c r="B410" s="230"/>
      <c r="C410" s="230"/>
      <c r="D410" s="230"/>
      <c r="E410" s="230"/>
      <c r="F410" s="230"/>
      <c r="G410" s="230"/>
      <c r="H410" s="230"/>
      <c r="I410" s="230"/>
      <c r="J410" s="230"/>
      <c r="K410" s="230"/>
      <c r="L410" s="230"/>
      <c r="M410" s="230"/>
      <c r="N410" s="230"/>
      <c r="O410" s="230"/>
      <c r="P410" s="230"/>
      <c r="Q410" s="230"/>
      <c r="R410" s="230"/>
      <c r="S410" s="230"/>
      <c r="T410" s="230"/>
      <c r="U410" s="230"/>
      <c r="V410" s="230"/>
      <c r="W410" s="230"/>
      <c r="X410" s="230"/>
      <c r="Y410" s="230"/>
      <c r="Z410" s="230"/>
    </row>
    <row r="411" spans="1:26" ht="15.75" customHeight="1">
      <c r="A411" s="230"/>
      <c r="B411" s="230"/>
      <c r="C411" s="230"/>
      <c r="D411" s="230"/>
      <c r="E411" s="230"/>
      <c r="F411" s="230"/>
      <c r="G411" s="230"/>
      <c r="H411" s="230"/>
      <c r="I411" s="230"/>
      <c r="J411" s="230"/>
      <c r="K411" s="230"/>
      <c r="L411" s="230"/>
      <c r="M411" s="230"/>
      <c r="N411" s="230"/>
      <c r="O411" s="230"/>
      <c r="P411" s="230"/>
      <c r="Q411" s="230"/>
      <c r="R411" s="230"/>
      <c r="S411" s="230"/>
      <c r="T411" s="230"/>
      <c r="U411" s="230"/>
      <c r="V411" s="230"/>
      <c r="W411" s="230"/>
      <c r="X411" s="230"/>
      <c r="Y411" s="230"/>
      <c r="Z411" s="230"/>
    </row>
    <row r="412" spans="1:26" ht="15.75" customHeight="1">
      <c r="A412" s="230"/>
      <c r="B412" s="230"/>
      <c r="C412" s="230"/>
      <c r="D412" s="230"/>
      <c r="E412" s="230"/>
      <c r="F412" s="230"/>
      <c r="G412" s="230"/>
      <c r="H412" s="230"/>
      <c r="I412" s="230"/>
      <c r="J412" s="230"/>
      <c r="K412" s="230"/>
      <c r="L412" s="230"/>
      <c r="M412" s="230"/>
      <c r="N412" s="230"/>
      <c r="O412" s="230"/>
      <c r="P412" s="230"/>
      <c r="Q412" s="230"/>
      <c r="R412" s="230"/>
      <c r="S412" s="230"/>
      <c r="T412" s="230"/>
      <c r="U412" s="230"/>
      <c r="V412" s="230"/>
      <c r="W412" s="230"/>
      <c r="X412" s="230"/>
      <c r="Y412" s="230"/>
      <c r="Z412" s="230"/>
    </row>
    <row r="413" spans="1:26" ht="15.75" customHeight="1">
      <c r="A413" s="230"/>
      <c r="B413" s="230"/>
      <c r="C413" s="230"/>
      <c r="D413" s="230"/>
      <c r="E413" s="230"/>
      <c r="F413" s="230"/>
      <c r="G413" s="230"/>
      <c r="H413" s="230"/>
      <c r="I413" s="230"/>
      <c r="J413" s="230"/>
      <c r="K413" s="230"/>
      <c r="L413" s="230"/>
      <c r="M413" s="230"/>
      <c r="N413" s="230"/>
      <c r="O413" s="230"/>
      <c r="P413" s="230"/>
      <c r="Q413" s="230"/>
      <c r="R413" s="230"/>
      <c r="S413" s="230"/>
      <c r="T413" s="230"/>
      <c r="U413" s="230"/>
      <c r="V413" s="230"/>
      <c r="W413" s="230"/>
      <c r="X413" s="230"/>
      <c r="Y413" s="230"/>
      <c r="Z413" s="230"/>
    </row>
    <row r="414" spans="1:26" ht="15.75" customHeight="1">
      <c r="A414" s="230"/>
      <c r="B414" s="230"/>
      <c r="C414" s="230"/>
      <c r="D414" s="230"/>
      <c r="E414" s="230"/>
      <c r="F414" s="230"/>
      <c r="G414" s="230"/>
      <c r="H414" s="230"/>
      <c r="I414" s="230"/>
      <c r="J414" s="230"/>
      <c r="K414" s="230"/>
      <c r="L414" s="230"/>
      <c r="M414" s="230"/>
      <c r="N414" s="230"/>
      <c r="O414" s="230"/>
      <c r="P414" s="230"/>
      <c r="Q414" s="230"/>
      <c r="R414" s="230"/>
      <c r="S414" s="230"/>
      <c r="T414" s="230"/>
      <c r="U414" s="230"/>
      <c r="V414" s="230"/>
      <c r="W414" s="230"/>
      <c r="X414" s="230"/>
      <c r="Y414" s="230"/>
      <c r="Z414" s="230"/>
    </row>
    <row r="415" spans="1:26" ht="15.75" customHeight="1">
      <c r="A415" s="230"/>
      <c r="B415" s="230"/>
      <c r="C415" s="230"/>
      <c r="D415" s="230"/>
      <c r="E415" s="230"/>
      <c r="F415" s="230"/>
      <c r="G415" s="230"/>
      <c r="H415" s="230"/>
      <c r="I415" s="230"/>
      <c r="J415" s="230"/>
      <c r="K415" s="230"/>
      <c r="L415" s="230"/>
      <c r="M415" s="230"/>
      <c r="N415" s="230"/>
      <c r="O415" s="230"/>
      <c r="P415" s="230"/>
      <c r="Q415" s="230"/>
      <c r="R415" s="230"/>
      <c r="S415" s="230"/>
      <c r="T415" s="230"/>
      <c r="U415" s="230"/>
      <c r="V415" s="230"/>
      <c r="W415" s="230"/>
      <c r="X415" s="230"/>
      <c r="Y415" s="230"/>
      <c r="Z415" s="230"/>
    </row>
    <row r="416" spans="1:26" ht="15.75" customHeight="1">
      <c r="A416" s="230"/>
      <c r="B416" s="230"/>
      <c r="C416" s="230"/>
      <c r="D416" s="230"/>
      <c r="E416" s="230"/>
      <c r="F416" s="230"/>
      <c r="G416" s="230"/>
      <c r="H416" s="230"/>
      <c r="I416" s="230"/>
      <c r="J416" s="230"/>
      <c r="K416" s="230"/>
      <c r="L416" s="230"/>
      <c r="M416" s="230"/>
      <c r="N416" s="230"/>
      <c r="O416" s="230"/>
      <c r="P416" s="230"/>
      <c r="Q416" s="230"/>
      <c r="R416" s="230"/>
      <c r="S416" s="230"/>
      <c r="T416" s="230"/>
      <c r="U416" s="230"/>
      <c r="V416" s="230"/>
      <c r="W416" s="230"/>
      <c r="X416" s="230"/>
      <c r="Y416" s="230"/>
      <c r="Z416" s="230"/>
    </row>
    <row r="417" spans="1:26" ht="15.75" customHeight="1">
      <c r="A417" s="230"/>
      <c r="B417" s="230"/>
      <c r="C417" s="230"/>
      <c r="D417" s="230"/>
      <c r="E417" s="230"/>
      <c r="F417" s="230"/>
      <c r="G417" s="230"/>
      <c r="H417" s="230"/>
      <c r="I417" s="230"/>
      <c r="J417" s="230"/>
      <c r="K417" s="230"/>
      <c r="L417" s="230"/>
      <c r="M417" s="230"/>
      <c r="N417" s="230"/>
      <c r="O417" s="230"/>
      <c r="P417" s="230"/>
      <c r="Q417" s="230"/>
      <c r="R417" s="230"/>
      <c r="S417" s="230"/>
      <c r="T417" s="230"/>
      <c r="U417" s="230"/>
      <c r="V417" s="230"/>
      <c r="W417" s="230"/>
      <c r="X417" s="230"/>
      <c r="Y417" s="230"/>
      <c r="Z417" s="230"/>
    </row>
    <row r="418" spans="1:26" ht="15.75" customHeight="1">
      <c r="A418" s="230"/>
      <c r="B418" s="230"/>
      <c r="C418" s="230"/>
      <c r="D418" s="230"/>
      <c r="E418" s="230"/>
      <c r="F418" s="230"/>
      <c r="G418" s="230"/>
      <c r="H418" s="230"/>
      <c r="I418" s="230"/>
      <c r="J418" s="230"/>
      <c r="K418" s="230"/>
      <c r="L418" s="230"/>
      <c r="M418" s="230"/>
      <c r="N418" s="230"/>
      <c r="O418" s="230"/>
      <c r="P418" s="230"/>
      <c r="Q418" s="230"/>
      <c r="R418" s="230"/>
      <c r="S418" s="230"/>
      <c r="T418" s="230"/>
      <c r="U418" s="230"/>
      <c r="V418" s="230"/>
      <c r="W418" s="230"/>
      <c r="X418" s="230"/>
      <c r="Y418" s="230"/>
      <c r="Z418" s="230"/>
    </row>
    <row r="419" spans="1:26" ht="15.75" customHeight="1">
      <c r="A419" s="230"/>
      <c r="B419" s="230"/>
      <c r="C419" s="230"/>
      <c r="D419" s="230"/>
      <c r="E419" s="230"/>
      <c r="F419" s="230"/>
      <c r="G419" s="230"/>
      <c r="H419" s="230"/>
      <c r="I419" s="230"/>
      <c r="J419" s="230"/>
      <c r="K419" s="230"/>
      <c r="L419" s="230"/>
      <c r="M419" s="230"/>
      <c r="N419" s="230"/>
      <c r="O419" s="230"/>
      <c r="P419" s="230"/>
      <c r="Q419" s="230"/>
      <c r="R419" s="230"/>
      <c r="S419" s="230"/>
      <c r="T419" s="230"/>
      <c r="U419" s="230"/>
      <c r="V419" s="230"/>
      <c r="W419" s="230"/>
      <c r="X419" s="230"/>
      <c r="Y419" s="230"/>
      <c r="Z419" s="230"/>
    </row>
    <row r="420" spans="1:26" ht="15.75" customHeight="1">
      <c r="A420" s="230"/>
      <c r="B420" s="230"/>
      <c r="C420" s="230"/>
      <c r="D420" s="230"/>
      <c r="E420" s="230"/>
      <c r="F420" s="230"/>
      <c r="G420" s="230"/>
      <c r="H420" s="230"/>
      <c r="I420" s="230"/>
      <c r="J420" s="230"/>
      <c r="K420" s="230"/>
      <c r="L420" s="230"/>
      <c r="M420" s="230"/>
      <c r="N420" s="230"/>
      <c r="O420" s="230"/>
      <c r="P420" s="230"/>
      <c r="Q420" s="230"/>
      <c r="R420" s="230"/>
      <c r="S420" s="230"/>
      <c r="T420" s="230"/>
      <c r="U420" s="230"/>
      <c r="V420" s="230"/>
      <c r="W420" s="230"/>
      <c r="X420" s="230"/>
      <c r="Y420" s="230"/>
      <c r="Z420" s="230"/>
    </row>
    <row r="421" spans="1:26" ht="15.75" customHeight="1">
      <c r="A421" s="230"/>
      <c r="B421" s="230"/>
      <c r="C421" s="230"/>
      <c r="D421" s="230"/>
      <c r="E421" s="230"/>
      <c r="F421" s="230"/>
      <c r="G421" s="230"/>
      <c r="H421" s="230"/>
      <c r="I421" s="230"/>
      <c r="J421" s="230"/>
      <c r="K421" s="230"/>
      <c r="L421" s="230"/>
      <c r="M421" s="230"/>
      <c r="N421" s="230"/>
      <c r="O421" s="230"/>
      <c r="P421" s="230"/>
      <c r="Q421" s="230"/>
      <c r="R421" s="230"/>
      <c r="S421" s="230"/>
      <c r="T421" s="230"/>
      <c r="U421" s="230"/>
      <c r="V421" s="230"/>
      <c r="W421" s="230"/>
      <c r="X421" s="230"/>
      <c r="Y421" s="230"/>
      <c r="Z421" s="230"/>
    </row>
    <row r="422" spans="1:26" ht="15.75" customHeight="1">
      <c r="A422" s="230"/>
      <c r="B422" s="230"/>
      <c r="C422" s="230"/>
      <c r="D422" s="230"/>
      <c r="E422" s="230"/>
      <c r="F422" s="230"/>
      <c r="G422" s="230"/>
      <c r="H422" s="230"/>
      <c r="I422" s="230"/>
      <c r="J422" s="230"/>
      <c r="K422" s="230"/>
      <c r="L422" s="230"/>
      <c r="M422" s="230"/>
      <c r="N422" s="230"/>
      <c r="O422" s="230"/>
      <c r="P422" s="230"/>
      <c r="Q422" s="230"/>
      <c r="R422" s="230"/>
      <c r="S422" s="230"/>
      <c r="T422" s="230"/>
      <c r="U422" s="230"/>
      <c r="V422" s="230"/>
      <c r="W422" s="230"/>
      <c r="X422" s="230"/>
      <c r="Y422" s="230"/>
      <c r="Z422" s="230"/>
    </row>
    <row r="423" spans="1:26" ht="15.75" customHeight="1">
      <c r="A423" s="230"/>
      <c r="B423" s="230"/>
      <c r="C423" s="230"/>
      <c r="D423" s="230"/>
      <c r="E423" s="230"/>
      <c r="F423" s="230"/>
      <c r="G423" s="230"/>
      <c r="H423" s="230"/>
      <c r="I423" s="230"/>
      <c r="J423" s="230"/>
      <c r="K423" s="230"/>
      <c r="L423" s="230"/>
      <c r="M423" s="230"/>
      <c r="N423" s="230"/>
      <c r="O423" s="230"/>
      <c r="P423" s="230"/>
      <c r="Q423" s="230"/>
      <c r="R423" s="230"/>
      <c r="S423" s="230"/>
      <c r="T423" s="230"/>
      <c r="U423" s="230"/>
      <c r="V423" s="230"/>
      <c r="W423" s="230"/>
      <c r="X423" s="230"/>
      <c r="Y423" s="230"/>
      <c r="Z423" s="230"/>
    </row>
    <row r="424" spans="1:26" ht="15.75" customHeight="1">
      <c r="A424" s="230"/>
      <c r="B424" s="230"/>
      <c r="C424" s="230"/>
      <c r="D424" s="230"/>
      <c r="E424" s="230"/>
      <c r="F424" s="230"/>
      <c r="G424" s="230"/>
      <c r="H424" s="230"/>
      <c r="I424" s="230"/>
      <c r="J424" s="230"/>
      <c r="K424" s="230"/>
      <c r="L424" s="230"/>
      <c r="M424" s="230"/>
      <c r="N424" s="230"/>
      <c r="O424" s="230"/>
      <c r="P424" s="230"/>
      <c r="Q424" s="230"/>
      <c r="R424" s="230"/>
      <c r="S424" s="230"/>
      <c r="T424" s="230"/>
      <c r="U424" s="230"/>
      <c r="V424" s="230"/>
      <c r="W424" s="230"/>
      <c r="X424" s="230"/>
      <c r="Y424" s="230"/>
      <c r="Z424" s="230"/>
    </row>
    <row r="425" spans="1:26" ht="15.75" customHeight="1">
      <c r="A425" s="230"/>
      <c r="B425" s="230"/>
      <c r="C425" s="230"/>
      <c r="D425" s="230"/>
      <c r="E425" s="230"/>
      <c r="F425" s="230"/>
      <c r="G425" s="230"/>
      <c r="H425" s="230"/>
      <c r="I425" s="230"/>
      <c r="J425" s="230"/>
      <c r="K425" s="230"/>
      <c r="L425" s="230"/>
      <c r="M425" s="230"/>
      <c r="N425" s="230"/>
      <c r="O425" s="230"/>
      <c r="P425" s="230"/>
      <c r="Q425" s="230"/>
      <c r="R425" s="230"/>
      <c r="S425" s="230"/>
      <c r="T425" s="230"/>
      <c r="U425" s="230"/>
      <c r="V425" s="230"/>
      <c r="W425" s="230"/>
      <c r="X425" s="230"/>
      <c r="Y425" s="230"/>
      <c r="Z425" s="230"/>
    </row>
    <row r="426" spans="1:26" ht="15.75" customHeight="1">
      <c r="A426" s="230"/>
      <c r="B426" s="230"/>
      <c r="C426" s="230"/>
      <c r="D426" s="230"/>
      <c r="E426" s="230"/>
      <c r="F426" s="230"/>
      <c r="G426" s="230"/>
      <c r="H426" s="230"/>
      <c r="I426" s="230"/>
      <c r="J426" s="230"/>
      <c r="K426" s="230"/>
      <c r="L426" s="230"/>
      <c r="M426" s="230"/>
      <c r="N426" s="230"/>
      <c r="O426" s="230"/>
      <c r="P426" s="230"/>
      <c r="Q426" s="230"/>
      <c r="R426" s="230"/>
      <c r="S426" s="230"/>
      <c r="T426" s="230"/>
      <c r="U426" s="230"/>
      <c r="V426" s="230"/>
      <c r="W426" s="230"/>
      <c r="X426" s="230"/>
      <c r="Y426" s="230"/>
      <c r="Z426" s="230"/>
    </row>
    <row r="427" spans="1:26" ht="15.75" customHeight="1">
      <c r="A427" s="230"/>
      <c r="B427" s="230"/>
      <c r="C427" s="230"/>
      <c r="D427" s="230"/>
      <c r="E427" s="230"/>
      <c r="F427" s="230"/>
      <c r="G427" s="230"/>
      <c r="H427" s="230"/>
      <c r="I427" s="230"/>
      <c r="J427" s="230"/>
      <c r="K427" s="230"/>
      <c r="L427" s="230"/>
      <c r="M427" s="230"/>
      <c r="N427" s="230"/>
      <c r="O427" s="230"/>
      <c r="P427" s="230"/>
      <c r="Q427" s="230"/>
      <c r="R427" s="230"/>
      <c r="S427" s="230"/>
      <c r="T427" s="230"/>
      <c r="U427" s="230"/>
      <c r="V427" s="230"/>
      <c r="W427" s="230"/>
      <c r="X427" s="230"/>
      <c r="Y427" s="230"/>
      <c r="Z427" s="230"/>
    </row>
    <row r="428" spans="1:26" ht="15.75" customHeight="1">
      <c r="A428" s="230"/>
      <c r="B428" s="230"/>
      <c r="C428" s="230"/>
      <c r="D428" s="230"/>
      <c r="E428" s="230"/>
      <c r="F428" s="230"/>
      <c r="G428" s="230"/>
      <c r="H428" s="230"/>
      <c r="I428" s="230"/>
      <c r="J428" s="230"/>
      <c r="K428" s="230"/>
      <c r="L428" s="230"/>
      <c r="M428" s="230"/>
      <c r="N428" s="230"/>
      <c r="O428" s="230"/>
      <c r="P428" s="230"/>
      <c r="Q428" s="230"/>
      <c r="R428" s="230"/>
      <c r="S428" s="230"/>
      <c r="T428" s="230"/>
      <c r="U428" s="230"/>
      <c r="V428" s="230"/>
      <c r="W428" s="230"/>
      <c r="X428" s="230"/>
      <c r="Y428" s="230"/>
      <c r="Z428" s="230"/>
    </row>
    <row r="429" spans="1:26" ht="15.75" customHeight="1">
      <c r="A429" s="230"/>
      <c r="B429" s="230"/>
      <c r="C429" s="230"/>
      <c r="D429" s="230"/>
      <c r="E429" s="230"/>
      <c r="F429" s="230"/>
      <c r="G429" s="230"/>
      <c r="H429" s="230"/>
      <c r="I429" s="230"/>
      <c r="J429" s="230"/>
      <c r="K429" s="230"/>
      <c r="L429" s="230"/>
      <c r="M429" s="230"/>
      <c r="N429" s="230"/>
      <c r="O429" s="230"/>
      <c r="P429" s="230"/>
      <c r="Q429" s="230"/>
      <c r="R429" s="230"/>
      <c r="S429" s="230"/>
      <c r="T429" s="230"/>
      <c r="U429" s="230"/>
      <c r="V429" s="230"/>
      <c r="W429" s="230"/>
      <c r="X429" s="230"/>
      <c r="Y429" s="230"/>
      <c r="Z429" s="230"/>
    </row>
    <row r="430" spans="1:26" ht="15.75" customHeight="1">
      <c r="A430" s="230"/>
      <c r="B430" s="230"/>
      <c r="C430" s="230"/>
      <c r="D430" s="230"/>
      <c r="E430" s="230"/>
      <c r="F430" s="230"/>
      <c r="G430" s="230"/>
      <c r="H430" s="230"/>
      <c r="I430" s="230"/>
      <c r="J430" s="230"/>
      <c r="K430" s="230"/>
      <c r="L430" s="230"/>
      <c r="M430" s="230"/>
      <c r="N430" s="230"/>
      <c r="O430" s="230"/>
      <c r="P430" s="230"/>
      <c r="Q430" s="230"/>
      <c r="R430" s="230"/>
      <c r="S430" s="230"/>
      <c r="T430" s="230"/>
      <c r="U430" s="230"/>
      <c r="V430" s="230"/>
      <c r="W430" s="230"/>
      <c r="X430" s="230"/>
      <c r="Y430" s="230"/>
      <c r="Z430" s="230"/>
    </row>
    <row r="431" spans="1:26" ht="15.75" customHeight="1">
      <c r="A431" s="230"/>
      <c r="B431" s="230"/>
      <c r="C431" s="230"/>
      <c r="D431" s="230"/>
      <c r="E431" s="230"/>
      <c r="F431" s="230"/>
      <c r="G431" s="230"/>
      <c r="H431" s="230"/>
      <c r="I431" s="230"/>
      <c r="J431" s="230"/>
      <c r="K431" s="230"/>
      <c r="L431" s="230"/>
      <c r="M431" s="230"/>
      <c r="N431" s="230"/>
      <c r="O431" s="230"/>
      <c r="P431" s="230"/>
      <c r="Q431" s="230"/>
      <c r="R431" s="230"/>
      <c r="S431" s="230"/>
      <c r="T431" s="230"/>
      <c r="U431" s="230"/>
      <c r="V431" s="230"/>
      <c r="W431" s="230"/>
      <c r="X431" s="230"/>
      <c r="Y431" s="230"/>
      <c r="Z431" s="230"/>
    </row>
    <row r="432" spans="1:26" ht="15.75" customHeight="1">
      <c r="A432" s="230"/>
      <c r="B432" s="230"/>
      <c r="C432" s="230"/>
      <c r="D432" s="230"/>
      <c r="E432" s="230"/>
      <c r="F432" s="230"/>
      <c r="G432" s="230"/>
      <c r="H432" s="230"/>
      <c r="I432" s="230"/>
      <c r="J432" s="230"/>
      <c r="K432" s="230"/>
      <c r="L432" s="230"/>
      <c r="M432" s="230"/>
      <c r="N432" s="230"/>
      <c r="O432" s="230"/>
      <c r="P432" s="230"/>
      <c r="Q432" s="230"/>
      <c r="R432" s="230"/>
      <c r="S432" s="230"/>
      <c r="T432" s="230"/>
      <c r="U432" s="230"/>
      <c r="V432" s="230"/>
      <c r="W432" s="230"/>
      <c r="X432" s="230"/>
      <c r="Y432" s="230"/>
      <c r="Z432" s="230"/>
    </row>
    <row r="433" spans="1:26" ht="15.75" customHeight="1">
      <c r="A433" s="230"/>
      <c r="B433" s="230"/>
      <c r="C433" s="230"/>
      <c r="D433" s="230"/>
      <c r="E433" s="230"/>
      <c r="F433" s="230"/>
      <c r="G433" s="230"/>
      <c r="H433" s="230"/>
      <c r="I433" s="230"/>
      <c r="J433" s="230"/>
      <c r="K433" s="230"/>
      <c r="L433" s="230"/>
      <c r="M433" s="230"/>
      <c r="N433" s="230"/>
      <c r="O433" s="230"/>
      <c r="P433" s="230"/>
      <c r="Q433" s="230"/>
      <c r="R433" s="230"/>
      <c r="S433" s="230"/>
      <c r="T433" s="230"/>
      <c r="U433" s="230"/>
      <c r="V433" s="230"/>
      <c r="W433" s="230"/>
      <c r="X433" s="230"/>
      <c r="Y433" s="230"/>
      <c r="Z433" s="230"/>
    </row>
    <row r="434" spans="1:26" ht="15.75" customHeight="1">
      <c r="A434" s="230"/>
      <c r="B434" s="230"/>
      <c r="C434" s="230"/>
      <c r="D434" s="230"/>
      <c r="E434" s="230"/>
      <c r="F434" s="230"/>
      <c r="G434" s="230"/>
      <c r="H434" s="230"/>
      <c r="I434" s="230"/>
      <c r="J434" s="230"/>
      <c r="K434" s="230"/>
      <c r="L434" s="230"/>
      <c r="M434" s="230"/>
      <c r="N434" s="230"/>
      <c r="O434" s="230"/>
      <c r="P434" s="230"/>
      <c r="Q434" s="230"/>
      <c r="R434" s="230"/>
      <c r="S434" s="230"/>
      <c r="T434" s="230"/>
      <c r="U434" s="230"/>
      <c r="V434" s="230"/>
      <c r="W434" s="230"/>
      <c r="X434" s="230"/>
      <c r="Y434" s="230"/>
      <c r="Z434" s="230"/>
    </row>
    <row r="435" spans="1:26" ht="15.75" customHeight="1">
      <c r="A435" s="230"/>
      <c r="B435" s="230"/>
      <c r="C435" s="230"/>
      <c r="D435" s="230"/>
      <c r="E435" s="230"/>
      <c r="F435" s="230"/>
      <c r="G435" s="230"/>
      <c r="H435" s="230"/>
      <c r="I435" s="230"/>
      <c r="J435" s="230"/>
      <c r="K435" s="230"/>
      <c r="L435" s="230"/>
      <c r="M435" s="230"/>
      <c r="N435" s="230"/>
      <c r="O435" s="230"/>
      <c r="P435" s="230"/>
      <c r="Q435" s="230"/>
      <c r="R435" s="230"/>
      <c r="S435" s="230"/>
      <c r="T435" s="230"/>
      <c r="U435" s="230"/>
      <c r="V435" s="230"/>
      <c r="W435" s="230"/>
      <c r="X435" s="230"/>
      <c r="Y435" s="230"/>
      <c r="Z435" s="230"/>
    </row>
    <row r="436" spans="1:26" ht="15.75" customHeight="1">
      <c r="A436" s="230"/>
      <c r="B436" s="230"/>
      <c r="C436" s="230"/>
      <c r="D436" s="230"/>
      <c r="E436" s="230"/>
      <c r="F436" s="230"/>
      <c r="G436" s="230"/>
      <c r="H436" s="230"/>
      <c r="I436" s="230"/>
      <c r="J436" s="230"/>
      <c r="K436" s="230"/>
      <c r="L436" s="230"/>
      <c r="M436" s="230"/>
      <c r="N436" s="230"/>
      <c r="O436" s="230"/>
      <c r="P436" s="230"/>
      <c r="Q436" s="230"/>
      <c r="R436" s="230"/>
      <c r="S436" s="230"/>
      <c r="T436" s="230"/>
      <c r="U436" s="230"/>
      <c r="V436" s="230"/>
      <c r="W436" s="230"/>
      <c r="X436" s="230"/>
      <c r="Y436" s="230"/>
      <c r="Z436" s="230"/>
    </row>
    <row r="437" spans="1:26" ht="15.75" customHeight="1">
      <c r="A437" s="230"/>
      <c r="B437" s="230"/>
      <c r="C437" s="230"/>
      <c r="D437" s="230"/>
      <c r="E437" s="230"/>
      <c r="F437" s="230"/>
      <c r="G437" s="230"/>
      <c r="H437" s="230"/>
      <c r="I437" s="230"/>
      <c r="J437" s="230"/>
      <c r="K437" s="230"/>
      <c r="L437" s="230"/>
      <c r="M437" s="230"/>
      <c r="N437" s="230"/>
      <c r="O437" s="230"/>
      <c r="P437" s="230"/>
      <c r="Q437" s="230"/>
      <c r="R437" s="230"/>
      <c r="S437" s="230"/>
      <c r="T437" s="230"/>
      <c r="U437" s="230"/>
      <c r="V437" s="230"/>
      <c r="W437" s="230"/>
      <c r="X437" s="230"/>
      <c r="Y437" s="230"/>
      <c r="Z437" s="230"/>
    </row>
    <row r="438" spans="1:26" ht="15.75" customHeight="1">
      <c r="A438" s="230"/>
      <c r="B438" s="230"/>
      <c r="C438" s="230"/>
      <c r="D438" s="230"/>
      <c r="E438" s="230"/>
      <c r="F438" s="230"/>
      <c r="G438" s="230"/>
      <c r="H438" s="230"/>
      <c r="I438" s="230"/>
      <c r="J438" s="230"/>
      <c r="K438" s="230"/>
      <c r="L438" s="230"/>
      <c r="M438" s="230"/>
      <c r="N438" s="230"/>
      <c r="O438" s="230"/>
      <c r="P438" s="230"/>
      <c r="Q438" s="230"/>
      <c r="R438" s="230"/>
      <c r="S438" s="230"/>
      <c r="T438" s="230"/>
      <c r="U438" s="230"/>
      <c r="V438" s="230"/>
      <c r="W438" s="230"/>
      <c r="X438" s="230"/>
      <c r="Y438" s="230"/>
      <c r="Z438" s="230"/>
    </row>
    <row r="439" spans="1:26" ht="15.75" customHeight="1">
      <c r="A439" s="230"/>
      <c r="B439" s="230"/>
      <c r="C439" s="230"/>
      <c r="D439" s="230"/>
      <c r="E439" s="230"/>
      <c r="F439" s="230"/>
      <c r="G439" s="230"/>
      <c r="H439" s="230"/>
      <c r="I439" s="230"/>
      <c r="J439" s="230"/>
      <c r="K439" s="230"/>
      <c r="L439" s="230"/>
      <c r="M439" s="230"/>
      <c r="N439" s="230"/>
      <c r="O439" s="230"/>
      <c r="P439" s="230"/>
      <c r="Q439" s="230"/>
      <c r="R439" s="230"/>
      <c r="S439" s="230"/>
      <c r="T439" s="230"/>
      <c r="U439" s="230"/>
      <c r="V439" s="230"/>
      <c r="W439" s="230"/>
      <c r="X439" s="230"/>
      <c r="Y439" s="230"/>
      <c r="Z439" s="230"/>
    </row>
    <row r="440" spans="1:26" ht="15.75" customHeight="1">
      <c r="A440" s="230"/>
      <c r="B440" s="230"/>
      <c r="C440" s="230"/>
      <c r="D440" s="230"/>
      <c r="E440" s="230"/>
      <c r="F440" s="230"/>
      <c r="G440" s="230"/>
      <c r="H440" s="230"/>
      <c r="I440" s="230"/>
      <c r="J440" s="230"/>
      <c r="K440" s="230"/>
      <c r="L440" s="230"/>
      <c r="M440" s="230"/>
      <c r="N440" s="230"/>
      <c r="O440" s="230"/>
      <c r="P440" s="230"/>
      <c r="Q440" s="230"/>
      <c r="R440" s="230"/>
      <c r="S440" s="230"/>
      <c r="T440" s="230"/>
      <c r="U440" s="230"/>
      <c r="V440" s="230"/>
      <c r="W440" s="230"/>
      <c r="X440" s="230"/>
      <c r="Y440" s="230"/>
      <c r="Z440" s="230"/>
    </row>
    <row r="441" spans="1:26" ht="15.75" customHeight="1">
      <c r="A441" s="230"/>
      <c r="B441" s="230"/>
      <c r="C441" s="230"/>
      <c r="D441" s="230"/>
      <c r="E441" s="230"/>
      <c r="F441" s="230"/>
      <c r="G441" s="230"/>
      <c r="H441" s="230"/>
      <c r="I441" s="230"/>
      <c r="J441" s="230"/>
      <c r="K441" s="230"/>
      <c r="L441" s="230"/>
      <c r="M441" s="230"/>
      <c r="N441" s="230"/>
      <c r="O441" s="230"/>
      <c r="P441" s="230"/>
      <c r="Q441" s="230"/>
      <c r="R441" s="230"/>
      <c r="S441" s="230"/>
      <c r="T441" s="230"/>
      <c r="U441" s="230"/>
      <c r="V441" s="230"/>
      <c r="W441" s="230"/>
      <c r="X441" s="230"/>
      <c r="Y441" s="230"/>
      <c r="Z441" s="230"/>
    </row>
    <row r="442" spans="1:26" ht="15.75" customHeight="1">
      <c r="A442" s="230"/>
      <c r="B442" s="230"/>
      <c r="C442" s="230"/>
      <c r="D442" s="230"/>
      <c r="E442" s="230"/>
      <c r="F442" s="230"/>
      <c r="G442" s="230"/>
      <c r="H442" s="230"/>
      <c r="I442" s="230"/>
      <c r="J442" s="230"/>
      <c r="K442" s="230"/>
      <c r="L442" s="230"/>
      <c r="M442" s="230"/>
      <c r="N442" s="230"/>
      <c r="O442" s="230"/>
      <c r="P442" s="230"/>
      <c r="Q442" s="230"/>
      <c r="R442" s="230"/>
      <c r="S442" s="230"/>
      <c r="T442" s="230"/>
      <c r="U442" s="230"/>
      <c r="V442" s="230"/>
      <c r="W442" s="230"/>
      <c r="X442" s="230"/>
      <c r="Y442" s="230"/>
      <c r="Z442" s="230"/>
    </row>
    <row r="443" spans="1:26" ht="15.75" customHeight="1">
      <c r="A443" s="230"/>
      <c r="B443" s="230"/>
      <c r="C443" s="230"/>
      <c r="D443" s="230"/>
      <c r="E443" s="230"/>
      <c r="F443" s="230"/>
      <c r="G443" s="230"/>
      <c r="H443" s="230"/>
      <c r="I443" s="230"/>
      <c r="J443" s="230"/>
      <c r="K443" s="230"/>
      <c r="L443" s="230"/>
      <c r="M443" s="230"/>
      <c r="N443" s="230"/>
      <c r="O443" s="230"/>
      <c r="P443" s="230"/>
      <c r="Q443" s="230"/>
      <c r="R443" s="230"/>
      <c r="S443" s="230"/>
      <c r="T443" s="230"/>
      <c r="U443" s="230"/>
      <c r="V443" s="230"/>
      <c r="W443" s="230"/>
      <c r="X443" s="230"/>
      <c r="Y443" s="230"/>
      <c r="Z443" s="230"/>
    </row>
    <row r="444" spans="1:26" ht="15.75" customHeight="1">
      <c r="A444" s="230"/>
      <c r="B444" s="230"/>
      <c r="C444" s="230"/>
      <c r="D444" s="230"/>
      <c r="E444" s="230"/>
      <c r="F444" s="230"/>
      <c r="G444" s="230"/>
      <c r="H444" s="230"/>
      <c r="I444" s="230"/>
      <c r="J444" s="230"/>
      <c r="K444" s="230"/>
      <c r="L444" s="230"/>
      <c r="M444" s="230"/>
      <c r="N444" s="230"/>
      <c r="O444" s="230"/>
      <c r="P444" s="230"/>
      <c r="Q444" s="230"/>
      <c r="R444" s="230"/>
      <c r="S444" s="230"/>
      <c r="T444" s="230"/>
      <c r="U444" s="230"/>
      <c r="V444" s="230"/>
      <c r="W444" s="230"/>
      <c r="X444" s="230"/>
      <c r="Y444" s="230"/>
      <c r="Z444" s="230"/>
    </row>
    <row r="445" spans="1:26" ht="15.75" customHeight="1">
      <c r="A445" s="230"/>
      <c r="B445" s="230"/>
      <c r="C445" s="230"/>
      <c r="D445" s="230"/>
      <c r="E445" s="230"/>
      <c r="F445" s="230"/>
      <c r="G445" s="230"/>
      <c r="H445" s="230"/>
      <c r="I445" s="230"/>
      <c r="J445" s="230"/>
      <c r="K445" s="230"/>
      <c r="L445" s="230"/>
      <c r="M445" s="230"/>
      <c r="N445" s="230"/>
      <c r="O445" s="230"/>
      <c r="P445" s="230"/>
      <c r="Q445" s="230"/>
      <c r="R445" s="230"/>
      <c r="S445" s="230"/>
      <c r="T445" s="230"/>
      <c r="U445" s="230"/>
      <c r="V445" s="230"/>
      <c r="W445" s="230"/>
      <c r="X445" s="230"/>
      <c r="Y445" s="230"/>
      <c r="Z445" s="230"/>
    </row>
    <row r="446" spans="1:26" ht="15.75" customHeight="1">
      <c r="A446" s="230"/>
      <c r="B446" s="230"/>
      <c r="C446" s="230"/>
      <c r="D446" s="230"/>
      <c r="E446" s="230"/>
      <c r="F446" s="230"/>
      <c r="G446" s="230"/>
      <c r="H446" s="230"/>
      <c r="I446" s="230"/>
      <c r="J446" s="230"/>
      <c r="K446" s="230"/>
      <c r="L446" s="230"/>
      <c r="M446" s="230"/>
      <c r="N446" s="230"/>
      <c r="O446" s="230"/>
      <c r="P446" s="230"/>
      <c r="Q446" s="230"/>
      <c r="R446" s="230"/>
      <c r="S446" s="230"/>
      <c r="T446" s="230"/>
      <c r="U446" s="230"/>
      <c r="V446" s="230"/>
      <c r="W446" s="230"/>
      <c r="X446" s="230"/>
      <c r="Y446" s="230"/>
      <c r="Z446" s="230"/>
    </row>
    <row r="447" spans="1:26" ht="15.75" customHeight="1">
      <c r="A447" s="230"/>
      <c r="B447" s="230"/>
      <c r="C447" s="230"/>
      <c r="D447" s="230"/>
      <c r="E447" s="230"/>
      <c r="F447" s="230"/>
      <c r="G447" s="230"/>
      <c r="H447" s="230"/>
      <c r="I447" s="230"/>
      <c r="J447" s="230"/>
      <c r="K447" s="230"/>
      <c r="L447" s="230"/>
      <c r="M447" s="230"/>
      <c r="N447" s="230"/>
      <c r="O447" s="230"/>
      <c r="P447" s="230"/>
      <c r="Q447" s="230"/>
      <c r="R447" s="230"/>
      <c r="S447" s="230"/>
      <c r="T447" s="230"/>
      <c r="U447" s="230"/>
      <c r="V447" s="230"/>
      <c r="W447" s="230"/>
      <c r="X447" s="230"/>
      <c r="Y447" s="230"/>
      <c r="Z447" s="230"/>
    </row>
    <row r="448" spans="1:26" ht="15.75" customHeight="1">
      <c r="A448" s="230"/>
      <c r="B448" s="230"/>
      <c r="C448" s="230"/>
      <c r="D448" s="230"/>
      <c r="E448" s="230"/>
      <c r="F448" s="230"/>
      <c r="G448" s="230"/>
      <c r="H448" s="230"/>
      <c r="I448" s="230"/>
      <c r="J448" s="230"/>
      <c r="K448" s="230"/>
      <c r="L448" s="230"/>
      <c r="M448" s="230"/>
      <c r="N448" s="230"/>
      <c r="O448" s="230"/>
      <c r="P448" s="230"/>
      <c r="Q448" s="230"/>
      <c r="R448" s="230"/>
      <c r="S448" s="230"/>
      <c r="T448" s="230"/>
      <c r="U448" s="230"/>
      <c r="V448" s="230"/>
      <c r="W448" s="230"/>
      <c r="X448" s="230"/>
      <c r="Y448" s="230"/>
      <c r="Z448" s="230"/>
    </row>
    <row r="449" spans="1:26" ht="15.75" customHeight="1">
      <c r="A449" s="230"/>
      <c r="B449" s="230"/>
      <c r="C449" s="230"/>
      <c r="D449" s="230"/>
      <c r="E449" s="230"/>
      <c r="F449" s="230"/>
      <c r="G449" s="230"/>
      <c r="H449" s="230"/>
      <c r="I449" s="230"/>
      <c r="J449" s="230"/>
      <c r="K449" s="230"/>
      <c r="L449" s="230"/>
      <c r="M449" s="230"/>
      <c r="N449" s="230"/>
      <c r="O449" s="230"/>
      <c r="P449" s="230"/>
      <c r="Q449" s="230"/>
      <c r="R449" s="230"/>
      <c r="S449" s="230"/>
      <c r="T449" s="230"/>
      <c r="U449" s="230"/>
      <c r="V449" s="230"/>
      <c r="W449" s="230"/>
      <c r="X449" s="230"/>
      <c r="Y449" s="230"/>
      <c r="Z449" s="230"/>
    </row>
    <row r="450" spans="1:26" ht="15.75" customHeight="1">
      <c r="A450" s="230"/>
      <c r="B450" s="230"/>
      <c r="C450" s="230"/>
      <c r="D450" s="230"/>
      <c r="E450" s="230"/>
      <c r="F450" s="230"/>
      <c r="G450" s="230"/>
      <c r="H450" s="230"/>
      <c r="I450" s="230"/>
      <c r="J450" s="230"/>
      <c r="K450" s="230"/>
      <c r="L450" s="230"/>
      <c r="M450" s="230"/>
      <c r="N450" s="230"/>
      <c r="O450" s="230"/>
      <c r="P450" s="230"/>
      <c r="Q450" s="230"/>
      <c r="R450" s="230"/>
      <c r="S450" s="230"/>
      <c r="T450" s="230"/>
      <c r="U450" s="230"/>
      <c r="V450" s="230"/>
      <c r="W450" s="230"/>
      <c r="X450" s="230"/>
      <c r="Y450" s="230"/>
      <c r="Z450" s="230"/>
    </row>
    <row r="451" spans="1:26" ht="15.75" customHeight="1">
      <c r="A451" s="230"/>
      <c r="B451" s="230"/>
      <c r="C451" s="230"/>
      <c r="D451" s="230"/>
      <c r="E451" s="230"/>
      <c r="F451" s="230"/>
      <c r="G451" s="230"/>
      <c r="H451" s="230"/>
      <c r="I451" s="230"/>
      <c r="J451" s="230"/>
      <c r="K451" s="230"/>
      <c r="L451" s="230"/>
      <c r="M451" s="230"/>
      <c r="N451" s="230"/>
      <c r="O451" s="230"/>
      <c r="P451" s="230"/>
      <c r="Q451" s="230"/>
      <c r="R451" s="230"/>
      <c r="S451" s="230"/>
      <c r="T451" s="230"/>
      <c r="U451" s="230"/>
      <c r="V451" s="230"/>
      <c r="W451" s="230"/>
      <c r="X451" s="230"/>
      <c r="Y451" s="230"/>
      <c r="Z451" s="230"/>
    </row>
    <row r="452" spans="1:26" ht="15.75" customHeight="1">
      <c r="A452" s="230"/>
      <c r="B452" s="230"/>
      <c r="C452" s="230"/>
      <c r="D452" s="230"/>
      <c r="E452" s="230"/>
      <c r="F452" s="230"/>
      <c r="G452" s="230"/>
      <c r="H452" s="230"/>
      <c r="I452" s="230"/>
      <c r="J452" s="230"/>
      <c r="K452" s="230"/>
      <c r="L452" s="230"/>
      <c r="M452" s="230"/>
      <c r="N452" s="230"/>
      <c r="O452" s="230"/>
      <c r="P452" s="230"/>
      <c r="Q452" s="230"/>
      <c r="R452" s="230"/>
      <c r="S452" s="230"/>
      <c r="T452" s="230"/>
      <c r="U452" s="230"/>
      <c r="V452" s="230"/>
      <c r="W452" s="230"/>
      <c r="X452" s="230"/>
      <c r="Y452" s="230"/>
      <c r="Z452" s="230"/>
    </row>
    <row r="453" spans="1:26" ht="15.75" customHeight="1">
      <c r="A453" s="230"/>
      <c r="B453" s="230"/>
      <c r="C453" s="230"/>
      <c r="D453" s="230"/>
      <c r="E453" s="230"/>
      <c r="F453" s="230"/>
      <c r="G453" s="230"/>
      <c r="H453" s="230"/>
      <c r="I453" s="230"/>
      <c r="J453" s="230"/>
      <c r="K453" s="230"/>
      <c r="L453" s="230"/>
      <c r="M453" s="230"/>
      <c r="N453" s="230"/>
      <c r="O453" s="230"/>
      <c r="P453" s="230"/>
      <c r="Q453" s="230"/>
      <c r="R453" s="230"/>
      <c r="S453" s="230"/>
      <c r="T453" s="230"/>
      <c r="U453" s="230"/>
      <c r="V453" s="230"/>
      <c r="W453" s="230"/>
      <c r="X453" s="230"/>
      <c r="Y453" s="230"/>
      <c r="Z453" s="230"/>
    </row>
    <row r="454" spans="1:26" ht="15.75" customHeight="1">
      <c r="A454" s="230"/>
      <c r="B454" s="230"/>
      <c r="C454" s="230"/>
      <c r="D454" s="230"/>
      <c r="E454" s="230"/>
      <c r="F454" s="230"/>
      <c r="G454" s="230"/>
      <c r="H454" s="230"/>
      <c r="I454" s="230"/>
      <c r="J454" s="230"/>
      <c r="K454" s="230"/>
      <c r="L454" s="230"/>
      <c r="M454" s="230"/>
      <c r="N454" s="230"/>
      <c r="O454" s="230"/>
      <c r="P454" s="230"/>
      <c r="Q454" s="230"/>
      <c r="R454" s="230"/>
      <c r="S454" s="230"/>
      <c r="T454" s="230"/>
      <c r="U454" s="230"/>
      <c r="V454" s="230"/>
      <c r="W454" s="230"/>
      <c r="X454" s="230"/>
      <c r="Y454" s="230"/>
      <c r="Z454" s="230"/>
    </row>
    <row r="455" spans="1:26" ht="15.75" customHeight="1">
      <c r="A455" s="230"/>
      <c r="B455" s="230"/>
      <c r="C455" s="230"/>
      <c r="D455" s="230"/>
      <c r="E455" s="230"/>
      <c r="F455" s="230"/>
      <c r="G455" s="230"/>
      <c r="H455" s="230"/>
      <c r="I455" s="230"/>
      <c r="J455" s="230"/>
      <c r="K455" s="230"/>
      <c r="L455" s="230"/>
      <c r="M455" s="230"/>
      <c r="N455" s="230"/>
      <c r="O455" s="230"/>
      <c r="P455" s="230"/>
      <c r="Q455" s="230"/>
      <c r="R455" s="230"/>
      <c r="S455" s="230"/>
      <c r="T455" s="230"/>
      <c r="U455" s="230"/>
      <c r="V455" s="230"/>
      <c r="W455" s="230"/>
      <c r="X455" s="230"/>
      <c r="Y455" s="230"/>
      <c r="Z455" s="230"/>
    </row>
    <row r="456" spans="1:26" ht="15.75" customHeight="1">
      <c r="A456" s="230"/>
      <c r="B456" s="230"/>
      <c r="C456" s="230"/>
      <c r="D456" s="230"/>
      <c r="E456" s="230"/>
      <c r="F456" s="230"/>
      <c r="G456" s="230"/>
      <c r="H456" s="230"/>
      <c r="I456" s="230"/>
      <c r="J456" s="230"/>
      <c r="K456" s="230"/>
      <c r="L456" s="230"/>
      <c r="M456" s="230"/>
      <c r="N456" s="230"/>
      <c r="O456" s="230"/>
      <c r="P456" s="230"/>
      <c r="Q456" s="230"/>
      <c r="R456" s="230"/>
      <c r="S456" s="230"/>
      <c r="T456" s="230"/>
      <c r="U456" s="230"/>
      <c r="V456" s="230"/>
      <c r="W456" s="230"/>
      <c r="X456" s="230"/>
      <c r="Y456" s="230"/>
      <c r="Z456" s="230"/>
    </row>
    <row r="457" spans="1:26" ht="15.75" customHeight="1">
      <c r="A457" s="230"/>
      <c r="B457" s="230"/>
      <c r="C457" s="230"/>
      <c r="D457" s="230"/>
      <c r="E457" s="230"/>
      <c r="F457" s="230"/>
      <c r="G457" s="230"/>
      <c r="H457" s="230"/>
      <c r="I457" s="230"/>
      <c r="J457" s="230"/>
      <c r="K457" s="230"/>
      <c r="L457" s="230"/>
      <c r="M457" s="230"/>
      <c r="N457" s="230"/>
      <c r="O457" s="230"/>
      <c r="P457" s="230"/>
      <c r="Q457" s="230"/>
      <c r="R457" s="230"/>
      <c r="S457" s="230"/>
      <c r="T457" s="230"/>
      <c r="U457" s="230"/>
      <c r="V457" s="230"/>
      <c r="W457" s="230"/>
      <c r="X457" s="230"/>
      <c r="Y457" s="230"/>
      <c r="Z457" s="230"/>
    </row>
    <row r="458" spans="1:26" ht="15.75" customHeight="1">
      <c r="A458" s="230"/>
      <c r="B458" s="230"/>
      <c r="C458" s="230"/>
      <c r="D458" s="230"/>
      <c r="E458" s="230"/>
      <c r="F458" s="230"/>
      <c r="G458" s="230"/>
      <c r="H458" s="230"/>
      <c r="I458" s="230"/>
      <c r="J458" s="230"/>
      <c r="K458" s="230"/>
      <c r="L458" s="230"/>
      <c r="M458" s="230"/>
      <c r="N458" s="230"/>
      <c r="O458" s="230"/>
      <c r="P458" s="230"/>
      <c r="Q458" s="230"/>
      <c r="R458" s="230"/>
      <c r="S458" s="230"/>
      <c r="T458" s="230"/>
      <c r="U458" s="230"/>
      <c r="V458" s="230"/>
      <c r="W458" s="230"/>
      <c r="X458" s="230"/>
      <c r="Y458" s="230"/>
      <c r="Z458" s="230"/>
    </row>
    <row r="459" spans="1:26" ht="15.75" customHeight="1">
      <c r="A459" s="230"/>
      <c r="B459" s="230"/>
      <c r="C459" s="230"/>
      <c r="D459" s="230"/>
      <c r="E459" s="230"/>
      <c r="F459" s="230"/>
      <c r="G459" s="230"/>
      <c r="H459" s="230"/>
      <c r="I459" s="230"/>
      <c r="J459" s="230"/>
      <c r="K459" s="230"/>
      <c r="L459" s="230"/>
      <c r="M459" s="230"/>
      <c r="N459" s="230"/>
      <c r="O459" s="230"/>
      <c r="P459" s="230"/>
      <c r="Q459" s="230"/>
      <c r="R459" s="230"/>
      <c r="S459" s="230"/>
      <c r="T459" s="230"/>
      <c r="U459" s="230"/>
      <c r="V459" s="230"/>
      <c r="W459" s="230"/>
      <c r="X459" s="230"/>
      <c r="Y459" s="230"/>
      <c r="Z459" s="230"/>
    </row>
    <row r="460" spans="1:26" ht="15.75" customHeight="1">
      <c r="A460" s="230"/>
      <c r="B460" s="230"/>
      <c r="C460" s="230"/>
      <c r="D460" s="230"/>
      <c r="E460" s="230"/>
      <c r="F460" s="230"/>
      <c r="G460" s="230"/>
      <c r="H460" s="230"/>
      <c r="I460" s="230"/>
      <c r="J460" s="230"/>
      <c r="K460" s="230"/>
      <c r="L460" s="230"/>
      <c r="M460" s="230"/>
      <c r="N460" s="230"/>
      <c r="O460" s="230"/>
      <c r="P460" s="230"/>
      <c r="Q460" s="230"/>
      <c r="R460" s="230"/>
      <c r="S460" s="230"/>
      <c r="T460" s="230"/>
      <c r="U460" s="230"/>
      <c r="V460" s="230"/>
      <c r="W460" s="230"/>
      <c r="X460" s="230"/>
      <c r="Y460" s="230"/>
      <c r="Z460" s="230"/>
    </row>
    <row r="461" spans="1:26" ht="15.75" customHeight="1">
      <c r="A461" s="230"/>
      <c r="B461" s="230"/>
      <c r="C461" s="230"/>
      <c r="D461" s="230"/>
      <c r="E461" s="230"/>
      <c r="F461" s="230"/>
      <c r="G461" s="230"/>
      <c r="H461" s="230"/>
      <c r="I461" s="230"/>
      <c r="J461" s="230"/>
      <c r="K461" s="230"/>
      <c r="L461" s="230"/>
      <c r="M461" s="230"/>
      <c r="N461" s="230"/>
      <c r="O461" s="230"/>
      <c r="P461" s="230"/>
      <c r="Q461" s="230"/>
      <c r="R461" s="230"/>
      <c r="S461" s="230"/>
      <c r="T461" s="230"/>
      <c r="U461" s="230"/>
      <c r="V461" s="230"/>
      <c r="W461" s="230"/>
      <c r="X461" s="230"/>
      <c r="Y461" s="230"/>
      <c r="Z461" s="230"/>
    </row>
    <row r="462" spans="1:26" ht="15.75" customHeight="1">
      <c r="A462" s="230"/>
      <c r="B462" s="230"/>
      <c r="C462" s="230"/>
      <c r="D462" s="230"/>
      <c r="E462" s="230"/>
      <c r="F462" s="230"/>
      <c r="G462" s="230"/>
      <c r="H462" s="230"/>
      <c r="I462" s="230"/>
      <c r="J462" s="230"/>
      <c r="K462" s="230"/>
      <c r="L462" s="230"/>
      <c r="M462" s="230"/>
      <c r="N462" s="230"/>
      <c r="O462" s="230"/>
      <c r="P462" s="230"/>
      <c r="Q462" s="230"/>
      <c r="R462" s="230"/>
      <c r="S462" s="230"/>
      <c r="T462" s="230"/>
      <c r="U462" s="230"/>
      <c r="V462" s="230"/>
      <c r="W462" s="230"/>
      <c r="X462" s="230"/>
      <c r="Y462" s="230"/>
      <c r="Z462" s="230"/>
    </row>
    <row r="463" spans="1:26" ht="15.75" customHeight="1">
      <c r="A463" s="230"/>
      <c r="B463" s="230"/>
      <c r="C463" s="230"/>
      <c r="D463" s="230"/>
      <c r="E463" s="230"/>
      <c r="F463" s="230"/>
      <c r="G463" s="230"/>
      <c r="H463" s="230"/>
      <c r="I463" s="230"/>
      <c r="J463" s="230"/>
      <c r="K463" s="230"/>
      <c r="L463" s="230"/>
      <c r="M463" s="230"/>
      <c r="N463" s="230"/>
      <c r="O463" s="230"/>
      <c r="P463" s="230"/>
      <c r="Q463" s="230"/>
      <c r="R463" s="230"/>
      <c r="S463" s="230"/>
      <c r="T463" s="230"/>
      <c r="U463" s="230"/>
      <c r="V463" s="230"/>
      <c r="W463" s="230"/>
      <c r="X463" s="230"/>
      <c r="Y463" s="230"/>
      <c r="Z463" s="230"/>
    </row>
    <row r="464" spans="1:26" ht="15.75" customHeight="1">
      <c r="A464" s="230"/>
      <c r="B464" s="230"/>
      <c r="C464" s="230"/>
      <c r="D464" s="230"/>
      <c r="E464" s="230"/>
      <c r="F464" s="230"/>
      <c r="G464" s="230"/>
      <c r="H464" s="230"/>
      <c r="I464" s="230"/>
      <c r="J464" s="230"/>
      <c r="K464" s="230"/>
      <c r="L464" s="230"/>
      <c r="M464" s="230"/>
      <c r="N464" s="230"/>
      <c r="O464" s="230"/>
      <c r="P464" s="230"/>
      <c r="Q464" s="230"/>
      <c r="R464" s="230"/>
      <c r="S464" s="230"/>
      <c r="T464" s="230"/>
      <c r="U464" s="230"/>
      <c r="V464" s="230"/>
      <c r="W464" s="230"/>
      <c r="X464" s="230"/>
      <c r="Y464" s="230"/>
      <c r="Z464" s="230"/>
    </row>
    <row r="465" spans="1:26" ht="15.75" customHeight="1">
      <c r="A465" s="230"/>
      <c r="B465" s="230"/>
      <c r="C465" s="230"/>
      <c r="D465" s="230"/>
      <c r="E465" s="230"/>
      <c r="F465" s="230"/>
      <c r="G465" s="230"/>
      <c r="H465" s="230"/>
      <c r="I465" s="230"/>
      <c r="J465" s="230"/>
      <c r="K465" s="230"/>
      <c r="L465" s="230"/>
      <c r="M465" s="230"/>
      <c r="N465" s="230"/>
      <c r="O465" s="230"/>
      <c r="P465" s="230"/>
      <c r="Q465" s="230"/>
      <c r="R465" s="230"/>
      <c r="S465" s="230"/>
      <c r="T465" s="230"/>
      <c r="U465" s="230"/>
      <c r="V465" s="230"/>
      <c r="W465" s="230"/>
      <c r="X465" s="230"/>
      <c r="Y465" s="230"/>
      <c r="Z465" s="230"/>
    </row>
    <row r="466" spans="1:26" ht="15.75" customHeight="1">
      <c r="A466" s="230"/>
      <c r="B466" s="230"/>
      <c r="C466" s="230"/>
      <c r="D466" s="230"/>
      <c r="E466" s="230"/>
      <c r="F466" s="230"/>
      <c r="G466" s="230"/>
      <c r="H466" s="230"/>
      <c r="I466" s="230"/>
      <c r="J466" s="230"/>
      <c r="K466" s="230"/>
      <c r="L466" s="230"/>
      <c r="M466" s="230"/>
      <c r="N466" s="230"/>
      <c r="O466" s="230"/>
      <c r="P466" s="230"/>
      <c r="Q466" s="230"/>
      <c r="R466" s="230"/>
      <c r="S466" s="230"/>
      <c r="T466" s="230"/>
      <c r="U466" s="230"/>
      <c r="V466" s="230"/>
      <c r="W466" s="230"/>
      <c r="X466" s="230"/>
      <c r="Y466" s="230"/>
      <c r="Z466" s="230"/>
    </row>
    <row r="467" spans="1:26" ht="15.75" customHeight="1">
      <c r="A467" s="230"/>
      <c r="B467" s="230"/>
      <c r="C467" s="230"/>
      <c r="D467" s="230"/>
      <c r="E467" s="230"/>
      <c r="F467" s="230"/>
      <c r="G467" s="230"/>
      <c r="H467" s="230"/>
      <c r="I467" s="230"/>
      <c r="J467" s="230"/>
      <c r="K467" s="230"/>
      <c r="L467" s="230"/>
      <c r="M467" s="230"/>
      <c r="N467" s="230"/>
      <c r="O467" s="230"/>
      <c r="P467" s="230"/>
      <c r="Q467" s="230"/>
      <c r="R467" s="230"/>
      <c r="S467" s="230"/>
      <c r="T467" s="230"/>
      <c r="U467" s="230"/>
      <c r="V467" s="230"/>
      <c r="W467" s="230"/>
      <c r="X467" s="230"/>
      <c r="Y467" s="230"/>
      <c r="Z467" s="230"/>
    </row>
    <row r="468" spans="1:26" ht="15.75" customHeight="1">
      <c r="A468" s="230"/>
      <c r="B468" s="230"/>
      <c r="C468" s="230"/>
      <c r="D468" s="230"/>
      <c r="E468" s="230"/>
      <c r="F468" s="230"/>
      <c r="G468" s="230"/>
      <c r="H468" s="230"/>
      <c r="I468" s="230"/>
      <c r="J468" s="230"/>
      <c r="K468" s="230"/>
      <c r="L468" s="230"/>
      <c r="M468" s="230"/>
      <c r="N468" s="230"/>
      <c r="O468" s="230"/>
      <c r="P468" s="230"/>
      <c r="Q468" s="230"/>
      <c r="R468" s="230"/>
      <c r="S468" s="230"/>
      <c r="T468" s="230"/>
      <c r="U468" s="230"/>
      <c r="V468" s="230"/>
      <c r="W468" s="230"/>
      <c r="X468" s="230"/>
      <c r="Y468" s="230"/>
      <c r="Z468" s="230"/>
    </row>
    <row r="469" spans="1:26" ht="15.75" customHeight="1">
      <c r="A469" s="230"/>
      <c r="B469" s="230"/>
      <c r="C469" s="230"/>
      <c r="D469" s="230"/>
      <c r="E469" s="230"/>
      <c r="F469" s="230"/>
      <c r="G469" s="230"/>
      <c r="H469" s="230"/>
      <c r="I469" s="230"/>
      <c r="J469" s="230"/>
      <c r="K469" s="230"/>
      <c r="L469" s="230"/>
      <c r="M469" s="230"/>
      <c r="N469" s="230"/>
      <c r="O469" s="230"/>
      <c r="P469" s="230"/>
      <c r="Q469" s="230"/>
      <c r="R469" s="230"/>
      <c r="S469" s="230"/>
      <c r="T469" s="230"/>
      <c r="U469" s="230"/>
      <c r="V469" s="230"/>
      <c r="W469" s="230"/>
      <c r="X469" s="230"/>
      <c r="Y469" s="230"/>
      <c r="Z469" s="230"/>
    </row>
    <row r="470" spans="1:26" ht="15.75" customHeight="1">
      <c r="A470" s="230"/>
      <c r="B470" s="230"/>
      <c r="C470" s="230"/>
      <c r="D470" s="230"/>
      <c r="E470" s="230"/>
      <c r="F470" s="230"/>
      <c r="G470" s="230"/>
      <c r="H470" s="230"/>
      <c r="I470" s="230"/>
      <c r="J470" s="230"/>
      <c r="K470" s="230"/>
      <c r="L470" s="230"/>
      <c r="M470" s="230"/>
      <c r="N470" s="230"/>
      <c r="O470" s="230"/>
      <c r="P470" s="230"/>
      <c r="Q470" s="230"/>
      <c r="R470" s="230"/>
      <c r="S470" s="230"/>
      <c r="T470" s="230"/>
      <c r="U470" s="230"/>
      <c r="V470" s="230"/>
      <c r="W470" s="230"/>
      <c r="X470" s="230"/>
      <c r="Y470" s="230"/>
      <c r="Z470" s="230"/>
    </row>
    <row r="471" spans="1:26" ht="15.75" customHeight="1">
      <c r="A471" s="230"/>
      <c r="B471" s="230"/>
      <c r="C471" s="230"/>
      <c r="D471" s="230"/>
      <c r="E471" s="230"/>
      <c r="F471" s="230"/>
      <c r="G471" s="230"/>
      <c r="H471" s="230"/>
      <c r="I471" s="230"/>
      <c r="J471" s="230"/>
      <c r="K471" s="230"/>
      <c r="L471" s="230"/>
      <c r="M471" s="230"/>
      <c r="N471" s="230"/>
      <c r="O471" s="230"/>
      <c r="P471" s="230"/>
      <c r="Q471" s="230"/>
      <c r="R471" s="230"/>
      <c r="S471" s="230"/>
      <c r="T471" s="230"/>
      <c r="U471" s="230"/>
      <c r="V471" s="230"/>
      <c r="W471" s="230"/>
      <c r="X471" s="230"/>
      <c r="Y471" s="230"/>
      <c r="Z471" s="230"/>
    </row>
    <row r="472" spans="1:26" ht="15.75" customHeight="1">
      <c r="A472" s="230"/>
      <c r="B472" s="230"/>
      <c r="C472" s="230"/>
      <c r="D472" s="230"/>
      <c r="E472" s="230"/>
      <c r="F472" s="230"/>
      <c r="G472" s="230"/>
      <c r="H472" s="230"/>
      <c r="I472" s="230"/>
      <c r="J472" s="230"/>
      <c r="K472" s="230"/>
      <c r="L472" s="230"/>
      <c r="M472" s="230"/>
      <c r="N472" s="230"/>
      <c r="O472" s="230"/>
      <c r="P472" s="230"/>
      <c r="Q472" s="230"/>
      <c r="R472" s="230"/>
      <c r="S472" s="230"/>
      <c r="T472" s="230"/>
      <c r="U472" s="230"/>
      <c r="V472" s="230"/>
      <c r="W472" s="230"/>
      <c r="X472" s="230"/>
      <c r="Y472" s="230"/>
      <c r="Z472" s="230"/>
    </row>
    <row r="473" spans="1:26" ht="15.75" customHeight="1">
      <c r="A473" s="230"/>
      <c r="B473" s="230"/>
      <c r="C473" s="230"/>
      <c r="D473" s="230"/>
      <c r="E473" s="230"/>
      <c r="F473" s="230"/>
      <c r="G473" s="230"/>
      <c r="H473" s="230"/>
      <c r="I473" s="230"/>
      <c r="J473" s="230"/>
      <c r="K473" s="230"/>
      <c r="L473" s="230"/>
      <c r="M473" s="230"/>
      <c r="N473" s="230"/>
      <c r="O473" s="230"/>
      <c r="P473" s="230"/>
      <c r="Q473" s="230"/>
      <c r="R473" s="230"/>
      <c r="S473" s="230"/>
      <c r="T473" s="230"/>
      <c r="U473" s="230"/>
      <c r="V473" s="230"/>
      <c r="W473" s="230"/>
      <c r="X473" s="230"/>
      <c r="Y473" s="230"/>
      <c r="Z473" s="230"/>
    </row>
    <row r="474" spans="1:26" ht="15.75" customHeight="1">
      <c r="A474" s="230"/>
      <c r="B474" s="230"/>
      <c r="C474" s="230"/>
      <c r="D474" s="230"/>
      <c r="E474" s="230"/>
      <c r="F474" s="230"/>
      <c r="G474" s="230"/>
      <c r="H474" s="230"/>
      <c r="I474" s="230"/>
      <c r="J474" s="230"/>
      <c r="K474" s="230"/>
      <c r="L474" s="230"/>
      <c r="M474" s="230"/>
      <c r="N474" s="230"/>
      <c r="O474" s="230"/>
      <c r="P474" s="230"/>
      <c r="Q474" s="230"/>
      <c r="R474" s="230"/>
      <c r="S474" s="230"/>
      <c r="T474" s="230"/>
      <c r="U474" s="230"/>
      <c r="V474" s="230"/>
      <c r="W474" s="230"/>
      <c r="X474" s="230"/>
      <c r="Y474" s="230"/>
      <c r="Z474" s="230"/>
    </row>
    <row r="475" spans="1:26" ht="15.75" customHeight="1">
      <c r="A475" s="230"/>
      <c r="B475" s="230"/>
      <c r="C475" s="230"/>
      <c r="D475" s="230"/>
      <c r="E475" s="230"/>
      <c r="F475" s="230"/>
      <c r="G475" s="230"/>
      <c r="H475" s="230"/>
      <c r="I475" s="230"/>
      <c r="J475" s="230"/>
      <c r="K475" s="230"/>
      <c r="L475" s="230"/>
      <c r="M475" s="230"/>
      <c r="N475" s="230"/>
      <c r="O475" s="230"/>
      <c r="P475" s="230"/>
      <c r="Q475" s="230"/>
      <c r="R475" s="230"/>
      <c r="S475" s="230"/>
      <c r="T475" s="230"/>
      <c r="U475" s="230"/>
      <c r="V475" s="230"/>
      <c r="W475" s="230"/>
      <c r="X475" s="230"/>
      <c r="Y475" s="230"/>
      <c r="Z475" s="230"/>
    </row>
    <row r="476" spans="1:26" ht="15.75" customHeight="1">
      <c r="A476" s="230"/>
      <c r="B476" s="230"/>
      <c r="C476" s="230"/>
      <c r="D476" s="230"/>
      <c r="E476" s="230"/>
      <c r="F476" s="230"/>
      <c r="G476" s="230"/>
      <c r="H476" s="230"/>
      <c r="I476" s="230"/>
      <c r="J476" s="230"/>
      <c r="K476" s="230"/>
      <c r="L476" s="230"/>
      <c r="M476" s="230"/>
      <c r="N476" s="230"/>
      <c r="O476" s="230"/>
      <c r="P476" s="230"/>
      <c r="Q476" s="230"/>
      <c r="R476" s="230"/>
      <c r="S476" s="230"/>
      <c r="T476" s="230"/>
      <c r="U476" s="230"/>
      <c r="V476" s="230"/>
      <c r="W476" s="230"/>
      <c r="X476" s="230"/>
      <c r="Y476" s="230"/>
      <c r="Z476" s="230"/>
    </row>
    <row r="477" spans="1:26" ht="15.75" customHeight="1">
      <c r="A477" s="230"/>
      <c r="B477" s="230"/>
      <c r="C477" s="230"/>
      <c r="D477" s="230"/>
      <c r="E477" s="230"/>
      <c r="F477" s="230"/>
      <c r="G477" s="230"/>
      <c r="H477" s="230"/>
      <c r="I477" s="230"/>
      <c r="J477" s="230"/>
      <c r="K477" s="230"/>
      <c r="L477" s="230"/>
      <c r="M477" s="230"/>
      <c r="N477" s="230"/>
      <c r="O477" s="230"/>
      <c r="P477" s="230"/>
      <c r="Q477" s="230"/>
      <c r="R477" s="230"/>
      <c r="S477" s="230"/>
      <c r="T477" s="230"/>
      <c r="U477" s="230"/>
      <c r="V477" s="230"/>
      <c r="W477" s="230"/>
      <c r="X477" s="230"/>
      <c r="Y477" s="230"/>
      <c r="Z477" s="230"/>
    </row>
    <row r="478" spans="1:26" ht="15.75" customHeight="1">
      <c r="A478" s="230"/>
      <c r="B478" s="230"/>
      <c r="C478" s="230"/>
      <c r="D478" s="230"/>
      <c r="E478" s="230"/>
      <c r="F478" s="230"/>
      <c r="G478" s="230"/>
      <c r="H478" s="230"/>
      <c r="I478" s="230"/>
      <c r="J478" s="230"/>
      <c r="K478" s="230"/>
      <c r="L478" s="230"/>
      <c r="M478" s="230"/>
      <c r="N478" s="230"/>
      <c r="O478" s="230"/>
      <c r="P478" s="230"/>
      <c r="Q478" s="230"/>
      <c r="R478" s="230"/>
      <c r="S478" s="230"/>
      <c r="T478" s="230"/>
      <c r="U478" s="230"/>
      <c r="V478" s="230"/>
      <c r="W478" s="230"/>
      <c r="X478" s="230"/>
      <c r="Y478" s="230"/>
      <c r="Z478" s="230"/>
    </row>
    <row r="479" spans="1:26" ht="15.75" customHeight="1">
      <c r="A479" s="230"/>
      <c r="B479" s="230"/>
      <c r="C479" s="230"/>
      <c r="D479" s="230"/>
      <c r="E479" s="230"/>
      <c r="F479" s="230"/>
      <c r="G479" s="230"/>
      <c r="H479" s="230"/>
      <c r="I479" s="230"/>
      <c r="J479" s="230"/>
      <c r="K479" s="230"/>
      <c r="L479" s="230"/>
      <c r="M479" s="230"/>
      <c r="N479" s="230"/>
      <c r="O479" s="230"/>
      <c r="P479" s="230"/>
      <c r="Q479" s="230"/>
      <c r="R479" s="230"/>
      <c r="S479" s="230"/>
      <c r="T479" s="230"/>
      <c r="U479" s="230"/>
      <c r="V479" s="230"/>
      <c r="W479" s="230"/>
      <c r="X479" s="230"/>
      <c r="Y479" s="230"/>
      <c r="Z479" s="230"/>
    </row>
    <row r="480" spans="1:26" ht="15.75" customHeight="1">
      <c r="A480" s="230"/>
      <c r="B480" s="230"/>
      <c r="C480" s="230"/>
      <c r="D480" s="230"/>
      <c r="E480" s="230"/>
      <c r="F480" s="230"/>
      <c r="G480" s="230"/>
      <c r="H480" s="230"/>
      <c r="I480" s="230"/>
      <c r="J480" s="230"/>
      <c r="K480" s="230"/>
      <c r="L480" s="230"/>
      <c r="M480" s="230"/>
      <c r="N480" s="230"/>
      <c r="O480" s="230"/>
      <c r="P480" s="230"/>
      <c r="Q480" s="230"/>
      <c r="R480" s="230"/>
      <c r="S480" s="230"/>
      <c r="T480" s="230"/>
      <c r="U480" s="230"/>
      <c r="V480" s="230"/>
      <c r="W480" s="230"/>
      <c r="X480" s="230"/>
      <c r="Y480" s="230"/>
      <c r="Z480" s="230"/>
    </row>
    <row r="481" spans="1:26" ht="15.75" customHeight="1">
      <c r="A481" s="230"/>
      <c r="B481" s="230"/>
      <c r="C481" s="230"/>
      <c r="D481" s="230"/>
      <c r="E481" s="230"/>
      <c r="F481" s="230"/>
      <c r="G481" s="230"/>
      <c r="H481" s="230"/>
      <c r="I481" s="230"/>
      <c r="J481" s="230"/>
      <c r="K481" s="230"/>
      <c r="L481" s="230"/>
      <c r="M481" s="230"/>
      <c r="N481" s="230"/>
      <c r="O481" s="230"/>
      <c r="P481" s="230"/>
      <c r="Q481" s="230"/>
      <c r="R481" s="230"/>
      <c r="S481" s="230"/>
      <c r="T481" s="230"/>
      <c r="U481" s="230"/>
      <c r="V481" s="230"/>
      <c r="W481" s="230"/>
      <c r="X481" s="230"/>
      <c r="Y481" s="230"/>
      <c r="Z481" s="230"/>
    </row>
    <row r="482" spans="1:26" ht="15.75" customHeight="1">
      <c r="A482" s="230"/>
      <c r="B482" s="230"/>
      <c r="C482" s="230"/>
      <c r="D482" s="230"/>
      <c r="E482" s="230"/>
      <c r="F482" s="230"/>
      <c r="G482" s="230"/>
      <c r="H482" s="230"/>
      <c r="I482" s="230"/>
      <c r="J482" s="230"/>
      <c r="K482" s="230"/>
      <c r="L482" s="230"/>
      <c r="M482" s="230"/>
      <c r="N482" s="230"/>
      <c r="O482" s="230"/>
      <c r="P482" s="230"/>
      <c r="Q482" s="230"/>
      <c r="R482" s="230"/>
      <c r="S482" s="230"/>
      <c r="T482" s="230"/>
      <c r="U482" s="230"/>
      <c r="V482" s="230"/>
      <c r="W482" s="230"/>
      <c r="X482" s="230"/>
      <c r="Y482" s="230"/>
      <c r="Z482" s="230"/>
    </row>
    <row r="483" spans="1:26" ht="15.75" customHeight="1">
      <c r="A483" s="230"/>
      <c r="B483" s="230"/>
      <c r="C483" s="230"/>
      <c r="D483" s="230"/>
      <c r="E483" s="230"/>
      <c r="F483" s="230"/>
      <c r="G483" s="230"/>
      <c r="H483" s="230"/>
      <c r="I483" s="230"/>
      <c r="J483" s="230"/>
      <c r="K483" s="230"/>
      <c r="L483" s="230"/>
      <c r="M483" s="230"/>
      <c r="N483" s="230"/>
      <c r="O483" s="230"/>
      <c r="P483" s="230"/>
      <c r="Q483" s="230"/>
      <c r="R483" s="230"/>
      <c r="S483" s="230"/>
      <c r="T483" s="230"/>
      <c r="U483" s="230"/>
      <c r="V483" s="230"/>
      <c r="W483" s="230"/>
      <c r="X483" s="230"/>
      <c r="Y483" s="230"/>
      <c r="Z483" s="230"/>
    </row>
    <row r="484" spans="1:26" ht="15.75" customHeight="1">
      <c r="A484" s="230"/>
      <c r="B484" s="230"/>
      <c r="C484" s="230"/>
      <c r="D484" s="230"/>
      <c r="E484" s="230"/>
      <c r="F484" s="230"/>
      <c r="G484" s="230"/>
      <c r="H484" s="230"/>
      <c r="I484" s="230"/>
      <c r="J484" s="230"/>
      <c r="K484" s="230"/>
      <c r="L484" s="230"/>
      <c r="M484" s="230"/>
      <c r="N484" s="230"/>
      <c r="O484" s="230"/>
      <c r="P484" s="230"/>
      <c r="Q484" s="230"/>
      <c r="R484" s="230"/>
      <c r="S484" s="230"/>
      <c r="T484" s="230"/>
      <c r="U484" s="230"/>
      <c r="V484" s="230"/>
      <c r="W484" s="230"/>
      <c r="X484" s="230"/>
      <c r="Y484" s="230"/>
      <c r="Z484" s="230"/>
    </row>
    <row r="485" spans="1:26" ht="15.75" customHeight="1">
      <c r="A485" s="230"/>
      <c r="B485" s="230"/>
      <c r="C485" s="230"/>
      <c r="D485" s="230"/>
      <c r="E485" s="230"/>
      <c r="F485" s="230"/>
      <c r="G485" s="230"/>
      <c r="H485" s="230"/>
      <c r="I485" s="230"/>
      <c r="J485" s="230"/>
      <c r="K485" s="230"/>
      <c r="L485" s="230"/>
      <c r="M485" s="230"/>
      <c r="N485" s="230"/>
      <c r="O485" s="230"/>
      <c r="P485" s="230"/>
      <c r="Q485" s="230"/>
      <c r="R485" s="230"/>
      <c r="S485" s="230"/>
      <c r="T485" s="230"/>
      <c r="U485" s="230"/>
      <c r="V485" s="230"/>
      <c r="W485" s="230"/>
      <c r="X485" s="230"/>
      <c r="Y485" s="230"/>
      <c r="Z485" s="230"/>
    </row>
    <row r="486" spans="1:26" ht="15.75" customHeight="1">
      <c r="A486" s="230"/>
      <c r="B486" s="230"/>
      <c r="C486" s="230"/>
      <c r="D486" s="230"/>
      <c r="E486" s="230"/>
      <c r="F486" s="230"/>
      <c r="G486" s="230"/>
      <c r="H486" s="230"/>
      <c r="I486" s="230"/>
      <c r="J486" s="230"/>
      <c r="K486" s="230"/>
      <c r="L486" s="230"/>
      <c r="M486" s="230"/>
      <c r="N486" s="230"/>
      <c r="O486" s="230"/>
      <c r="P486" s="230"/>
      <c r="Q486" s="230"/>
      <c r="R486" s="230"/>
      <c r="S486" s="230"/>
      <c r="T486" s="230"/>
      <c r="U486" s="230"/>
      <c r="V486" s="230"/>
      <c r="W486" s="230"/>
      <c r="X486" s="230"/>
      <c r="Y486" s="230"/>
      <c r="Z486" s="230"/>
    </row>
    <row r="487" spans="1:26" ht="15.75" customHeight="1">
      <c r="A487" s="230"/>
      <c r="B487" s="230"/>
      <c r="C487" s="230"/>
      <c r="D487" s="230"/>
      <c r="E487" s="230"/>
      <c r="F487" s="230"/>
      <c r="G487" s="230"/>
      <c r="H487" s="230"/>
      <c r="I487" s="230"/>
      <c r="J487" s="230"/>
      <c r="K487" s="230"/>
      <c r="L487" s="230"/>
      <c r="M487" s="230"/>
      <c r="N487" s="230"/>
      <c r="O487" s="230"/>
      <c r="P487" s="230"/>
      <c r="Q487" s="230"/>
      <c r="R487" s="230"/>
      <c r="S487" s="230"/>
      <c r="T487" s="230"/>
      <c r="U487" s="230"/>
      <c r="V487" s="230"/>
      <c r="W487" s="230"/>
      <c r="X487" s="230"/>
      <c r="Y487" s="230"/>
      <c r="Z487" s="230"/>
    </row>
    <row r="488" spans="1:26" ht="15.75" customHeight="1">
      <c r="A488" s="230"/>
      <c r="B488" s="230"/>
      <c r="C488" s="230"/>
      <c r="D488" s="230"/>
      <c r="E488" s="230"/>
      <c r="F488" s="230"/>
      <c r="G488" s="230"/>
      <c r="H488" s="230"/>
      <c r="I488" s="230"/>
      <c r="J488" s="230"/>
      <c r="K488" s="230"/>
      <c r="L488" s="230"/>
      <c r="M488" s="230"/>
      <c r="N488" s="230"/>
      <c r="O488" s="230"/>
      <c r="P488" s="230"/>
      <c r="Q488" s="230"/>
      <c r="R488" s="230"/>
      <c r="S488" s="230"/>
      <c r="T488" s="230"/>
      <c r="U488" s="230"/>
      <c r="V488" s="230"/>
      <c r="W488" s="230"/>
      <c r="X488" s="230"/>
      <c r="Y488" s="230"/>
      <c r="Z488" s="230"/>
    </row>
    <row r="489" spans="1:26" ht="15.75" customHeight="1">
      <c r="A489" s="230"/>
      <c r="B489" s="230"/>
      <c r="C489" s="230"/>
      <c r="D489" s="230"/>
      <c r="E489" s="230"/>
      <c r="F489" s="230"/>
      <c r="G489" s="230"/>
      <c r="H489" s="230"/>
      <c r="I489" s="230"/>
      <c r="J489" s="230"/>
      <c r="K489" s="230"/>
      <c r="L489" s="230"/>
      <c r="M489" s="230"/>
      <c r="N489" s="230"/>
      <c r="O489" s="230"/>
      <c r="P489" s="230"/>
      <c r="Q489" s="230"/>
      <c r="R489" s="230"/>
      <c r="S489" s="230"/>
      <c r="T489" s="230"/>
      <c r="U489" s="230"/>
      <c r="V489" s="230"/>
      <c r="W489" s="230"/>
      <c r="X489" s="230"/>
      <c r="Y489" s="230"/>
      <c r="Z489" s="230"/>
    </row>
    <row r="490" spans="1:26" ht="15.75" customHeight="1">
      <c r="A490" s="230"/>
      <c r="B490" s="230"/>
      <c r="C490" s="230"/>
      <c r="D490" s="230"/>
      <c r="E490" s="230"/>
      <c r="F490" s="230"/>
      <c r="G490" s="230"/>
      <c r="H490" s="230"/>
      <c r="I490" s="230"/>
      <c r="J490" s="230"/>
      <c r="K490" s="230"/>
      <c r="L490" s="230"/>
      <c r="M490" s="230"/>
      <c r="N490" s="230"/>
      <c r="O490" s="230"/>
      <c r="P490" s="230"/>
      <c r="Q490" s="230"/>
      <c r="R490" s="230"/>
      <c r="S490" s="230"/>
      <c r="T490" s="230"/>
      <c r="U490" s="230"/>
      <c r="V490" s="230"/>
      <c r="W490" s="230"/>
      <c r="X490" s="230"/>
      <c r="Y490" s="230"/>
      <c r="Z490" s="230"/>
    </row>
    <row r="491" spans="1:26" ht="15.75" customHeight="1">
      <c r="A491" s="230"/>
      <c r="B491" s="230"/>
      <c r="C491" s="230"/>
      <c r="D491" s="230"/>
      <c r="E491" s="230"/>
      <c r="F491" s="230"/>
      <c r="G491" s="230"/>
      <c r="H491" s="230"/>
      <c r="I491" s="230"/>
      <c r="J491" s="230"/>
      <c r="K491" s="230"/>
      <c r="L491" s="230"/>
      <c r="M491" s="230"/>
      <c r="N491" s="230"/>
      <c r="O491" s="230"/>
      <c r="P491" s="230"/>
      <c r="Q491" s="230"/>
      <c r="R491" s="230"/>
      <c r="S491" s="230"/>
      <c r="T491" s="230"/>
      <c r="U491" s="230"/>
      <c r="V491" s="230"/>
      <c r="W491" s="230"/>
      <c r="X491" s="230"/>
      <c r="Y491" s="230"/>
      <c r="Z491" s="230"/>
    </row>
    <row r="492" spans="1:26" ht="15.75" customHeight="1">
      <c r="A492" s="230"/>
      <c r="B492" s="230"/>
      <c r="C492" s="230"/>
      <c r="D492" s="230"/>
      <c r="E492" s="230"/>
      <c r="F492" s="230"/>
      <c r="G492" s="230"/>
      <c r="H492" s="230"/>
      <c r="I492" s="230"/>
      <c r="J492" s="230"/>
      <c r="K492" s="230"/>
      <c r="L492" s="230"/>
      <c r="M492" s="230"/>
      <c r="N492" s="230"/>
      <c r="O492" s="230"/>
      <c r="P492" s="230"/>
      <c r="Q492" s="230"/>
      <c r="R492" s="230"/>
      <c r="S492" s="230"/>
      <c r="T492" s="230"/>
      <c r="U492" s="230"/>
      <c r="V492" s="230"/>
      <c r="W492" s="230"/>
      <c r="X492" s="230"/>
      <c r="Y492" s="230"/>
      <c r="Z492" s="230"/>
    </row>
    <row r="493" spans="1:26" ht="15.75" customHeight="1">
      <c r="A493" s="230"/>
      <c r="B493" s="230"/>
      <c r="C493" s="230"/>
      <c r="D493" s="230"/>
      <c r="E493" s="230"/>
      <c r="F493" s="230"/>
      <c r="G493" s="230"/>
      <c r="H493" s="230"/>
      <c r="I493" s="230"/>
      <c r="J493" s="230"/>
      <c r="K493" s="230"/>
      <c r="L493" s="230"/>
      <c r="M493" s="230"/>
      <c r="N493" s="230"/>
      <c r="O493" s="230"/>
      <c r="P493" s="230"/>
      <c r="Q493" s="230"/>
      <c r="R493" s="230"/>
      <c r="S493" s="230"/>
      <c r="T493" s="230"/>
      <c r="U493" s="230"/>
      <c r="V493" s="230"/>
      <c r="W493" s="230"/>
      <c r="X493" s="230"/>
      <c r="Y493" s="230"/>
      <c r="Z493" s="230"/>
    </row>
    <row r="494" spans="1:26" ht="15.75" customHeight="1">
      <c r="A494" s="230"/>
      <c r="B494" s="230"/>
      <c r="C494" s="230"/>
      <c r="D494" s="230"/>
      <c r="E494" s="230"/>
      <c r="F494" s="230"/>
      <c r="G494" s="230"/>
      <c r="H494" s="230"/>
      <c r="I494" s="230"/>
      <c r="J494" s="230"/>
      <c r="K494" s="230"/>
      <c r="L494" s="230"/>
      <c r="M494" s="230"/>
      <c r="N494" s="230"/>
      <c r="O494" s="230"/>
      <c r="P494" s="230"/>
      <c r="Q494" s="230"/>
      <c r="R494" s="230"/>
      <c r="S494" s="230"/>
      <c r="T494" s="230"/>
      <c r="U494" s="230"/>
      <c r="V494" s="230"/>
      <c r="W494" s="230"/>
      <c r="X494" s="230"/>
      <c r="Y494" s="230"/>
      <c r="Z494" s="230"/>
    </row>
    <row r="495" spans="1:26" ht="15.75" customHeight="1">
      <c r="A495" s="230"/>
      <c r="B495" s="230"/>
      <c r="C495" s="230"/>
      <c r="D495" s="230"/>
      <c r="E495" s="230"/>
      <c r="F495" s="230"/>
      <c r="G495" s="230"/>
      <c r="H495" s="230"/>
      <c r="I495" s="230"/>
      <c r="J495" s="230"/>
      <c r="K495" s="230"/>
      <c r="L495" s="230"/>
      <c r="M495" s="230"/>
      <c r="N495" s="230"/>
      <c r="O495" s="230"/>
      <c r="P495" s="230"/>
      <c r="Q495" s="230"/>
      <c r="R495" s="230"/>
      <c r="S495" s="230"/>
      <c r="T495" s="230"/>
      <c r="U495" s="230"/>
      <c r="V495" s="230"/>
      <c r="W495" s="230"/>
      <c r="X495" s="230"/>
      <c r="Y495" s="230"/>
      <c r="Z495" s="230"/>
    </row>
    <row r="496" spans="1:26" ht="15.75" customHeight="1">
      <c r="A496" s="230"/>
      <c r="B496" s="230"/>
      <c r="C496" s="230"/>
      <c r="D496" s="230"/>
      <c r="E496" s="230"/>
      <c r="F496" s="230"/>
      <c r="G496" s="230"/>
      <c r="H496" s="230"/>
      <c r="I496" s="230"/>
      <c r="J496" s="230"/>
      <c r="K496" s="230"/>
      <c r="L496" s="230"/>
      <c r="M496" s="230"/>
      <c r="N496" s="230"/>
      <c r="O496" s="230"/>
      <c r="P496" s="230"/>
      <c r="Q496" s="230"/>
      <c r="R496" s="230"/>
      <c r="S496" s="230"/>
      <c r="T496" s="230"/>
      <c r="U496" s="230"/>
      <c r="V496" s="230"/>
      <c r="W496" s="230"/>
      <c r="X496" s="230"/>
      <c r="Y496" s="230"/>
      <c r="Z496" s="230"/>
    </row>
    <row r="497" spans="1:26" ht="15.75" customHeight="1">
      <c r="A497" s="230"/>
      <c r="B497" s="230"/>
      <c r="C497" s="230"/>
      <c r="D497" s="230"/>
      <c r="E497" s="230"/>
      <c r="F497" s="230"/>
      <c r="G497" s="230"/>
      <c r="H497" s="230"/>
      <c r="I497" s="230"/>
      <c r="J497" s="230"/>
      <c r="K497" s="230"/>
      <c r="L497" s="230"/>
      <c r="M497" s="230"/>
      <c r="N497" s="230"/>
      <c r="O497" s="230"/>
      <c r="P497" s="230"/>
      <c r="Q497" s="230"/>
      <c r="R497" s="230"/>
      <c r="S497" s="230"/>
      <c r="T497" s="230"/>
      <c r="U497" s="230"/>
      <c r="V497" s="230"/>
      <c r="W497" s="230"/>
      <c r="X497" s="230"/>
      <c r="Y497" s="230"/>
      <c r="Z497" s="230"/>
    </row>
    <row r="498" spans="1:26" ht="15.75" customHeight="1">
      <c r="A498" s="230"/>
      <c r="B498" s="230"/>
      <c r="C498" s="230"/>
      <c r="D498" s="230"/>
      <c r="E498" s="230"/>
      <c r="F498" s="230"/>
      <c r="G498" s="230"/>
      <c r="H498" s="230"/>
      <c r="I498" s="230"/>
      <c r="J498" s="230"/>
      <c r="K498" s="230"/>
      <c r="L498" s="230"/>
      <c r="M498" s="230"/>
      <c r="N498" s="230"/>
      <c r="O498" s="230"/>
      <c r="P498" s="230"/>
      <c r="Q498" s="230"/>
      <c r="R498" s="230"/>
      <c r="S498" s="230"/>
      <c r="T498" s="230"/>
      <c r="U498" s="230"/>
      <c r="V498" s="230"/>
      <c r="W498" s="230"/>
      <c r="X498" s="230"/>
      <c r="Y498" s="230"/>
      <c r="Z498" s="230"/>
    </row>
    <row r="499" spans="1:26" ht="15.75" customHeight="1">
      <c r="A499" s="230"/>
      <c r="B499" s="230"/>
      <c r="C499" s="230"/>
      <c r="D499" s="230"/>
      <c r="E499" s="230"/>
      <c r="F499" s="230"/>
      <c r="G499" s="230"/>
      <c r="H499" s="230"/>
      <c r="I499" s="230"/>
      <c r="J499" s="230"/>
      <c r="K499" s="230"/>
      <c r="L499" s="230"/>
      <c r="M499" s="230"/>
      <c r="N499" s="230"/>
      <c r="O499" s="230"/>
      <c r="P499" s="230"/>
      <c r="Q499" s="230"/>
      <c r="R499" s="230"/>
      <c r="S499" s="230"/>
      <c r="T499" s="230"/>
      <c r="U499" s="230"/>
      <c r="V499" s="230"/>
      <c r="W499" s="230"/>
      <c r="X499" s="230"/>
      <c r="Y499" s="230"/>
      <c r="Z499" s="230"/>
    </row>
    <row r="500" spans="1:26" ht="15.75" customHeight="1">
      <c r="A500" s="230"/>
      <c r="B500" s="230"/>
      <c r="C500" s="230"/>
      <c r="D500" s="230"/>
      <c r="E500" s="230"/>
      <c r="F500" s="230"/>
      <c r="G500" s="230"/>
      <c r="H500" s="230"/>
      <c r="I500" s="230"/>
      <c r="J500" s="230"/>
      <c r="K500" s="230"/>
      <c r="L500" s="230"/>
      <c r="M500" s="230"/>
      <c r="N500" s="230"/>
      <c r="O500" s="230"/>
      <c r="P500" s="230"/>
      <c r="Q500" s="230"/>
      <c r="R500" s="230"/>
      <c r="S500" s="230"/>
      <c r="T500" s="230"/>
      <c r="U500" s="230"/>
      <c r="V500" s="230"/>
      <c r="W500" s="230"/>
      <c r="X500" s="230"/>
      <c r="Y500" s="230"/>
      <c r="Z500" s="230"/>
    </row>
    <row r="501" spans="1:26" ht="15.75" customHeight="1">
      <c r="A501" s="230"/>
      <c r="B501" s="230"/>
      <c r="C501" s="230"/>
      <c r="D501" s="230"/>
      <c r="E501" s="230"/>
      <c r="F501" s="230"/>
      <c r="G501" s="230"/>
      <c r="H501" s="230"/>
      <c r="I501" s="230"/>
      <c r="J501" s="230"/>
      <c r="K501" s="230"/>
      <c r="L501" s="230"/>
      <c r="M501" s="230"/>
      <c r="N501" s="230"/>
      <c r="O501" s="230"/>
      <c r="P501" s="230"/>
      <c r="Q501" s="230"/>
      <c r="R501" s="230"/>
      <c r="S501" s="230"/>
      <c r="T501" s="230"/>
      <c r="U501" s="230"/>
      <c r="V501" s="230"/>
      <c r="W501" s="230"/>
      <c r="X501" s="230"/>
      <c r="Y501" s="230"/>
      <c r="Z501" s="230"/>
    </row>
    <row r="502" spans="1:26" ht="15.75" customHeight="1">
      <c r="A502" s="230"/>
      <c r="B502" s="230"/>
      <c r="C502" s="230"/>
      <c r="D502" s="230"/>
      <c r="E502" s="230"/>
      <c r="F502" s="230"/>
      <c r="G502" s="230"/>
      <c r="H502" s="230"/>
      <c r="I502" s="230"/>
      <c r="J502" s="230"/>
      <c r="K502" s="230"/>
      <c r="L502" s="230"/>
      <c r="M502" s="230"/>
      <c r="N502" s="230"/>
      <c r="O502" s="230"/>
      <c r="P502" s="230"/>
      <c r="Q502" s="230"/>
      <c r="R502" s="230"/>
      <c r="S502" s="230"/>
      <c r="T502" s="230"/>
      <c r="U502" s="230"/>
      <c r="V502" s="230"/>
      <c r="W502" s="230"/>
      <c r="X502" s="230"/>
      <c r="Y502" s="230"/>
      <c r="Z502" s="230"/>
    </row>
    <row r="503" spans="1:26" ht="15.75" customHeight="1">
      <c r="A503" s="230"/>
      <c r="B503" s="230"/>
      <c r="C503" s="230"/>
      <c r="D503" s="230"/>
      <c r="E503" s="230"/>
      <c r="F503" s="230"/>
      <c r="G503" s="230"/>
      <c r="H503" s="230"/>
      <c r="I503" s="230"/>
      <c r="J503" s="230"/>
      <c r="K503" s="230"/>
      <c r="L503" s="230"/>
      <c r="M503" s="230"/>
      <c r="N503" s="230"/>
      <c r="O503" s="230"/>
      <c r="P503" s="230"/>
      <c r="Q503" s="230"/>
      <c r="R503" s="230"/>
      <c r="S503" s="230"/>
      <c r="T503" s="230"/>
      <c r="U503" s="230"/>
      <c r="V503" s="230"/>
      <c r="W503" s="230"/>
      <c r="X503" s="230"/>
      <c r="Y503" s="230"/>
      <c r="Z503" s="230"/>
    </row>
    <row r="504" spans="1:26" ht="15.75" customHeight="1">
      <c r="A504" s="230"/>
      <c r="B504" s="230"/>
      <c r="C504" s="230"/>
      <c r="D504" s="230"/>
      <c r="E504" s="230"/>
      <c r="F504" s="230"/>
      <c r="G504" s="230"/>
      <c r="H504" s="230"/>
      <c r="I504" s="230"/>
      <c r="J504" s="230"/>
      <c r="K504" s="230"/>
      <c r="L504" s="230"/>
      <c r="M504" s="230"/>
      <c r="N504" s="230"/>
      <c r="O504" s="230"/>
      <c r="P504" s="230"/>
      <c r="Q504" s="230"/>
      <c r="R504" s="230"/>
      <c r="S504" s="230"/>
      <c r="T504" s="230"/>
      <c r="U504" s="230"/>
      <c r="V504" s="230"/>
      <c r="W504" s="230"/>
      <c r="X504" s="230"/>
      <c r="Y504" s="230"/>
      <c r="Z504" s="230"/>
    </row>
    <row r="505" spans="1:26" ht="15.75" customHeight="1">
      <c r="A505" s="230"/>
      <c r="B505" s="230"/>
      <c r="C505" s="230"/>
      <c r="D505" s="230"/>
      <c r="E505" s="230"/>
      <c r="F505" s="230"/>
      <c r="G505" s="230"/>
      <c r="H505" s="230"/>
      <c r="I505" s="230"/>
      <c r="J505" s="230"/>
      <c r="K505" s="230"/>
      <c r="L505" s="230"/>
      <c r="M505" s="230"/>
      <c r="N505" s="230"/>
      <c r="O505" s="230"/>
      <c r="P505" s="230"/>
      <c r="Q505" s="230"/>
      <c r="R505" s="230"/>
      <c r="S505" s="230"/>
      <c r="T505" s="230"/>
      <c r="U505" s="230"/>
      <c r="V505" s="230"/>
      <c r="W505" s="230"/>
      <c r="X505" s="230"/>
      <c r="Y505" s="230"/>
      <c r="Z505" s="230"/>
    </row>
    <row r="506" spans="1:26" ht="15.75" customHeight="1">
      <c r="A506" s="230"/>
      <c r="B506" s="230"/>
      <c r="C506" s="230"/>
      <c r="D506" s="230"/>
      <c r="E506" s="230"/>
      <c r="F506" s="230"/>
      <c r="G506" s="230"/>
      <c r="H506" s="230"/>
      <c r="I506" s="230"/>
      <c r="J506" s="230"/>
      <c r="K506" s="230"/>
      <c r="L506" s="230"/>
      <c r="M506" s="230"/>
      <c r="N506" s="230"/>
      <c r="O506" s="230"/>
      <c r="P506" s="230"/>
      <c r="Q506" s="230"/>
      <c r="R506" s="230"/>
      <c r="S506" s="230"/>
      <c r="T506" s="230"/>
      <c r="U506" s="230"/>
      <c r="V506" s="230"/>
      <c r="W506" s="230"/>
      <c r="X506" s="230"/>
      <c r="Y506" s="230"/>
      <c r="Z506" s="230"/>
    </row>
    <row r="507" spans="1:26" ht="15.75" customHeight="1">
      <c r="A507" s="230"/>
      <c r="B507" s="230"/>
      <c r="C507" s="230"/>
      <c r="D507" s="230"/>
      <c r="E507" s="230"/>
      <c r="F507" s="230"/>
      <c r="G507" s="230"/>
      <c r="H507" s="230"/>
      <c r="I507" s="230"/>
      <c r="J507" s="230"/>
      <c r="K507" s="230"/>
      <c r="L507" s="230"/>
      <c r="M507" s="230"/>
      <c r="N507" s="230"/>
      <c r="O507" s="230"/>
      <c r="P507" s="230"/>
      <c r="Q507" s="230"/>
      <c r="R507" s="230"/>
      <c r="S507" s="230"/>
      <c r="T507" s="230"/>
      <c r="U507" s="230"/>
      <c r="V507" s="230"/>
      <c r="W507" s="230"/>
      <c r="X507" s="230"/>
      <c r="Y507" s="230"/>
      <c r="Z507" s="230"/>
    </row>
    <row r="508" spans="1:26" ht="15.75" customHeight="1">
      <c r="A508" s="230"/>
      <c r="B508" s="230"/>
      <c r="C508" s="230"/>
      <c r="D508" s="230"/>
      <c r="E508" s="230"/>
      <c r="F508" s="230"/>
      <c r="G508" s="230"/>
      <c r="H508" s="230"/>
      <c r="I508" s="230"/>
      <c r="J508" s="230"/>
      <c r="K508" s="230"/>
      <c r="L508" s="230"/>
      <c r="M508" s="230"/>
      <c r="N508" s="230"/>
      <c r="O508" s="230"/>
      <c r="P508" s="230"/>
      <c r="Q508" s="230"/>
      <c r="R508" s="230"/>
      <c r="S508" s="230"/>
      <c r="T508" s="230"/>
      <c r="U508" s="230"/>
      <c r="V508" s="230"/>
      <c r="W508" s="230"/>
      <c r="X508" s="230"/>
      <c r="Y508" s="230"/>
      <c r="Z508" s="230"/>
    </row>
    <row r="509" spans="1:26" ht="15.75" customHeight="1">
      <c r="A509" s="230"/>
      <c r="B509" s="230"/>
      <c r="C509" s="230"/>
      <c r="D509" s="230"/>
      <c r="E509" s="230"/>
      <c r="F509" s="230"/>
      <c r="G509" s="230"/>
      <c r="H509" s="230"/>
      <c r="I509" s="230"/>
      <c r="J509" s="230"/>
      <c r="K509" s="230"/>
      <c r="L509" s="230"/>
      <c r="M509" s="230"/>
      <c r="N509" s="230"/>
      <c r="O509" s="230"/>
      <c r="P509" s="230"/>
      <c r="Q509" s="230"/>
      <c r="R509" s="230"/>
      <c r="S509" s="230"/>
      <c r="T509" s="230"/>
      <c r="U509" s="230"/>
      <c r="V509" s="230"/>
      <c r="W509" s="230"/>
      <c r="X509" s="230"/>
      <c r="Y509" s="230"/>
      <c r="Z509" s="230"/>
    </row>
    <row r="510" spans="1:26" ht="15.75" customHeight="1">
      <c r="A510" s="230"/>
      <c r="B510" s="230"/>
      <c r="C510" s="230"/>
      <c r="D510" s="230"/>
      <c r="E510" s="230"/>
      <c r="F510" s="230"/>
      <c r="G510" s="230"/>
      <c r="H510" s="230"/>
      <c r="I510" s="230"/>
      <c r="J510" s="230"/>
      <c r="K510" s="230"/>
      <c r="L510" s="230"/>
      <c r="M510" s="230"/>
      <c r="N510" s="230"/>
      <c r="O510" s="230"/>
      <c r="P510" s="230"/>
      <c r="Q510" s="230"/>
      <c r="R510" s="230"/>
      <c r="S510" s="230"/>
      <c r="T510" s="230"/>
      <c r="U510" s="230"/>
      <c r="V510" s="230"/>
      <c r="W510" s="230"/>
      <c r="X510" s="230"/>
      <c r="Y510" s="230"/>
      <c r="Z510" s="230"/>
    </row>
    <row r="511" spans="1:26" ht="15.75" customHeight="1">
      <c r="A511" s="230"/>
      <c r="B511" s="230"/>
      <c r="C511" s="230"/>
      <c r="D511" s="230"/>
      <c r="E511" s="230"/>
      <c r="F511" s="230"/>
      <c r="G511" s="230"/>
      <c r="H511" s="230"/>
      <c r="I511" s="230"/>
      <c r="J511" s="230"/>
      <c r="K511" s="230"/>
      <c r="L511" s="230"/>
      <c r="M511" s="230"/>
      <c r="N511" s="230"/>
      <c r="O511" s="230"/>
      <c r="P511" s="230"/>
      <c r="Q511" s="230"/>
      <c r="R511" s="230"/>
      <c r="S511" s="230"/>
      <c r="T511" s="230"/>
      <c r="U511" s="230"/>
      <c r="V511" s="230"/>
      <c r="W511" s="230"/>
      <c r="X511" s="230"/>
      <c r="Y511" s="230"/>
      <c r="Z511" s="230"/>
    </row>
    <row r="512" spans="1:26" ht="15.75" customHeight="1">
      <c r="A512" s="230"/>
      <c r="B512" s="230"/>
      <c r="C512" s="230"/>
      <c r="D512" s="230"/>
      <c r="E512" s="230"/>
      <c r="F512" s="230"/>
      <c r="G512" s="230"/>
      <c r="H512" s="230"/>
      <c r="I512" s="230"/>
      <c r="J512" s="230"/>
      <c r="K512" s="230"/>
      <c r="L512" s="230"/>
      <c r="M512" s="230"/>
      <c r="N512" s="230"/>
      <c r="O512" s="230"/>
      <c r="P512" s="230"/>
      <c r="Q512" s="230"/>
      <c r="R512" s="230"/>
      <c r="S512" s="230"/>
      <c r="T512" s="230"/>
      <c r="U512" s="230"/>
      <c r="V512" s="230"/>
      <c r="W512" s="230"/>
      <c r="X512" s="230"/>
      <c r="Y512" s="230"/>
      <c r="Z512" s="230"/>
    </row>
    <row r="513" spans="1:26" ht="15.75" customHeight="1">
      <c r="A513" s="230"/>
      <c r="B513" s="230"/>
      <c r="C513" s="230"/>
      <c r="D513" s="230"/>
      <c r="E513" s="230"/>
      <c r="F513" s="230"/>
      <c r="G513" s="230"/>
      <c r="H513" s="230"/>
      <c r="I513" s="230"/>
      <c r="J513" s="230"/>
      <c r="K513" s="230"/>
      <c r="L513" s="230"/>
      <c r="M513" s="230"/>
      <c r="N513" s="230"/>
      <c r="O513" s="230"/>
      <c r="P513" s="230"/>
      <c r="Q513" s="230"/>
      <c r="R513" s="230"/>
      <c r="S513" s="230"/>
      <c r="T513" s="230"/>
      <c r="U513" s="230"/>
      <c r="V513" s="230"/>
      <c r="W513" s="230"/>
      <c r="X513" s="230"/>
      <c r="Y513" s="230"/>
      <c r="Z513" s="230"/>
    </row>
    <row r="514" spans="1:26" ht="15.75" customHeight="1">
      <c r="A514" s="230"/>
      <c r="B514" s="230"/>
      <c r="C514" s="230"/>
      <c r="D514" s="230"/>
      <c r="E514" s="230"/>
      <c r="F514" s="230"/>
      <c r="G514" s="230"/>
      <c r="H514" s="230"/>
      <c r="I514" s="230"/>
      <c r="J514" s="230"/>
      <c r="K514" s="230"/>
      <c r="L514" s="230"/>
      <c r="M514" s="230"/>
      <c r="N514" s="230"/>
      <c r="O514" s="230"/>
      <c r="P514" s="230"/>
      <c r="Q514" s="230"/>
      <c r="R514" s="230"/>
      <c r="S514" s="230"/>
      <c r="T514" s="230"/>
      <c r="U514" s="230"/>
      <c r="V514" s="230"/>
      <c r="W514" s="230"/>
      <c r="X514" s="230"/>
      <c r="Y514" s="230"/>
      <c r="Z514" s="230"/>
    </row>
    <row r="515" spans="1:26" ht="15.75" customHeight="1">
      <c r="A515" s="230"/>
      <c r="B515" s="230"/>
      <c r="C515" s="230"/>
      <c r="D515" s="230"/>
      <c r="E515" s="230"/>
      <c r="F515" s="230"/>
      <c r="G515" s="230"/>
      <c r="H515" s="230"/>
      <c r="I515" s="230"/>
      <c r="J515" s="230"/>
      <c r="K515" s="230"/>
      <c r="L515" s="230"/>
      <c r="M515" s="230"/>
      <c r="N515" s="230"/>
      <c r="O515" s="230"/>
      <c r="P515" s="230"/>
      <c r="Q515" s="230"/>
      <c r="R515" s="230"/>
      <c r="S515" s="230"/>
      <c r="T515" s="230"/>
      <c r="U515" s="230"/>
      <c r="V515" s="230"/>
      <c r="W515" s="230"/>
      <c r="X515" s="230"/>
      <c r="Y515" s="230"/>
      <c r="Z515" s="230"/>
    </row>
    <row r="516" spans="1:26" ht="15.75" customHeight="1">
      <c r="A516" s="230"/>
      <c r="B516" s="230"/>
      <c r="C516" s="230"/>
      <c r="D516" s="230"/>
      <c r="E516" s="230"/>
      <c r="F516" s="230"/>
      <c r="G516" s="230"/>
      <c r="H516" s="230"/>
      <c r="I516" s="230"/>
      <c r="J516" s="230"/>
      <c r="K516" s="230"/>
      <c r="L516" s="230"/>
      <c r="M516" s="230"/>
      <c r="N516" s="230"/>
      <c r="O516" s="230"/>
      <c r="P516" s="230"/>
      <c r="Q516" s="230"/>
      <c r="R516" s="230"/>
      <c r="S516" s="230"/>
      <c r="T516" s="230"/>
      <c r="U516" s="230"/>
      <c r="V516" s="230"/>
      <c r="W516" s="230"/>
      <c r="X516" s="230"/>
      <c r="Y516" s="230"/>
      <c r="Z516" s="230"/>
    </row>
    <row r="517" spans="1:26" ht="15.75" customHeight="1">
      <c r="A517" s="230"/>
      <c r="B517" s="230"/>
      <c r="C517" s="230"/>
      <c r="D517" s="230"/>
      <c r="E517" s="230"/>
      <c r="F517" s="230"/>
      <c r="G517" s="230"/>
      <c r="H517" s="230"/>
      <c r="I517" s="230"/>
      <c r="J517" s="230"/>
      <c r="K517" s="230"/>
      <c r="L517" s="230"/>
      <c r="M517" s="230"/>
      <c r="N517" s="230"/>
      <c r="O517" s="230"/>
      <c r="P517" s="230"/>
      <c r="Q517" s="230"/>
      <c r="R517" s="230"/>
      <c r="S517" s="230"/>
      <c r="T517" s="230"/>
      <c r="U517" s="230"/>
      <c r="V517" s="230"/>
      <c r="W517" s="230"/>
      <c r="X517" s="230"/>
      <c r="Y517" s="230"/>
      <c r="Z517" s="230"/>
    </row>
    <row r="518" spans="1:26" ht="15.75" customHeight="1">
      <c r="A518" s="230"/>
      <c r="B518" s="230"/>
      <c r="C518" s="230"/>
      <c r="D518" s="230"/>
      <c r="E518" s="230"/>
      <c r="F518" s="230"/>
      <c r="G518" s="230"/>
      <c r="H518" s="230"/>
      <c r="I518" s="230"/>
      <c r="J518" s="230"/>
      <c r="K518" s="230"/>
      <c r="L518" s="230"/>
      <c r="M518" s="230"/>
      <c r="N518" s="230"/>
      <c r="O518" s="230"/>
      <c r="P518" s="230"/>
      <c r="Q518" s="230"/>
      <c r="R518" s="230"/>
      <c r="S518" s="230"/>
      <c r="T518" s="230"/>
      <c r="U518" s="230"/>
      <c r="V518" s="230"/>
      <c r="W518" s="230"/>
      <c r="X518" s="230"/>
      <c r="Y518" s="230"/>
      <c r="Z518" s="230"/>
    </row>
    <row r="519" spans="1:26" ht="15.75" customHeight="1">
      <c r="A519" s="230"/>
      <c r="B519" s="230"/>
      <c r="C519" s="230"/>
      <c r="D519" s="230"/>
      <c r="E519" s="230"/>
      <c r="F519" s="230"/>
      <c r="G519" s="230"/>
      <c r="H519" s="230"/>
      <c r="I519" s="230"/>
      <c r="J519" s="230"/>
      <c r="K519" s="230"/>
      <c r="L519" s="230"/>
      <c r="M519" s="230"/>
      <c r="N519" s="230"/>
      <c r="O519" s="230"/>
      <c r="P519" s="230"/>
      <c r="Q519" s="230"/>
      <c r="R519" s="230"/>
      <c r="S519" s="230"/>
      <c r="T519" s="230"/>
      <c r="U519" s="230"/>
      <c r="V519" s="230"/>
      <c r="W519" s="230"/>
      <c r="X519" s="230"/>
      <c r="Y519" s="230"/>
      <c r="Z519" s="230"/>
    </row>
    <row r="520" spans="1:26" ht="15.75" customHeight="1">
      <c r="A520" s="230"/>
      <c r="B520" s="230"/>
      <c r="C520" s="230"/>
      <c r="D520" s="230"/>
      <c r="E520" s="230"/>
      <c r="F520" s="230"/>
      <c r="G520" s="230"/>
      <c r="H520" s="230"/>
      <c r="I520" s="230"/>
      <c r="J520" s="230"/>
      <c r="K520" s="230"/>
      <c r="L520" s="230"/>
      <c r="M520" s="230"/>
      <c r="N520" s="230"/>
      <c r="O520" s="230"/>
      <c r="P520" s="230"/>
      <c r="Q520" s="230"/>
      <c r="R520" s="230"/>
      <c r="S520" s="230"/>
      <c r="T520" s="230"/>
      <c r="U520" s="230"/>
      <c r="V520" s="230"/>
      <c r="W520" s="230"/>
      <c r="X520" s="230"/>
      <c r="Y520" s="230"/>
      <c r="Z520" s="230"/>
    </row>
    <row r="521" spans="1:26" ht="15.75" customHeight="1">
      <c r="A521" s="230"/>
      <c r="B521" s="230"/>
      <c r="C521" s="230"/>
      <c r="D521" s="230"/>
      <c r="E521" s="230"/>
      <c r="F521" s="230"/>
      <c r="G521" s="230"/>
      <c r="H521" s="230"/>
      <c r="I521" s="230"/>
      <c r="J521" s="230"/>
      <c r="K521" s="230"/>
      <c r="L521" s="230"/>
      <c r="M521" s="230"/>
      <c r="N521" s="230"/>
      <c r="O521" s="230"/>
      <c r="P521" s="230"/>
      <c r="Q521" s="230"/>
      <c r="R521" s="230"/>
      <c r="S521" s="230"/>
      <c r="T521" s="230"/>
      <c r="U521" s="230"/>
      <c r="V521" s="230"/>
      <c r="W521" s="230"/>
      <c r="X521" s="230"/>
      <c r="Y521" s="230"/>
      <c r="Z521" s="230"/>
    </row>
    <row r="522" spans="1:26" ht="15.75" customHeight="1">
      <c r="A522" s="230"/>
      <c r="B522" s="230"/>
      <c r="C522" s="230"/>
      <c r="D522" s="230"/>
      <c r="E522" s="230"/>
      <c r="F522" s="230"/>
      <c r="G522" s="230"/>
      <c r="H522" s="230"/>
      <c r="I522" s="230"/>
      <c r="J522" s="230"/>
      <c r="K522" s="230"/>
      <c r="L522" s="230"/>
      <c r="M522" s="230"/>
      <c r="N522" s="230"/>
      <c r="O522" s="230"/>
      <c r="P522" s="230"/>
      <c r="Q522" s="230"/>
      <c r="R522" s="230"/>
      <c r="S522" s="230"/>
      <c r="T522" s="230"/>
      <c r="U522" s="230"/>
      <c r="V522" s="230"/>
      <c r="W522" s="230"/>
      <c r="X522" s="230"/>
      <c r="Y522" s="230"/>
      <c r="Z522" s="230"/>
    </row>
    <row r="523" spans="1:26" ht="15.75" customHeight="1">
      <c r="A523" s="230"/>
      <c r="B523" s="230"/>
      <c r="C523" s="230"/>
      <c r="D523" s="230"/>
      <c r="E523" s="230"/>
      <c r="F523" s="230"/>
      <c r="G523" s="230"/>
      <c r="H523" s="230"/>
      <c r="I523" s="230"/>
      <c r="J523" s="230"/>
      <c r="K523" s="230"/>
      <c r="L523" s="230"/>
      <c r="M523" s="230"/>
      <c r="N523" s="230"/>
      <c r="O523" s="230"/>
      <c r="P523" s="230"/>
      <c r="Q523" s="230"/>
      <c r="R523" s="230"/>
      <c r="S523" s="230"/>
      <c r="T523" s="230"/>
      <c r="U523" s="230"/>
      <c r="V523" s="230"/>
      <c r="W523" s="230"/>
      <c r="X523" s="230"/>
      <c r="Y523" s="230"/>
      <c r="Z523" s="230"/>
    </row>
    <row r="524" spans="1:26" ht="15.75" customHeight="1">
      <c r="A524" s="230"/>
      <c r="B524" s="230"/>
      <c r="C524" s="230"/>
      <c r="D524" s="230"/>
      <c r="E524" s="230"/>
      <c r="F524" s="230"/>
      <c r="G524" s="230"/>
      <c r="H524" s="230"/>
      <c r="I524" s="230"/>
      <c r="J524" s="230"/>
      <c r="K524" s="230"/>
      <c r="L524" s="230"/>
      <c r="M524" s="230"/>
      <c r="N524" s="230"/>
      <c r="O524" s="230"/>
      <c r="P524" s="230"/>
      <c r="Q524" s="230"/>
      <c r="R524" s="230"/>
      <c r="S524" s="230"/>
      <c r="T524" s="230"/>
      <c r="U524" s="230"/>
      <c r="V524" s="230"/>
      <c r="W524" s="230"/>
      <c r="X524" s="230"/>
      <c r="Y524" s="230"/>
      <c r="Z524" s="230"/>
    </row>
    <row r="525" spans="1:26" ht="15.75" customHeight="1">
      <c r="A525" s="230"/>
      <c r="B525" s="230"/>
      <c r="C525" s="230"/>
      <c r="D525" s="230"/>
      <c r="E525" s="230"/>
      <c r="F525" s="230"/>
      <c r="G525" s="230"/>
      <c r="H525" s="230"/>
      <c r="I525" s="230"/>
      <c r="J525" s="230"/>
      <c r="K525" s="230"/>
      <c r="L525" s="230"/>
      <c r="M525" s="230"/>
      <c r="N525" s="230"/>
      <c r="O525" s="230"/>
      <c r="P525" s="230"/>
      <c r="Q525" s="230"/>
      <c r="R525" s="230"/>
      <c r="S525" s="230"/>
      <c r="T525" s="230"/>
      <c r="U525" s="230"/>
      <c r="V525" s="230"/>
      <c r="W525" s="230"/>
      <c r="X525" s="230"/>
      <c r="Y525" s="230"/>
      <c r="Z525" s="230"/>
    </row>
    <row r="526" spans="1:26" ht="15.75" customHeight="1">
      <c r="A526" s="230"/>
      <c r="B526" s="230"/>
      <c r="C526" s="230"/>
      <c r="D526" s="230"/>
      <c r="E526" s="230"/>
      <c r="F526" s="230"/>
      <c r="G526" s="230"/>
      <c r="H526" s="230"/>
      <c r="I526" s="230"/>
      <c r="J526" s="230"/>
      <c r="K526" s="230"/>
      <c r="L526" s="230"/>
      <c r="M526" s="230"/>
      <c r="N526" s="230"/>
      <c r="O526" s="230"/>
      <c r="P526" s="230"/>
      <c r="Q526" s="230"/>
      <c r="R526" s="230"/>
      <c r="S526" s="230"/>
      <c r="T526" s="230"/>
      <c r="U526" s="230"/>
      <c r="V526" s="230"/>
      <c r="W526" s="230"/>
      <c r="X526" s="230"/>
      <c r="Y526" s="230"/>
      <c r="Z526" s="230"/>
    </row>
    <row r="527" spans="1:26" ht="15.75" customHeight="1">
      <c r="A527" s="230"/>
      <c r="B527" s="230"/>
      <c r="C527" s="230"/>
      <c r="D527" s="230"/>
      <c r="E527" s="230"/>
      <c r="F527" s="230"/>
      <c r="G527" s="230"/>
      <c r="H527" s="230"/>
      <c r="I527" s="230"/>
      <c r="J527" s="230"/>
      <c r="K527" s="230"/>
      <c r="L527" s="230"/>
      <c r="M527" s="230"/>
      <c r="N527" s="230"/>
      <c r="O527" s="230"/>
      <c r="P527" s="230"/>
      <c r="Q527" s="230"/>
      <c r="R527" s="230"/>
      <c r="S527" s="230"/>
      <c r="T527" s="230"/>
      <c r="U527" s="230"/>
      <c r="V527" s="230"/>
      <c r="W527" s="230"/>
      <c r="X527" s="230"/>
      <c r="Y527" s="230"/>
      <c r="Z527" s="230"/>
    </row>
    <row r="528" spans="1:26" ht="15.75" customHeight="1">
      <c r="A528" s="230"/>
      <c r="B528" s="230"/>
      <c r="C528" s="230"/>
      <c r="D528" s="230"/>
      <c r="E528" s="230"/>
      <c r="F528" s="230"/>
      <c r="G528" s="230"/>
      <c r="H528" s="230"/>
      <c r="I528" s="230"/>
      <c r="J528" s="230"/>
      <c r="K528" s="230"/>
      <c r="L528" s="230"/>
      <c r="M528" s="230"/>
      <c r="N528" s="230"/>
      <c r="O528" s="230"/>
      <c r="P528" s="230"/>
      <c r="Q528" s="230"/>
      <c r="R528" s="230"/>
      <c r="S528" s="230"/>
      <c r="T528" s="230"/>
      <c r="U528" s="230"/>
      <c r="V528" s="230"/>
      <c r="W528" s="230"/>
      <c r="X528" s="230"/>
      <c r="Y528" s="230"/>
      <c r="Z528" s="230"/>
    </row>
    <row r="529" spans="1:26" ht="15.75" customHeight="1">
      <c r="A529" s="230"/>
      <c r="B529" s="230"/>
      <c r="C529" s="230"/>
      <c r="D529" s="230"/>
      <c r="E529" s="230"/>
      <c r="F529" s="230"/>
      <c r="G529" s="230"/>
      <c r="H529" s="230"/>
      <c r="I529" s="230"/>
      <c r="J529" s="230"/>
      <c r="K529" s="230"/>
      <c r="L529" s="230"/>
      <c r="M529" s="230"/>
      <c r="N529" s="230"/>
      <c r="O529" s="230"/>
      <c r="P529" s="230"/>
      <c r="Q529" s="230"/>
      <c r="R529" s="230"/>
      <c r="S529" s="230"/>
      <c r="T529" s="230"/>
      <c r="U529" s="230"/>
      <c r="V529" s="230"/>
      <c r="W529" s="230"/>
      <c r="X529" s="230"/>
      <c r="Y529" s="230"/>
      <c r="Z529" s="230"/>
    </row>
    <row r="530" spans="1:26" ht="15.75" customHeight="1">
      <c r="A530" s="230"/>
      <c r="B530" s="230"/>
      <c r="C530" s="230"/>
      <c r="D530" s="230"/>
      <c r="E530" s="230"/>
      <c r="F530" s="230"/>
      <c r="G530" s="230"/>
      <c r="H530" s="230"/>
      <c r="I530" s="230"/>
      <c r="J530" s="230"/>
      <c r="K530" s="230"/>
      <c r="L530" s="230"/>
      <c r="M530" s="230"/>
      <c r="N530" s="230"/>
      <c r="O530" s="230"/>
      <c r="P530" s="230"/>
      <c r="Q530" s="230"/>
      <c r="R530" s="230"/>
      <c r="S530" s="230"/>
      <c r="T530" s="230"/>
      <c r="U530" s="230"/>
      <c r="V530" s="230"/>
      <c r="W530" s="230"/>
      <c r="X530" s="230"/>
      <c r="Y530" s="230"/>
      <c r="Z530" s="230"/>
    </row>
    <row r="531" spans="1:26" ht="15.75" customHeight="1">
      <c r="A531" s="230"/>
      <c r="B531" s="230"/>
      <c r="C531" s="230"/>
      <c r="D531" s="230"/>
      <c r="E531" s="230"/>
      <c r="F531" s="230"/>
      <c r="G531" s="230"/>
      <c r="H531" s="230"/>
      <c r="I531" s="230"/>
      <c r="J531" s="230"/>
      <c r="K531" s="230"/>
      <c r="L531" s="230"/>
      <c r="M531" s="230"/>
      <c r="N531" s="230"/>
      <c r="O531" s="230"/>
      <c r="P531" s="230"/>
      <c r="Q531" s="230"/>
      <c r="R531" s="230"/>
      <c r="S531" s="230"/>
      <c r="T531" s="230"/>
      <c r="U531" s="230"/>
      <c r="V531" s="230"/>
      <c r="W531" s="230"/>
      <c r="X531" s="230"/>
      <c r="Y531" s="230"/>
      <c r="Z531" s="230"/>
    </row>
    <row r="532" spans="1:26" ht="15.75" customHeight="1">
      <c r="A532" s="230"/>
      <c r="B532" s="230"/>
      <c r="C532" s="230"/>
      <c r="D532" s="230"/>
      <c r="E532" s="230"/>
      <c r="F532" s="230"/>
      <c r="G532" s="230"/>
      <c r="H532" s="230"/>
      <c r="I532" s="230"/>
      <c r="J532" s="230"/>
      <c r="K532" s="230"/>
      <c r="L532" s="230"/>
      <c r="M532" s="230"/>
      <c r="N532" s="230"/>
      <c r="O532" s="230"/>
      <c r="P532" s="230"/>
      <c r="Q532" s="230"/>
      <c r="R532" s="230"/>
      <c r="S532" s="230"/>
      <c r="T532" s="230"/>
      <c r="U532" s="230"/>
      <c r="V532" s="230"/>
      <c r="W532" s="230"/>
      <c r="X532" s="230"/>
      <c r="Y532" s="230"/>
      <c r="Z532" s="230"/>
    </row>
    <row r="533" spans="1:26" ht="15.75" customHeight="1">
      <c r="A533" s="230"/>
      <c r="B533" s="230"/>
      <c r="C533" s="230"/>
      <c r="D533" s="230"/>
      <c r="E533" s="230"/>
      <c r="F533" s="230"/>
      <c r="G533" s="230"/>
      <c r="H533" s="230"/>
      <c r="I533" s="230"/>
      <c r="J533" s="230"/>
      <c r="K533" s="230"/>
      <c r="L533" s="230"/>
      <c r="M533" s="230"/>
      <c r="N533" s="230"/>
      <c r="O533" s="230"/>
      <c r="P533" s="230"/>
      <c r="Q533" s="230"/>
      <c r="R533" s="230"/>
      <c r="S533" s="230"/>
      <c r="T533" s="230"/>
      <c r="U533" s="230"/>
      <c r="V533" s="230"/>
      <c r="W533" s="230"/>
      <c r="X533" s="230"/>
      <c r="Y533" s="230"/>
      <c r="Z533" s="230"/>
    </row>
    <row r="534" spans="1:26" ht="15.75" customHeight="1">
      <c r="A534" s="230"/>
      <c r="B534" s="230"/>
      <c r="C534" s="230"/>
      <c r="D534" s="230"/>
      <c r="E534" s="230"/>
      <c r="F534" s="230"/>
      <c r="G534" s="230"/>
      <c r="H534" s="230"/>
      <c r="I534" s="230"/>
      <c r="J534" s="230"/>
      <c r="K534" s="230"/>
      <c r="L534" s="230"/>
      <c r="M534" s="230"/>
      <c r="N534" s="230"/>
      <c r="O534" s="230"/>
      <c r="P534" s="230"/>
      <c r="Q534" s="230"/>
      <c r="R534" s="230"/>
      <c r="S534" s="230"/>
      <c r="T534" s="230"/>
      <c r="U534" s="230"/>
      <c r="V534" s="230"/>
      <c r="W534" s="230"/>
      <c r="X534" s="230"/>
      <c r="Y534" s="230"/>
      <c r="Z534" s="230"/>
    </row>
    <row r="535" spans="1:26" ht="15.75" customHeight="1">
      <c r="A535" s="230"/>
      <c r="B535" s="230"/>
      <c r="C535" s="230"/>
      <c r="D535" s="230"/>
      <c r="E535" s="230"/>
      <c r="F535" s="230"/>
      <c r="G535" s="230"/>
      <c r="H535" s="230"/>
      <c r="I535" s="230"/>
      <c r="J535" s="230"/>
      <c r="K535" s="230"/>
      <c r="L535" s="230"/>
      <c r="M535" s="230"/>
      <c r="N535" s="230"/>
      <c r="O535" s="230"/>
      <c r="P535" s="230"/>
      <c r="Q535" s="230"/>
      <c r="R535" s="230"/>
      <c r="S535" s="230"/>
      <c r="T535" s="230"/>
      <c r="U535" s="230"/>
      <c r="V535" s="230"/>
      <c r="W535" s="230"/>
      <c r="X535" s="230"/>
      <c r="Y535" s="230"/>
      <c r="Z535" s="230"/>
    </row>
    <row r="536" spans="1:26" ht="15.75" customHeight="1">
      <c r="A536" s="230"/>
      <c r="B536" s="230"/>
      <c r="C536" s="230"/>
      <c r="D536" s="230"/>
      <c r="E536" s="230"/>
      <c r="F536" s="230"/>
      <c r="G536" s="230"/>
      <c r="H536" s="230"/>
      <c r="I536" s="230"/>
      <c r="J536" s="230"/>
      <c r="K536" s="230"/>
      <c r="L536" s="230"/>
      <c r="M536" s="230"/>
      <c r="N536" s="230"/>
      <c r="O536" s="230"/>
      <c r="P536" s="230"/>
      <c r="Q536" s="230"/>
      <c r="R536" s="230"/>
      <c r="S536" s="230"/>
      <c r="T536" s="230"/>
      <c r="U536" s="230"/>
      <c r="V536" s="230"/>
      <c r="W536" s="230"/>
      <c r="X536" s="230"/>
      <c r="Y536" s="230"/>
      <c r="Z536" s="230"/>
    </row>
    <row r="537" spans="1:26" ht="15.75" customHeight="1">
      <c r="A537" s="230"/>
      <c r="B537" s="230"/>
      <c r="C537" s="230"/>
      <c r="D537" s="230"/>
      <c r="E537" s="230"/>
      <c r="F537" s="230"/>
      <c r="G537" s="230"/>
      <c r="H537" s="230"/>
      <c r="I537" s="230"/>
      <c r="J537" s="230"/>
      <c r="K537" s="230"/>
      <c r="L537" s="230"/>
      <c r="M537" s="230"/>
      <c r="N537" s="230"/>
      <c r="O537" s="230"/>
      <c r="P537" s="230"/>
      <c r="Q537" s="230"/>
      <c r="R537" s="230"/>
      <c r="S537" s="230"/>
      <c r="T537" s="230"/>
      <c r="U537" s="230"/>
      <c r="V537" s="230"/>
      <c r="W537" s="230"/>
      <c r="X537" s="230"/>
      <c r="Y537" s="230"/>
      <c r="Z537" s="230"/>
    </row>
    <row r="538" spans="1:26" ht="15.75" customHeight="1">
      <c r="A538" s="230"/>
      <c r="B538" s="230"/>
      <c r="C538" s="230"/>
      <c r="D538" s="230"/>
      <c r="E538" s="230"/>
      <c r="F538" s="230"/>
      <c r="G538" s="230"/>
      <c r="H538" s="230"/>
      <c r="I538" s="230"/>
      <c r="J538" s="230"/>
      <c r="K538" s="230"/>
      <c r="L538" s="230"/>
      <c r="M538" s="230"/>
      <c r="N538" s="230"/>
      <c r="O538" s="230"/>
      <c r="P538" s="230"/>
      <c r="Q538" s="230"/>
      <c r="R538" s="230"/>
      <c r="S538" s="230"/>
      <c r="T538" s="230"/>
      <c r="U538" s="230"/>
      <c r="V538" s="230"/>
      <c r="W538" s="230"/>
      <c r="X538" s="230"/>
      <c r="Y538" s="230"/>
      <c r="Z538" s="230"/>
    </row>
    <row r="539" spans="1:26" ht="15.75" customHeight="1">
      <c r="A539" s="230"/>
      <c r="B539" s="230"/>
      <c r="C539" s="230"/>
      <c r="D539" s="230"/>
      <c r="E539" s="230"/>
      <c r="F539" s="230"/>
      <c r="G539" s="230"/>
      <c r="H539" s="230"/>
      <c r="I539" s="230"/>
      <c r="J539" s="230"/>
      <c r="K539" s="230"/>
      <c r="L539" s="230"/>
      <c r="M539" s="230"/>
      <c r="N539" s="230"/>
      <c r="O539" s="230"/>
      <c r="P539" s="230"/>
      <c r="Q539" s="230"/>
      <c r="R539" s="230"/>
      <c r="S539" s="230"/>
      <c r="T539" s="230"/>
      <c r="U539" s="230"/>
      <c r="V539" s="230"/>
      <c r="W539" s="230"/>
      <c r="X539" s="230"/>
      <c r="Y539" s="230"/>
      <c r="Z539" s="230"/>
    </row>
    <row r="540" spans="1:26" ht="15.75" customHeight="1">
      <c r="A540" s="230"/>
      <c r="B540" s="230"/>
      <c r="C540" s="230"/>
      <c r="D540" s="230"/>
      <c r="E540" s="230"/>
      <c r="F540" s="230"/>
      <c r="G540" s="230"/>
      <c r="H540" s="230"/>
      <c r="I540" s="230"/>
      <c r="J540" s="230"/>
      <c r="K540" s="230"/>
      <c r="L540" s="230"/>
      <c r="M540" s="230"/>
      <c r="N540" s="230"/>
      <c r="O540" s="230"/>
      <c r="P540" s="230"/>
      <c r="Q540" s="230"/>
      <c r="R540" s="230"/>
      <c r="S540" s="230"/>
      <c r="T540" s="230"/>
      <c r="U540" s="230"/>
      <c r="V540" s="230"/>
      <c r="W540" s="230"/>
      <c r="X540" s="230"/>
      <c r="Y540" s="230"/>
      <c r="Z540" s="230"/>
    </row>
    <row r="541" spans="1:26" ht="15.75" customHeight="1">
      <c r="A541" s="230"/>
      <c r="B541" s="230"/>
      <c r="C541" s="230"/>
      <c r="D541" s="230"/>
      <c r="E541" s="230"/>
      <c r="F541" s="230"/>
      <c r="G541" s="230"/>
      <c r="H541" s="230"/>
      <c r="I541" s="230"/>
      <c r="J541" s="230"/>
      <c r="K541" s="230"/>
      <c r="L541" s="230"/>
      <c r="M541" s="230"/>
      <c r="N541" s="230"/>
      <c r="O541" s="230"/>
      <c r="P541" s="230"/>
      <c r="Q541" s="230"/>
      <c r="R541" s="230"/>
      <c r="S541" s="230"/>
      <c r="T541" s="230"/>
      <c r="U541" s="230"/>
      <c r="V541" s="230"/>
      <c r="W541" s="230"/>
      <c r="X541" s="230"/>
      <c r="Y541" s="230"/>
      <c r="Z541" s="230"/>
    </row>
    <row r="542" spans="1:26" ht="15.75" customHeight="1">
      <c r="A542" s="230"/>
      <c r="B542" s="230"/>
      <c r="C542" s="230"/>
      <c r="D542" s="230"/>
      <c r="E542" s="230"/>
      <c r="F542" s="230"/>
      <c r="G542" s="230"/>
      <c r="H542" s="230"/>
      <c r="I542" s="230"/>
      <c r="J542" s="230"/>
      <c r="K542" s="230"/>
      <c r="L542" s="230"/>
      <c r="M542" s="230"/>
      <c r="N542" s="230"/>
      <c r="O542" s="230"/>
      <c r="P542" s="230"/>
      <c r="Q542" s="230"/>
      <c r="R542" s="230"/>
      <c r="S542" s="230"/>
      <c r="T542" s="230"/>
      <c r="U542" s="230"/>
      <c r="V542" s="230"/>
      <c r="W542" s="230"/>
      <c r="X542" s="230"/>
      <c r="Y542" s="230"/>
      <c r="Z542" s="230"/>
    </row>
    <row r="543" spans="1:26" ht="15.75" customHeight="1">
      <c r="A543" s="230"/>
      <c r="B543" s="230"/>
      <c r="C543" s="230"/>
      <c r="D543" s="230"/>
      <c r="E543" s="230"/>
      <c r="F543" s="230"/>
      <c r="G543" s="230"/>
      <c r="H543" s="230"/>
      <c r="I543" s="230"/>
      <c r="J543" s="230"/>
      <c r="K543" s="230"/>
      <c r="L543" s="230"/>
      <c r="M543" s="230"/>
      <c r="N543" s="230"/>
      <c r="O543" s="230"/>
      <c r="P543" s="230"/>
      <c r="Q543" s="230"/>
      <c r="R543" s="230"/>
      <c r="S543" s="230"/>
      <c r="T543" s="230"/>
      <c r="U543" s="230"/>
      <c r="V543" s="230"/>
      <c r="W543" s="230"/>
      <c r="X543" s="230"/>
      <c r="Y543" s="230"/>
      <c r="Z543" s="230"/>
    </row>
    <row r="544" spans="1:26" ht="15.75" customHeight="1">
      <c r="A544" s="230"/>
      <c r="B544" s="230"/>
      <c r="C544" s="230"/>
      <c r="D544" s="230"/>
      <c r="E544" s="230"/>
      <c r="F544" s="230"/>
      <c r="G544" s="230"/>
      <c r="H544" s="230"/>
      <c r="I544" s="230"/>
      <c r="J544" s="230"/>
      <c r="K544" s="230"/>
      <c r="L544" s="230"/>
      <c r="M544" s="230"/>
      <c r="N544" s="230"/>
      <c r="O544" s="230"/>
      <c r="P544" s="230"/>
      <c r="Q544" s="230"/>
      <c r="R544" s="230"/>
      <c r="S544" s="230"/>
      <c r="T544" s="230"/>
      <c r="U544" s="230"/>
      <c r="V544" s="230"/>
      <c r="W544" s="230"/>
      <c r="X544" s="230"/>
      <c r="Y544" s="230"/>
      <c r="Z544" s="230"/>
    </row>
    <row r="545" spans="1:26" ht="15.75" customHeight="1">
      <c r="A545" s="230"/>
      <c r="B545" s="230"/>
      <c r="C545" s="230"/>
      <c r="D545" s="230"/>
      <c r="E545" s="230"/>
      <c r="F545" s="230"/>
      <c r="G545" s="230"/>
      <c r="H545" s="230"/>
      <c r="I545" s="230"/>
      <c r="J545" s="230"/>
      <c r="K545" s="230"/>
      <c r="L545" s="230"/>
      <c r="M545" s="230"/>
      <c r="N545" s="230"/>
      <c r="O545" s="230"/>
      <c r="P545" s="230"/>
      <c r="Q545" s="230"/>
      <c r="R545" s="230"/>
      <c r="S545" s="230"/>
      <c r="T545" s="230"/>
      <c r="U545" s="230"/>
      <c r="V545" s="230"/>
      <c r="W545" s="230"/>
      <c r="X545" s="230"/>
      <c r="Y545" s="230"/>
      <c r="Z545" s="230"/>
    </row>
    <row r="546" spans="1:26" ht="15.75" customHeight="1">
      <c r="A546" s="230"/>
      <c r="B546" s="230"/>
      <c r="C546" s="230"/>
      <c r="D546" s="230"/>
      <c r="E546" s="230"/>
      <c r="F546" s="230"/>
      <c r="G546" s="230"/>
      <c r="H546" s="230"/>
      <c r="I546" s="230"/>
      <c r="J546" s="230"/>
      <c r="K546" s="230"/>
      <c r="L546" s="230"/>
      <c r="M546" s="230"/>
      <c r="N546" s="230"/>
      <c r="O546" s="230"/>
      <c r="P546" s="230"/>
      <c r="Q546" s="230"/>
      <c r="R546" s="230"/>
      <c r="S546" s="230"/>
      <c r="T546" s="230"/>
      <c r="U546" s="230"/>
      <c r="V546" s="230"/>
      <c r="W546" s="230"/>
      <c r="X546" s="230"/>
      <c r="Y546" s="230"/>
      <c r="Z546" s="230"/>
    </row>
    <row r="547" spans="1:26" ht="15.75" customHeight="1">
      <c r="A547" s="230"/>
      <c r="B547" s="230"/>
      <c r="C547" s="230"/>
      <c r="D547" s="230"/>
      <c r="E547" s="230"/>
      <c r="F547" s="230"/>
      <c r="G547" s="230"/>
      <c r="H547" s="230"/>
      <c r="I547" s="230"/>
      <c r="J547" s="230"/>
      <c r="K547" s="230"/>
      <c r="L547" s="230"/>
      <c r="M547" s="230"/>
      <c r="N547" s="230"/>
      <c r="O547" s="230"/>
      <c r="P547" s="230"/>
      <c r="Q547" s="230"/>
      <c r="R547" s="230"/>
      <c r="S547" s="230"/>
      <c r="T547" s="230"/>
      <c r="U547" s="230"/>
      <c r="V547" s="230"/>
      <c r="W547" s="230"/>
      <c r="X547" s="230"/>
      <c r="Y547" s="230"/>
      <c r="Z547" s="230"/>
    </row>
    <row r="548" spans="1:26" ht="15.75" customHeight="1">
      <c r="A548" s="230"/>
      <c r="B548" s="230"/>
      <c r="C548" s="230"/>
      <c r="D548" s="230"/>
      <c r="E548" s="230"/>
      <c r="F548" s="230"/>
      <c r="G548" s="230"/>
      <c r="H548" s="230"/>
      <c r="I548" s="230"/>
      <c r="J548" s="230"/>
      <c r="K548" s="230"/>
      <c r="L548" s="230"/>
      <c r="M548" s="230"/>
      <c r="N548" s="230"/>
      <c r="O548" s="230"/>
      <c r="P548" s="230"/>
      <c r="Q548" s="230"/>
      <c r="R548" s="230"/>
      <c r="S548" s="230"/>
      <c r="T548" s="230"/>
      <c r="U548" s="230"/>
      <c r="V548" s="230"/>
      <c r="W548" s="230"/>
      <c r="X548" s="230"/>
      <c r="Y548" s="230"/>
      <c r="Z548" s="230"/>
    </row>
    <row r="549" spans="1:26" ht="15.75" customHeight="1">
      <c r="A549" s="230"/>
      <c r="B549" s="230"/>
      <c r="C549" s="230"/>
      <c r="D549" s="230"/>
      <c r="E549" s="230"/>
      <c r="F549" s="230"/>
      <c r="G549" s="230"/>
      <c r="H549" s="230"/>
      <c r="I549" s="230"/>
      <c r="J549" s="230"/>
      <c r="K549" s="230"/>
      <c r="L549" s="230"/>
      <c r="M549" s="230"/>
      <c r="N549" s="230"/>
      <c r="O549" s="230"/>
      <c r="P549" s="230"/>
      <c r="Q549" s="230"/>
      <c r="R549" s="230"/>
      <c r="S549" s="230"/>
      <c r="T549" s="230"/>
      <c r="U549" s="230"/>
      <c r="V549" s="230"/>
      <c r="W549" s="230"/>
      <c r="X549" s="230"/>
      <c r="Y549" s="230"/>
      <c r="Z549" s="230"/>
    </row>
    <row r="550" spans="1:26" ht="15.75" customHeight="1">
      <c r="A550" s="230"/>
      <c r="B550" s="230"/>
      <c r="C550" s="230"/>
      <c r="D550" s="230"/>
      <c r="E550" s="230"/>
      <c r="F550" s="230"/>
      <c r="G550" s="230"/>
      <c r="H550" s="230"/>
      <c r="I550" s="230"/>
      <c r="J550" s="230"/>
      <c r="K550" s="230"/>
      <c r="L550" s="230"/>
      <c r="M550" s="230"/>
      <c r="N550" s="230"/>
      <c r="O550" s="230"/>
      <c r="P550" s="230"/>
      <c r="Q550" s="230"/>
      <c r="R550" s="230"/>
      <c r="S550" s="230"/>
      <c r="T550" s="230"/>
      <c r="U550" s="230"/>
      <c r="V550" s="230"/>
      <c r="W550" s="230"/>
      <c r="X550" s="230"/>
      <c r="Y550" s="230"/>
      <c r="Z550" s="230"/>
    </row>
    <row r="551" spans="1:26" ht="15.75" customHeight="1">
      <c r="A551" s="230"/>
      <c r="B551" s="230"/>
      <c r="C551" s="230"/>
      <c r="D551" s="230"/>
      <c r="E551" s="230"/>
      <c r="F551" s="230"/>
      <c r="G551" s="230"/>
      <c r="H551" s="230"/>
      <c r="I551" s="230"/>
      <c r="J551" s="230"/>
      <c r="K551" s="230"/>
      <c r="L551" s="230"/>
      <c r="M551" s="230"/>
      <c r="N551" s="230"/>
      <c r="O551" s="230"/>
      <c r="P551" s="230"/>
      <c r="Q551" s="230"/>
      <c r="R551" s="230"/>
      <c r="S551" s="230"/>
      <c r="T551" s="230"/>
      <c r="U551" s="230"/>
      <c r="V551" s="230"/>
      <c r="W551" s="230"/>
      <c r="X551" s="230"/>
      <c r="Y551" s="230"/>
      <c r="Z551" s="230"/>
    </row>
    <row r="552" spans="1:26" ht="15.75" customHeight="1">
      <c r="A552" s="230"/>
      <c r="B552" s="230"/>
      <c r="C552" s="230"/>
      <c r="D552" s="230"/>
      <c r="E552" s="230"/>
      <c r="F552" s="230"/>
      <c r="G552" s="230"/>
      <c r="H552" s="230"/>
      <c r="I552" s="230"/>
      <c r="J552" s="230"/>
      <c r="K552" s="230"/>
      <c r="L552" s="230"/>
      <c r="M552" s="230"/>
      <c r="N552" s="230"/>
      <c r="O552" s="230"/>
      <c r="P552" s="230"/>
      <c r="Q552" s="230"/>
      <c r="R552" s="230"/>
      <c r="S552" s="230"/>
      <c r="T552" s="230"/>
      <c r="U552" s="230"/>
      <c r="V552" s="230"/>
      <c r="W552" s="230"/>
      <c r="X552" s="230"/>
      <c r="Y552" s="230"/>
      <c r="Z552" s="230"/>
    </row>
    <row r="553" spans="1:26" ht="15.75" customHeight="1">
      <c r="A553" s="230"/>
      <c r="B553" s="230"/>
      <c r="C553" s="230"/>
      <c r="D553" s="230"/>
      <c r="E553" s="230"/>
      <c r="F553" s="230"/>
      <c r="G553" s="230"/>
      <c r="H553" s="230"/>
      <c r="I553" s="230"/>
      <c r="J553" s="230"/>
      <c r="K553" s="230"/>
      <c r="L553" s="230"/>
      <c r="M553" s="230"/>
      <c r="N553" s="230"/>
      <c r="O553" s="230"/>
      <c r="P553" s="230"/>
      <c r="Q553" s="230"/>
      <c r="R553" s="230"/>
      <c r="S553" s="230"/>
      <c r="T553" s="230"/>
      <c r="U553" s="230"/>
      <c r="V553" s="230"/>
      <c r="W553" s="230"/>
      <c r="X553" s="230"/>
      <c r="Y553" s="230"/>
      <c r="Z553" s="230"/>
    </row>
    <row r="554" spans="1:26" ht="15.75" customHeight="1">
      <c r="A554" s="230"/>
      <c r="B554" s="230"/>
      <c r="C554" s="230"/>
      <c r="D554" s="230"/>
      <c r="E554" s="230"/>
      <c r="F554" s="230"/>
      <c r="G554" s="230"/>
      <c r="H554" s="230"/>
      <c r="I554" s="230"/>
      <c r="J554" s="230"/>
      <c r="K554" s="230"/>
      <c r="L554" s="230"/>
      <c r="M554" s="230"/>
      <c r="N554" s="230"/>
      <c r="O554" s="230"/>
      <c r="P554" s="230"/>
      <c r="Q554" s="230"/>
      <c r="R554" s="230"/>
      <c r="S554" s="230"/>
      <c r="T554" s="230"/>
      <c r="U554" s="230"/>
      <c r="V554" s="230"/>
      <c r="W554" s="230"/>
      <c r="X554" s="230"/>
      <c r="Y554" s="230"/>
      <c r="Z554" s="230"/>
    </row>
    <row r="555" spans="1:26" ht="15.75" customHeight="1">
      <c r="A555" s="230"/>
      <c r="B555" s="230"/>
      <c r="C555" s="230"/>
      <c r="D555" s="230"/>
      <c r="E555" s="230"/>
      <c r="F555" s="230"/>
      <c r="G555" s="230"/>
      <c r="H555" s="230"/>
      <c r="I555" s="230"/>
      <c r="J555" s="230"/>
      <c r="K555" s="230"/>
      <c r="L555" s="230"/>
      <c r="M555" s="230"/>
      <c r="N555" s="230"/>
      <c r="O555" s="230"/>
      <c r="P555" s="230"/>
      <c r="Q555" s="230"/>
      <c r="R555" s="230"/>
      <c r="S555" s="230"/>
      <c r="T555" s="230"/>
      <c r="U555" s="230"/>
      <c r="V555" s="230"/>
      <c r="W555" s="230"/>
      <c r="X555" s="230"/>
      <c r="Y555" s="230"/>
      <c r="Z555" s="230"/>
    </row>
    <row r="556" spans="1:26" ht="15.75" customHeight="1">
      <c r="A556" s="230"/>
      <c r="B556" s="230"/>
      <c r="C556" s="230"/>
      <c r="D556" s="230"/>
      <c r="E556" s="230"/>
      <c r="F556" s="230"/>
      <c r="G556" s="230"/>
      <c r="H556" s="230"/>
      <c r="I556" s="230"/>
      <c r="J556" s="230"/>
      <c r="K556" s="230"/>
      <c r="L556" s="230"/>
      <c r="M556" s="230"/>
      <c r="N556" s="230"/>
      <c r="O556" s="230"/>
      <c r="P556" s="230"/>
      <c r="Q556" s="230"/>
      <c r="R556" s="230"/>
      <c r="S556" s="230"/>
      <c r="T556" s="230"/>
      <c r="U556" s="230"/>
      <c r="V556" s="230"/>
      <c r="W556" s="230"/>
      <c r="X556" s="230"/>
      <c r="Y556" s="230"/>
      <c r="Z556" s="230"/>
    </row>
    <row r="557" spans="1:26" ht="15.75" customHeight="1">
      <c r="A557" s="230"/>
      <c r="B557" s="230"/>
      <c r="C557" s="230"/>
      <c r="D557" s="230"/>
      <c r="E557" s="230"/>
      <c r="F557" s="230"/>
      <c r="G557" s="230"/>
      <c r="H557" s="230"/>
      <c r="I557" s="230"/>
      <c r="J557" s="230"/>
      <c r="K557" s="230"/>
      <c r="L557" s="230"/>
      <c r="M557" s="230"/>
      <c r="N557" s="230"/>
      <c r="O557" s="230"/>
      <c r="P557" s="230"/>
      <c r="Q557" s="230"/>
      <c r="R557" s="230"/>
      <c r="S557" s="230"/>
      <c r="T557" s="230"/>
      <c r="U557" s="230"/>
      <c r="V557" s="230"/>
      <c r="W557" s="230"/>
      <c r="X557" s="230"/>
      <c r="Y557" s="230"/>
      <c r="Z557" s="230"/>
    </row>
    <row r="558" spans="1:26" ht="15.75" customHeight="1">
      <c r="A558" s="230"/>
      <c r="B558" s="230"/>
      <c r="C558" s="230"/>
      <c r="D558" s="230"/>
      <c r="E558" s="230"/>
      <c r="F558" s="230"/>
      <c r="G558" s="230"/>
      <c r="H558" s="230"/>
      <c r="I558" s="230"/>
      <c r="J558" s="230"/>
      <c r="K558" s="230"/>
      <c r="L558" s="230"/>
      <c r="M558" s="230"/>
      <c r="N558" s="230"/>
      <c r="O558" s="230"/>
      <c r="P558" s="230"/>
      <c r="Q558" s="230"/>
      <c r="R558" s="230"/>
      <c r="S558" s="230"/>
      <c r="T558" s="230"/>
      <c r="U558" s="230"/>
      <c r="V558" s="230"/>
      <c r="W558" s="230"/>
      <c r="X558" s="230"/>
      <c r="Y558" s="230"/>
      <c r="Z558" s="230"/>
    </row>
    <row r="559" spans="1:26" ht="15.75" customHeight="1">
      <c r="A559" s="230"/>
      <c r="B559" s="230"/>
      <c r="C559" s="230"/>
      <c r="D559" s="230"/>
      <c r="E559" s="230"/>
      <c r="F559" s="230"/>
      <c r="G559" s="230"/>
      <c r="H559" s="230"/>
      <c r="I559" s="230"/>
      <c r="J559" s="230"/>
      <c r="K559" s="230"/>
      <c r="L559" s="230"/>
      <c r="M559" s="230"/>
      <c r="N559" s="230"/>
      <c r="O559" s="230"/>
      <c r="P559" s="230"/>
      <c r="Q559" s="230"/>
      <c r="R559" s="230"/>
      <c r="S559" s="230"/>
      <c r="T559" s="230"/>
      <c r="U559" s="230"/>
      <c r="V559" s="230"/>
      <c r="W559" s="230"/>
      <c r="X559" s="230"/>
      <c r="Y559" s="230"/>
      <c r="Z559" s="230"/>
    </row>
    <row r="560" spans="1:26" ht="15.75" customHeight="1">
      <c r="A560" s="230"/>
      <c r="B560" s="230"/>
      <c r="C560" s="230"/>
      <c r="D560" s="230"/>
      <c r="E560" s="230"/>
      <c r="F560" s="230"/>
      <c r="G560" s="230"/>
      <c r="H560" s="230"/>
      <c r="I560" s="230"/>
      <c r="J560" s="230"/>
      <c r="K560" s="230"/>
      <c r="L560" s="230"/>
      <c r="M560" s="230"/>
      <c r="N560" s="230"/>
      <c r="O560" s="230"/>
      <c r="P560" s="230"/>
      <c r="Q560" s="230"/>
      <c r="R560" s="230"/>
      <c r="S560" s="230"/>
      <c r="T560" s="230"/>
      <c r="U560" s="230"/>
      <c r="V560" s="230"/>
      <c r="W560" s="230"/>
      <c r="X560" s="230"/>
      <c r="Y560" s="230"/>
      <c r="Z560" s="230"/>
    </row>
    <row r="561" spans="1:26" ht="15.75" customHeight="1">
      <c r="A561" s="230"/>
      <c r="B561" s="230"/>
      <c r="C561" s="230"/>
      <c r="D561" s="230"/>
      <c r="E561" s="230"/>
      <c r="F561" s="230"/>
      <c r="G561" s="230"/>
      <c r="H561" s="230"/>
      <c r="I561" s="230"/>
      <c r="J561" s="230"/>
      <c r="K561" s="230"/>
      <c r="L561" s="230"/>
      <c r="M561" s="230"/>
      <c r="N561" s="230"/>
      <c r="O561" s="230"/>
      <c r="P561" s="230"/>
      <c r="Q561" s="230"/>
      <c r="R561" s="230"/>
      <c r="S561" s="230"/>
      <c r="T561" s="230"/>
      <c r="U561" s="230"/>
      <c r="V561" s="230"/>
      <c r="W561" s="230"/>
      <c r="X561" s="230"/>
      <c r="Y561" s="230"/>
      <c r="Z561" s="230"/>
    </row>
    <row r="562" spans="1:26" ht="15.75" customHeight="1">
      <c r="A562" s="230"/>
      <c r="B562" s="230"/>
      <c r="C562" s="230"/>
      <c r="D562" s="230"/>
      <c r="E562" s="230"/>
      <c r="F562" s="230"/>
      <c r="G562" s="230"/>
      <c r="H562" s="230"/>
      <c r="I562" s="230"/>
      <c r="J562" s="230"/>
      <c r="K562" s="230"/>
      <c r="L562" s="230"/>
      <c r="M562" s="230"/>
      <c r="N562" s="230"/>
      <c r="O562" s="230"/>
      <c r="P562" s="230"/>
      <c r="Q562" s="230"/>
      <c r="R562" s="230"/>
      <c r="S562" s="230"/>
      <c r="T562" s="230"/>
      <c r="U562" s="230"/>
      <c r="V562" s="230"/>
      <c r="W562" s="230"/>
      <c r="X562" s="230"/>
      <c r="Y562" s="230"/>
      <c r="Z562" s="230"/>
    </row>
    <row r="563" spans="1:26" ht="15.75" customHeight="1">
      <c r="A563" s="230"/>
      <c r="B563" s="230"/>
      <c r="C563" s="230"/>
      <c r="D563" s="230"/>
      <c r="E563" s="230"/>
      <c r="F563" s="230"/>
      <c r="G563" s="230"/>
      <c r="H563" s="230"/>
      <c r="I563" s="230"/>
      <c r="J563" s="230"/>
      <c r="K563" s="230"/>
      <c r="L563" s="230"/>
      <c r="M563" s="230"/>
      <c r="N563" s="230"/>
      <c r="O563" s="230"/>
      <c r="P563" s="230"/>
      <c r="Q563" s="230"/>
      <c r="R563" s="230"/>
      <c r="S563" s="230"/>
      <c r="T563" s="230"/>
      <c r="U563" s="230"/>
      <c r="V563" s="230"/>
      <c r="W563" s="230"/>
      <c r="X563" s="230"/>
      <c r="Y563" s="230"/>
      <c r="Z563" s="230"/>
    </row>
    <row r="564" spans="1:26" ht="15.75" customHeight="1">
      <c r="A564" s="230"/>
      <c r="B564" s="230"/>
      <c r="C564" s="230"/>
      <c r="D564" s="230"/>
      <c r="E564" s="230"/>
      <c r="F564" s="230"/>
      <c r="G564" s="230"/>
      <c r="H564" s="230"/>
      <c r="I564" s="230"/>
      <c r="J564" s="230"/>
      <c r="K564" s="230"/>
      <c r="L564" s="230"/>
      <c r="M564" s="230"/>
      <c r="N564" s="230"/>
      <c r="O564" s="230"/>
      <c r="P564" s="230"/>
      <c r="Q564" s="230"/>
      <c r="R564" s="230"/>
      <c r="S564" s="230"/>
      <c r="T564" s="230"/>
      <c r="U564" s="230"/>
      <c r="V564" s="230"/>
      <c r="W564" s="230"/>
      <c r="X564" s="230"/>
      <c r="Y564" s="230"/>
      <c r="Z564" s="230"/>
    </row>
    <row r="565" spans="1:26" ht="15.75" customHeight="1">
      <c r="A565" s="230"/>
      <c r="B565" s="230"/>
      <c r="C565" s="230"/>
      <c r="D565" s="230"/>
      <c r="E565" s="230"/>
      <c r="F565" s="230"/>
      <c r="G565" s="230"/>
      <c r="H565" s="230"/>
      <c r="I565" s="230"/>
      <c r="J565" s="230"/>
      <c r="K565" s="230"/>
      <c r="L565" s="230"/>
      <c r="M565" s="230"/>
      <c r="N565" s="230"/>
      <c r="O565" s="230"/>
      <c r="P565" s="230"/>
      <c r="Q565" s="230"/>
      <c r="R565" s="230"/>
      <c r="S565" s="230"/>
      <c r="T565" s="230"/>
      <c r="U565" s="230"/>
      <c r="V565" s="230"/>
      <c r="W565" s="230"/>
      <c r="X565" s="230"/>
      <c r="Y565" s="230"/>
      <c r="Z565" s="230"/>
    </row>
    <row r="566" spans="1:26" ht="15.75" customHeight="1">
      <c r="A566" s="230"/>
      <c r="B566" s="230"/>
      <c r="C566" s="230"/>
      <c r="D566" s="230"/>
      <c r="E566" s="230"/>
      <c r="F566" s="230"/>
      <c r="G566" s="230"/>
      <c r="H566" s="230"/>
      <c r="I566" s="230"/>
      <c r="J566" s="230"/>
      <c r="K566" s="230"/>
      <c r="L566" s="230"/>
      <c r="M566" s="230"/>
      <c r="N566" s="230"/>
      <c r="O566" s="230"/>
      <c r="P566" s="230"/>
      <c r="Q566" s="230"/>
      <c r="R566" s="230"/>
      <c r="S566" s="230"/>
      <c r="T566" s="230"/>
      <c r="U566" s="230"/>
      <c r="V566" s="230"/>
      <c r="W566" s="230"/>
      <c r="X566" s="230"/>
      <c r="Y566" s="230"/>
      <c r="Z566" s="230"/>
    </row>
    <row r="567" spans="1:26" ht="15.75" customHeight="1">
      <c r="A567" s="230"/>
      <c r="B567" s="230"/>
      <c r="C567" s="230"/>
      <c r="D567" s="230"/>
      <c r="E567" s="230"/>
      <c r="F567" s="230"/>
      <c r="G567" s="230"/>
      <c r="H567" s="230"/>
      <c r="I567" s="230"/>
      <c r="J567" s="230"/>
      <c r="K567" s="230"/>
      <c r="L567" s="230"/>
      <c r="M567" s="230"/>
      <c r="N567" s="230"/>
      <c r="O567" s="230"/>
      <c r="P567" s="230"/>
      <c r="Q567" s="230"/>
      <c r="R567" s="230"/>
      <c r="S567" s="230"/>
      <c r="T567" s="230"/>
      <c r="U567" s="230"/>
      <c r="V567" s="230"/>
      <c r="W567" s="230"/>
      <c r="X567" s="230"/>
      <c r="Y567" s="230"/>
      <c r="Z567" s="230"/>
    </row>
    <row r="568" spans="1:26" ht="15.75" customHeight="1">
      <c r="A568" s="230"/>
      <c r="B568" s="230"/>
      <c r="C568" s="230"/>
      <c r="D568" s="230"/>
      <c r="E568" s="230"/>
      <c r="F568" s="230"/>
      <c r="G568" s="230"/>
      <c r="H568" s="230"/>
      <c r="I568" s="230"/>
      <c r="J568" s="230"/>
      <c r="K568" s="230"/>
      <c r="L568" s="230"/>
      <c r="M568" s="230"/>
      <c r="N568" s="230"/>
      <c r="O568" s="230"/>
      <c r="P568" s="230"/>
      <c r="Q568" s="230"/>
      <c r="R568" s="230"/>
      <c r="S568" s="230"/>
      <c r="T568" s="230"/>
      <c r="U568" s="230"/>
      <c r="V568" s="230"/>
      <c r="W568" s="230"/>
      <c r="X568" s="230"/>
      <c r="Y568" s="230"/>
      <c r="Z568" s="230"/>
    </row>
    <row r="569" spans="1:26" ht="15.75" customHeight="1">
      <c r="A569" s="230"/>
      <c r="B569" s="230"/>
      <c r="C569" s="230"/>
      <c r="D569" s="230"/>
      <c r="E569" s="230"/>
      <c r="F569" s="230"/>
      <c r="G569" s="230"/>
      <c r="H569" s="230"/>
      <c r="I569" s="230"/>
      <c r="J569" s="230"/>
      <c r="K569" s="230"/>
      <c r="L569" s="230"/>
      <c r="M569" s="230"/>
      <c r="N569" s="230"/>
      <c r="O569" s="230"/>
      <c r="P569" s="230"/>
      <c r="Q569" s="230"/>
      <c r="R569" s="230"/>
      <c r="S569" s="230"/>
      <c r="T569" s="230"/>
      <c r="U569" s="230"/>
      <c r="V569" s="230"/>
      <c r="W569" s="230"/>
      <c r="X569" s="230"/>
      <c r="Y569" s="230"/>
      <c r="Z569" s="230"/>
    </row>
    <row r="570" spans="1:26" ht="15.75" customHeight="1">
      <c r="A570" s="230"/>
      <c r="B570" s="230"/>
      <c r="C570" s="230"/>
      <c r="D570" s="230"/>
      <c r="E570" s="230"/>
      <c r="F570" s="230"/>
      <c r="G570" s="230"/>
      <c r="H570" s="230"/>
      <c r="I570" s="230"/>
      <c r="J570" s="230"/>
      <c r="K570" s="230"/>
      <c r="L570" s="230"/>
      <c r="M570" s="230"/>
      <c r="N570" s="230"/>
      <c r="O570" s="230"/>
      <c r="P570" s="230"/>
      <c r="Q570" s="230"/>
      <c r="R570" s="230"/>
      <c r="S570" s="230"/>
      <c r="T570" s="230"/>
      <c r="U570" s="230"/>
      <c r="V570" s="230"/>
      <c r="W570" s="230"/>
      <c r="X570" s="230"/>
      <c r="Y570" s="230"/>
      <c r="Z570" s="230"/>
    </row>
    <row r="571" spans="1:26" ht="15.75" customHeight="1">
      <c r="A571" s="230"/>
      <c r="B571" s="230"/>
      <c r="C571" s="230"/>
      <c r="D571" s="230"/>
      <c r="E571" s="230"/>
      <c r="F571" s="230"/>
      <c r="G571" s="230"/>
      <c r="H571" s="230"/>
      <c r="I571" s="230"/>
      <c r="J571" s="230"/>
      <c r="K571" s="230"/>
      <c r="L571" s="230"/>
      <c r="M571" s="230"/>
      <c r="N571" s="230"/>
      <c r="O571" s="230"/>
      <c r="P571" s="230"/>
      <c r="Q571" s="230"/>
      <c r="R571" s="230"/>
      <c r="S571" s="230"/>
      <c r="T571" s="230"/>
      <c r="U571" s="230"/>
      <c r="V571" s="230"/>
      <c r="W571" s="230"/>
      <c r="X571" s="230"/>
      <c r="Y571" s="230"/>
      <c r="Z571" s="230"/>
    </row>
    <row r="572" spans="1:26" ht="15.75" customHeight="1">
      <c r="A572" s="230"/>
      <c r="B572" s="230"/>
      <c r="C572" s="230"/>
      <c r="D572" s="230"/>
      <c r="E572" s="230"/>
      <c r="F572" s="230"/>
      <c r="G572" s="230"/>
      <c r="H572" s="230"/>
      <c r="I572" s="230"/>
      <c r="J572" s="230"/>
      <c r="K572" s="230"/>
      <c r="L572" s="230"/>
      <c r="M572" s="230"/>
      <c r="N572" s="230"/>
      <c r="O572" s="230"/>
      <c r="P572" s="230"/>
      <c r="Q572" s="230"/>
      <c r="R572" s="230"/>
      <c r="S572" s="230"/>
      <c r="T572" s="230"/>
      <c r="U572" s="230"/>
      <c r="V572" s="230"/>
      <c r="W572" s="230"/>
      <c r="X572" s="230"/>
      <c r="Y572" s="230"/>
      <c r="Z572" s="230"/>
    </row>
    <row r="573" spans="1:26" ht="15.75" customHeight="1">
      <c r="A573" s="230"/>
      <c r="B573" s="230"/>
      <c r="C573" s="230"/>
      <c r="D573" s="230"/>
      <c r="E573" s="230"/>
      <c r="F573" s="230"/>
      <c r="G573" s="230"/>
      <c r="H573" s="230"/>
      <c r="I573" s="230"/>
      <c r="J573" s="230"/>
      <c r="K573" s="230"/>
      <c r="L573" s="230"/>
      <c r="M573" s="230"/>
      <c r="N573" s="230"/>
      <c r="O573" s="230"/>
      <c r="P573" s="230"/>
      <c r="Q573" s="230"/>
      <c r="R573" s="230"/>
      <c r="S573" s="230"/>
      <c r="T573" s="230"/>
      <c r="U573" s="230"/>
      <c r="V573" s="230"/>
      <c r="W573" s="230"/>
      <c r="X573" s="230"/>
      <c r="Y573" s="230"/>
      <c r="Z573" s="230"/>
    </row>
    <row r="574" spans="1:26" ht="15.75" customHeight="1">
      <c r="A574" s="230"/>
      <c r="B574" s="230"/>
      <c r="C574" s="230"/>
      <c r="D574" s="230"/>
      <c r="E574" s="230"/>
      <c r="F574" s="230"/>
      <c r="G574" s="230"/>
      <c r="H574" s="230"/>
      <c r="I574" s="230"/>
      <c r="J574" s="230"/>
      <c r="K574" s="230"/>
      <c r="L574" s="230"/>
      <c r="M574" s="230"/>
      <c r="N574" s="230"/>
      <c r="O574" s="230"/>
      <c r="P574" s="230"/>
      <c r="Q574" s="230"/>
      <c r="R574" s="230"/>
      <c r="S574" s="230"/>
      <c r="T574" s="230"/>
      <c r="U574" s="230"/>
      <c r="V574" s="230"/>
      <c r="W574" s="230"/>
      <c r="X574" s="230"/>
      <c r="Y574" s="230"/>
      <c r="Z574" s="230"/>
    </row>
    <row r="575" spans="1:26" ht="15.75" customHeight="1">
      <c r="A575" s="230"/>
      <c r="B575" s="230"/>
      <c r="C575" s="230"/>
      <c r="D575" s="230"/>
      <c r="E575" s="230"/>
      <c r="F575" s="230"/>
      <c r="G575" s="230"/>
      <c r="H575" s="230"/>
      <c r="I575" s="230"/>
      <c r="J575" s="230"/>
      <c r="K575" s="230"/>
      <c r="L575" s="230"/>
      <c r="M575" s="230"/>
      <c r="N575" s="230"/>
      <c r="O575" s="230"/>
      <c r="P575" s="230"/>
      <c r="Q575" s="230"/>
      <c r="R575" s="230"/>
      <c r="S575" s="230"/>
      <c r="T575" s="230"/>
      <c r="U575" s="230"/>
      <c r="V575" s="230"/>
      <c r="W575" s="230"/>
      <c r="X575" s="230"/>
      <c r="Y575" s="230"/>
      <c r="Z575" s="230"/>
    </row>
    <row r="576" spans="1:26" ht="15.75" customHeight="1">
      <c r="A576" s="230"/>
      <c r="B576" s="230"/>
      <c r="C576" s="230"/>
      <c r="D576" s="230"/>
      <c r="E576" s="230"/>
      <c r="F576" s="230"/>
      <c r="G576" s="230"/>
      <c r="H576" s="230"/>
      <c r="I576" s="230"/>
      <c r="J576" s="230"/>
      <c r="K576" s="230"/>
      <c r="L576" s="230"/>
      <c r="M576" s="230"/>
      <c r="N576" s="230"/>
      <c r="O576" s="230"/>
      <c r="P576" s="230"/>
      <c r="Q576" s="230"/>
      <c r="R576" s="230"/>
      <c r="S576" s="230"/>
      <c r="T576" s="230"/>
      <c r="U576" s="230"/>
      <c r="V576" s="230"/>
      <c r="W576" s="230"/>
      <c r="X576" s="230"/>
      <c r="Y576" s="230"/>
      <c r="Z576" s="230"/>
    </row>
    <row r="577" spans="1:26" ht="15.75" customHeight="1">
      <c r="A577" s="230"/>
      <c r="B577" s="230"/>
      <c r="C577" s="230"/>
      <c r="D577" s="230"/>
      <c r="E577" s="230"/>
      <c r="F577" s="230"/>
      <c r="G577" s="230"/>
      <c r="H577" s="230"/>
      <c r="I577" s="230"/>
      <c r="J577" s="230"/>
      <c r="K577" s="230"/>
      <c r="L577" s="230"/>
      <c r="M577" s="230"/>
      <c r="N577" s="230"/>
      <c r="O577" s="230"/>
      <c r="P577" s="230"/>
      <c r="Q577" s="230"/>
      <c r="R577" s="230"/>
      <c r="S577" s="230"/>
      <c r="T577" s="230"/>
      <c r="U577" s="230"/>
      <c r="V577" s="230"/>
      <c r="W577" s="230"/>
      <c r="X577" s="230"/>
      <c r="Y577" s="230"/>
      <c r="Z577" s="230"/>
    </row>
    <row r="578" spans="1:26" ht="15.75" customHeight="1">
      <c r="A578" s="230"/>
      <c r="B578" s="230"/>
      <c r="C578" s="230"/>
      <c r="D578" s="230"/>
      <c r="E578" s="230"/>
      <c r="F578" s="230"/>
      <c r="G578" s="230"/>
      <c r="H578" s="230"/>
      <c r="I578" s="230"/>
      <c r="J578" s="230"/>
      <c r="K578" s="230"/>
      <c r="L578" s="230"/>
      <c r="M578" s="230"/>
      <c r="N578" s="230"/>
      <c r="O578" s="230"/>
      <c r="P578" s="230"/>
      <c r="Q578" s="230"/>
      <c r="R578" s="230"/>
      <c r="S578" s="230"/>
      <c r="T578" s="230"/>
      <c r="U578" s="230"/>
      <c r="V578" s="230"/>
      <c r="W578" s="230"/>
      <c r="X578" s="230"/>
      <c r="Y578" s="230"/>
      <c r="Z578" s="230"/>
    </row>
    <row r="579" spans="1:26" ht="15.75" customHeight="1">
      <c r="A579" s="230"/>
      <c r="B579" s="230"/>
      <c r="C579" s="230"/>
      <c r="D579" s="230"/>
      <c r="E579" s="230"/>
      <c r="F579" s="230"/>
      <c r="G579" s="230"/>
      <c r="H579" s="230"/>
      <c r="I579" s="230"/>
      <c r="J579" s="230"/>
      <c r="K579" s="230"/>
      <c r="L579" s="230"/>
      <c r="M579" s="230"/>
      <c r="N579" s="230"/>
      <c r="O579" s="230"/>
      <c r="P579" s="230"/>
      <c r="Q579" s="230"/>
      <c r="R579" s="230"/>
      <c r="S579" s="230"/>
      <c r="T579" s="230"/>
      <c r="U579" s="230"/>
      <c r="V579" s="230"/>
      <c r="W579" s="230"/>
      <c r="X579" s="230"/>
      <c r="Y579" s="230"/>
      <c r="Z579" s="230"/>
    </row>
    <row r="580" spans="1:26" ht="15.75" customHeight="1">
      <c r="A580" s="230"/>
      <c r="B580" s="230"/>
      <c r="C580" s="230"/>
      <c r="D580" s="230"/>
      <c r="E580" s="230"/>
      <c r="F580" s="230"/>
      <c r="G580" s="230"/>
      <c r="H580" s="230"/>
      <c r="I580" s="230"/>
      <c r="J580" s="230"/>
      <c r="K580" s="230"/>
      <c r="L580" s="230"/>
      <c r="M580" s="230"/>
      <c r="N580" s="230"/>
      <c r="O580" s="230"/>
      <c r="P580" s="230"/>
      <c r="Q580" s="230"/>
      <c r="R580" s="230"/>
      <c r="S580" s="230"/>
      <c r="T580" s="230"/>
      <c r="U580" s="230"/>
      <c r="V580" s="230"/>
      <c r="W580" s="230"/>
      <c r="X580" s="230"/>
      <c r="Y580" s="230"/>
      <c r="Z580" s="230"/>
    </row>
    <row r="581" spans="1:26" ht="15.75" customHeight="1">
      <c r="A581" s="230"/>
      <c r="B581" s="230"/>
      <c r="C581" s="230"/>
      <c r="D581" s="230"/>
      <c r="E581" s="230"/>
      <c r="F581" s="230"/>
      <c r="G581" s="230"/>
      <c r="H581" s="230"/>
      <c r="I581" s="230"/>
      <c r="J581" s="230"/>
      <c r="K581" s="230"/>
      <c r="L581" s="230"/>
      <c r="M581" s="230"/>
      <c r="N581" s="230"/>
      <c r="O581" s="230"/>
      <c r="P581" s="230"/>
      <c r="Q581" s="230"/>
      <c r="R581" s="230"/>
      <c r="S581" s="230"/>
      <c r="T581" s="230"/>
      <c r="U581" s="230"/>
      <c r="V581" s="230"/>
      <c r="W581" s="230"/>
      <c r="X581" s="230"/>
      <c r="Y581" s="230"/>
      <c r="Z581" s="230"/>
    </row>
    <row r="582" spans="1:26" ht="15.75" customHeight="1">
      <c r="A582" s="230"/>
      <c r="B582" s="230"/>
      <c r="C582" s="230"/>
      <c r="D582" s="230"/>
      <c r="E582" s="230"/>
      <c r="F582" s="230"/>
      <c r="G582" s="230"/>
      <c r="H582" s="230"/>
      <c r="I582" s="230"/>
      <c r="J582" s="230"/>
      <c r="K582" s="230"/>
      <c r="L582" s="230"/>
      <c r="M582" s="230"/>
      <c r="N582" s="230"/>
      <c r="O582" s="230"/>
      <c r="P582" s="230"/>
      <c r="Q582" s="230"/>
      <c r="R582" s="230"/>
      <c r="S582" s="230"/>
      <c r="T582" s="230"/>
      <c r="U582" s="230"/>
      <c r="V582" s="230"/>
      <c r="W582" s="230"/>
      <c r="X582" s="230"/>
      <c r="Y582" s="230"/>
      <c r="Z582" s="230"/>
    </row>
    <row r="583" spans="1:26" ht="15.75" customHeight="1">
      <c r="A583" s="230"/>
      <c r="B583" s="230"/>
      <c r="C583" s="230"/>
      <c r="D583" s="230"/>
      <c r="E583" s="230"/>
      <c r="F583" s="230"/>
      <c r="G583" s="230"/>
      <c r="H583" s="230"/>
      <c r="I583" s="230"/>
      <c r="J583" s="230"/>
      <c r="K583" s="230"/>
      <c r="L583" s="230"/>
      <c r="M583" s="230"/>
      <c r="N583" s="230"/>
      <c r="O583" s="230"/>
      <c r="P583" s="230"/>
      <c r="Q583" s="230"/>
      <c r="R583" s="230"/>
      <c r="S583" s="230"/>
      <c r="T583" s="230"/>
      <c r="U583" s="230"/>
      <c r="V583" s="230"/>
      <c r="W583" s="230"/>
      <c r="X583" s="230"/>
      <c r="Y583" s="230"/>
      <c r="Z583" s="230"/>
    </row>
    <row r="584" spans="1:26" ht="15.75" customHeight="1">
      <c r="A584" s="230"/>
      <c r="B584" s="230"/>
      <c r="C584" s="230"/>
      <c r="D584" s="230"/>
      <c r="E584" s="230"/>
      <c r="F584" s="230"/>
      <c r="G584" s="230"/>
      <c r="H584" s="230"/>
      <c r="I584" s="230"/>
      <c r="J584" s="230"/>
      <c r="K584" s="230"/>
      <c r="L584" s="230"/>
      <c r="M584" s="230"/>
      <c r="N584" s="230"/>
      <c r="O584" s="230"/>
      <c r="P584" s="230"/>
      <c r="Q584" s="230"/>
      <c r="R584" s="230"/>
      <c r="S584" s="230"/>
      <c r="T584" s="230"/>
      <c r="U584" s="230"/>
      <c r="V584" s="230"/>
      <c r="W584" s="230"/>
      <c r="X584" s="230"/>
      <c r="Y584" s="230"/>
      <c r="Z584" s="230"/>
    </row>
    <row r="585" spans="1:26" ht="15.75" customHeight="1">
      <c r="A585" s="230"/>
      <c r="B585" s="230"/>
      <c r="C585" s="230"/>
      <c r="D585" s="230"/>
      <c r="E585" s="230"/>
      <c r="F585" s="230"/>
      <c r="G585" s="230"/>
      <c r="H585" s="230"/>
      <c r="I585" s="230"/>
      <c r="J585" s="230"/>
      <c r="K585" s="230"/>
      <c r="L585" s="230"/>
      <c r="M585" s="230"/>
      <c r="N585" s="230"/>
      <c r="O585" s="230"/>
      <c r="P585" s="230"/>
      <c r="Q585" s="230"/>
      <c r="R585" s="230"/>
      <c r="S585" s="230"/>
      <c r="T585" s="230"/>
      <c r="U585" s="230"/>
      <c r="V585" s="230"/>
      <c r="W585" s="230"/>
      <c r="X585" s="230"/>
      <c r="Y585" s="230"/>
      <c r="Z585" s="230"/>
    </row>
    <row r="586" spans="1:26" ht="15.75" customHeight="1">
      <c r="A586" s="230"/>
      <c r="B586" s="230"/>
      <c r="C586" s="230"/>
      <c r="D586" s="230"/>
      <c r="E586" s="230"/>
      <c r="F586" s="230"/>
      <c r="G586" s="230"/>
      <c r="H586" s="230"/>
      <c r="I586" s="230"/>
      <c r="J586" s="230"/>
      <c r="K586" s="230"/>
      <c r="L586" s="230"/>
      <c r="M586" s="230"/>
      <c r="N586" s="230"/>
      <c r="O586" s="230"/>
      <c r="P586" s="230"/>
      <c r="Q586" s="230"/>
      <c r="R586" s="230"/>
      <c r="S586" s="230"/>
      <c r="T586" s="230"/>
      <c r="U586" s="230"/>
      <c r="V586" s="230"/>
      <c r="W586" s="230"/>
      <c r="X586" s="230"/>
      <c r="Y586" s="230"/>
      <c r="Z586" s="230"/>
    </row>
    <row r="587" spans="1:26" ht="15.75" customHeight="1">
      <c r="A587" s="230"/>
      <c r="B587" s="230"/>
      <c r="C587" s="230"/>
      <c r="D587" s="230"/>
      <c r="E587" s="230"/>
      <c r="F587" s="230"/>
      <c r="G587" s="230"/>
      <c r="H587" s="230"/>
      <c r="I587" s="230"/>
      <c r="J587" s="230"/>
      <c r="K587" s="230"/>
      <c r="L587" s="230"/>
      <c r="M587" s="230"/>
      <c r="N587" s="230"/>
      <c r="O587" s="230"/>
      <c r="P587" s="230"/>
      <c r="Q587" s="230"/>
      <c r="R587" s="230"/>
      <c r="S587" s="230"/>
      <c r="T587" s="230"/>
      <c r="U587" s="230"/>
      <c r="V587" s="230"/>
      <c r="W587" s="230"/>
      <c r="X587" s="230"/>
      <c r="Y587" s="230"/>
      <c r="Z587" s="230"/>
    </row>
    <row r="588" spans="1:26" ht="15.75" customHeight="1">
      <c r="A588" s="230"/>
      <c r="B588" s="230"/>
      <c r="C588" s="230"/>
      <c r="D588" s="230"/>
      <c r="E588" s="230"/>
      <c r="F588" s="230"/>
      <c r="G588" s="230"/>
      <c r="H588" s="230"/>
      <c r="I588" s="230"/>
      <c r="J588" s="230"/>
      <c r="K588" s="230"/>
      <c r="L588" s="230"/>
      <c r="M588" s="230"/>
      <c r="N588" s="230"/>
      <c r="O588" s="230"/>
      <c r="P588" s="230"/>
      <c r="Q588" s="230"/>
      <c r="R588" s="230"/>
      <c r="S588" s="230"/>
      <c r="T588" s="230"/>
      <c r="U588" s="230"/>
      <c r="V588" s="230"/>
      <c r="W588" s="230"/>
      <c r="X588" s="230"/>
      <c r="Y588" s="230"/>
      <c r="Z588" s="230"/>
    </row>
    <row r="589" spans="1:26" ht="15.75" customHeight="1">
      <c r="A589" s="230"/>
      <c r="B589" s="230"/>
      <c r="C589" s="230"/>
      <c r="D589" s="230"/>
      <c r="E589" s="230"/>
      <c r="F589" s="230"/>
      <c r="G589" s="230"/>
      <c r="H589" s="230"/>
      <c r="I589" s="230"/>
      <c r="J589" s="230"/>
      <c r="K589" s="230"/>
      <c r="L589" s="230"/>
      <c r="M589" s="230"/>
      <c r="N589" s="230"/>
      <c r="O589" s="230"/>
      <c r="P589" s="230"/>
      <c r="Q589" s="230"/>
      <c r="R589" s="230"/>
      <c r="S589" s="230"/>
      <c r="T589" s="230"/>
      <c r="U589" s="230"/>
      <c r="V589" s="230"/>
      <c r="W589" s="230"/>
      <c r="X589" s="230"/>
      <c r="Y589" s="230"/>
      <c r="Z589" s="230"/>
    </row>
    <row r="590" spans="1:26" ht="15.75" customHeight="1">
      <c r="A590" s="230"/>
      <c r="B590" s="230"/>
      <c r="C590" s="230"/>
      <c r="D590" s="230"/>
      <c r="E590" s="230"/>
      <c r="F590" s="230"/>
      <c r="G590" s="230"/>
      <c r="H590" s="230"/>
      <c r="I590" s="230"/>
      <c r="J590" s="230"/>
      <c r="K590" s="230"/>
      <c r="L590" s="230"/>
      <c r="M590" s="230"/>
      <c r="N590" s="230"/>
      <c r="O590" s="230"/>
      <c r="P590" s="230"/>
      <c r="Q590" s="230"/>
      <c r="R590" s="230"/>
      <c r="S590" s="230"/>
      <c r="T590" s="230"/>
      <c r="U590" s="230"/>
      <c r="V590" s="230"/>
      <c r="W590" s="230"/>
      <c r="X590" s="230"/>
      <c r="Y590" s="230"/>
      <c r="Z590" s="230"/>
    </row>
    <row r="591" spans="1:26" ht="15.75" customHeight="1">
      <c r="A591" s="230"/>
      <c r="B591" s="230"/>
      <c r="C591" s="230"/>
      <c r="D591" s="230"/>
      <c r="E591" s="230"/>
      <c r="F591" s="230"/>
      <c r="G591" s="230"/>
      <c r="H591" s="230"/>
      <c r="I591" s="230"/>
      <c r="J591" s="230"/>
      <c r="K591" s="230"/>
      <c r="L591" s="230"/>
      <c r="M591" s="230"/>
      <c r="N591" s="230"/>
      <c r="O591" s="230"/>
      <c r="P591" s="230"/>
      <c r="Q591" s="230"/>
      <c r="R591" s="230"/>
      <c r="S591" s="230"/>
      <c r="T591" s="230"/>
      <c r="U591" s="230"/>
      <c r="V591" s="230"/>
      <c r="W591" s="230"/>
      <c r="X591" s="230"/>
      <c r="Y591" s="230"/>
      <c r="Z591" s="230"/>
    </row>
    <row r="592" spans="1:26" ht="15.75" customHeight="1">
      <c r="A592" s="230"/>
      <c r="B592" s="230"/>
      <c r="C592" s="230"/>
      <c r="D592" s="230"/>
      <c r="E592" s="230"/>
      <c r="F592" s="230"/>
      <c r="G592" s="230"/>
      <c r="H592" s="230"/>
      <c r="I592" s="230"/>
      <c r="J592" s="230"/>
      <c r="K592" s="230"/>
      <c r="L592" s="230"/>
      <c r="M592" s="230"/>
      <c r="N592" s="230"/>
      <c r="O592" s="230"/>
      <c r="P592" s="230"/>
      <c r="Q592" s="230"/>
      <c r="R592" s="230"/>
      <c r="S592" s="230"/>
      <c r="T592" s="230"/>
      <c r="U592" s="230"/>
      <c r="V592" s="230"/>
      <c r="W592" s="230"/>
      <c r="X592" s="230"/>
      <c r="Y592" s="230"/>
      <c r="Z592" s="230"/>
    </row>
    <row r="593" spans="1:26" ht="15.75" customHeight="1">
      <c r="A593" s="230"/>
      <c r="B593" s="230"/>
      <c r="C593" s="230"/>
      <c r="D593" s="230"/>
      <c r="E593" s="230"/>
      <c r="F593" s="230"/>
      <c r="G593" s="230"/>
      <c r="H593" s="230"/>
      <c r="I593" s="230"/>
      <c r="J593" s="230"/>
      <c r="K593" s="230"/>
      <c r="L593" s="230"/>
      <c r="M593" s="230"/>
      <c r="N593" s="230"/>
      <c r="O593" s="230"/>
      <c r="P593" s="230"/>
      <c r="Q593" s="230"/>
      <c r="R593" s="230"/>
      <c r="S593" s="230"/>
      <c r="T593" s="230"/>
      <c r="U593" s="230"/>
      <c r="V593" s="230"/>
      <c r="W593" s="230"/>
      <c r="X593" s="230"/>
      <c r="Y593" s="230"/>
      <c r="Z593" s="230"/>
    </row>
    <row r="594" spans="1:26" ht="15.75" customHeight="1">
      <c r="A594" s="230"/>
      <c r="B594" s="230"/>
      <c r="C594" s="230"/>
      <c r="D594" s="230"/>
      <c r="E594" s="230"/>
      <c r="F594" s="230"/>
      <c r="G594" s="230"/>
      <c r="H594" s="230"/>
      <c r="I594" s="230"/>
      <c r="J594" s="230"/>
      <c r="K594" s="230"/>
      <c r="L594" s="230"/>
      <c r="M594" s="230"/>
      <c r="N594" s="230"/>
      <c r="O594" s="230"/>
      <c r="P594" s="230"/>
      <c r="Q594" s="230"/>
      <c r="R594" s="230"/>
      <c r="S594" s="230"/>
      <c r="T594" s="230"/>
      <c r="U594" s="230"/>
      <c r="V594" s="230"/>
      <c r="W594" s="230"/>
      <c r="X594" s="230"/>
      <c r="Y594" s="230"/>
      <c r="Z594" s="230"/>
    </row>
    <row r="595" spans="1:26" ht="15.75" customHeight="1">
      <c r="A595" s="230"/>
      <c r="B595" s="230"/>
      <c r="C595" s="230"/>
      <c r="D595" s="230"/>
      <c r="E595" s="230"/>
      <c r="F595" s="230"/>
      <c r="G595" s="230"/>
      <c r="H595" s="230"/>
      <c r="I595" s="230"/>
      <c r="J595" s="230"/>
      <c r="K595" s="230"/>
      <c r="L595" s="230"/>
      <c r="M595" s="230"/>
      <c r="N595" s="230"/>
      <c r="O595" s="230"/>
      <c r="P595" s="230"/>
      <c r="Q595" s="230"/>
      <c r="R595" s="230"/>
      <c r="S595" s="230"/>
      <c r="T595" s="230"/>
      <c r="U595" s="230"/>
      <c r="V595" s="230"/>
      <c r="W595" s="230"/>
      <c r="X595" s="230"/>
      <c r="Y595" s="230"/>
      <c r="Z595" s="230"/>
    </row>
    <row r="596" spans="1:26" ht="15.75" customHeight="1">
      <c r="A596" s="230"/>
      <c r="B596" s="230"/>
      <c r="C596" s="230"/>
      <c r="D596" s="230"/>
      <c r="E596" s="230"/>
      <c r="F596" s="230"/>
      <c r="G596" s="230"/>
      <c r="H596" s="230"/>
      <c r="I596" s="230"/>
      <c r="J596" s="230"/>
      <c r="K596" s="230"/>
      <c r="L596" s="230"/>
      <c r="M596" s="230"/>
      <c r="N596" s="230"/>
      <c r="O596" s="230"/>
      <c r="P596" s="230"/>
      <c r="Q596" s="230"/>
      <c r="R596" s="230"/>
      <c r="S596" s="230"/>
      <c r="T596" s="230"/>
      <c r="U596" s="230"/>
      <c r="V596" s="230"/>
      <c r="W596" s="230"/>
      <c r="X596" s="230"/>
      <c r="Y596" s="230"/>
      <c r="Z596" s="230"/>
    </row>
    <row r="597" spans="1:26" ht="15.75" customHeight="1">
      <c r="A597" s="230"/>
      <c r="B597" s="230"/>
      <c r="C597" s="230"/>
      <c r="D597" s="230"/>
      <c r="E597" s="230"/>
      <c r="F597" s="230"/>
      <c r="G597" s="230"/>
      <c r="H597" s="230"/>
      <c r="I597" s="230"/>
      <c r="J597" s="230"/>
      <c r="K597" s="230"/>
      <c r="L597" s="230"/>
      <c r="M597" s="230"/>
      <c r="N597" s="230"/>
      <c r="O597" s="230"/>
      <c r="P597" s="230"/>
      <c r="Q597" s="230"/>
      <c r="R597" s="230"/>
      <c r="S597" s="230"/>
      <c r="T597" s="230"/>
      <c r="U597" s="230"/>
      <c r="V597" s="230"/>
      <c r="W597" s="230"/>
      <c r="X597" s="230"/>
      <c r="Y597" s="230"/>
      <c r="Z597" s="230"/>
    </row>
    <row r="598" spans="1:26" ht="15.75" customHeight="1">
      <c r="A598" s="230"/>
      <c r="B598" s="230"/>
      <c r="C598" s="230"/>
      <c r="D598" s="230"/>
      <c r="E598" s="230"/>
      <c r="F598" s="230"/>
      <c r="G598" s="230"/>
      <c r="H598" s="230"/>
      <c r="I598" s="230"/>
      <c r="J598" s="230"/>
      <c r="K598" s="230"/>
      <c r="L598" s="230"/>
      <c r="M598" s="230"/>
      <c r="N598" s="230"/>
      <c r="O598" s="230"/>
      <c r="P598" s="230"/>
      <c r="Q598" s="230"/>
      <c r="R598" s="230"/>
      <c r="S598" s="230"/>
      <c r="T598" s="230"/>
      <c r="U598" s="230"/>
      <c r="V598" s="230"/>
      <c r="W598" s="230"/>
      <c r="X598" s="230"/>
      <c r="Y598" s="230"/>
      <c r="Z598" s="230"/>
    </row>
    <row r="599" spans="1:26" ht="15.75" customHeight="1">
      <c r="A599" s="230"/>
      <c r="B599" s="230"/>
      <c r="C599" s="230"/>
      <c r="D599" s="230"/>
      <c r="E599" s="230"/>
      <c r="F599" s="230"/>
      <c r="G599" s="230"/>
      <c r="H599" s="230"/>
      <c r="I599" s="230"/>
      <c r="J599" s="230"/>
      <c r="K599" s="230"/>
      <c r="L599" s="230"/>
      <c r="M599" s="230"/>
      <c r="N599" s="230"/>
      <c r="O599" s="230"/>
      <c r="P599" s="230"/>
      <c r="Q599" s="230"/>
      <c r="R599" s="230"/>
      <c r="S599" s="230"/>
      <c r="T599" s="230"/>
      <c r="U599" s="230"/>
      <c r="V599" s="230"/>
      <c r="W599" s="230"/>
      <c r="X599" s="230"/>
      <c r="Y599" s="230"/>
      <c r="Z599" s="230"/>
    </row>
    <row r="600" spans="1:26" ht="15.75" customHeight="1">
      <c r="A600" s="230"/>
      <c r="B600" s="230"/>
      <c r="C600" s="230"/>
      <c r="D600" s="230"/>
      <c r="E600" s="230"/>
      <c r="F600" s="230"/>
      <c r="G600" s="230"/>
      <c r="H600" s="230"/>
      <c r="I600" s="230"/>
      <c r="J600" s="230"/>
      <c r="K600" s="230"/>
      <c r="L600" s="230"/>
      <c r="M600" s="230"/>
      <c r="N600" s="230"/>
      <c r="O600" s="230"/>
      <c r="P600" s="230"/>
      <c r="Q600" s="230"/>
      <c r="R600" s="230"/>
      <c r="S600" s="230"/>
      <c r="T600" s="230"/>
      <c r="U600" s="230"/>
      <c r="V600" s="230"/>
      <c r="W600" s="230"/>
      <c r="X600" s="230"/>
      <c r="Y600" s="230"/>
      <c r="Z600" s="230"/>
    </row>
    <row r="601" spans="1:26" ht="15.75" customHeight="1">
      <c r="A601" s="230"/>
      <c r="B601" s="230"/>
      <c r="C601" s="230"/>
      <c r="D601" s="230"/>
      <c r="E601" s="230"/>
      <c r="F601" s="230"/>
      <c r="G601" s="230"/>
      <c r="H601" s="230"/>
      <c r="I601" s="230"/>
      <c r="J601" s="230"/>
      <c r="K601" s="230"/>
      <c r="L601" s="230"/>
      <c r="M601" s="230"/>
      <c r="N601" s="230"/>
      <c r="O601" s="230"/>
      <c r="P601" s="230"/>
      <c r="Q601" s="230"/>
      <c r="R601" s="230"/>
      <c r="S601" s="230"/>
      <c r="T601" s="230"/>
      <c r="U601" s="230"/>
      <c r="V601" s="230"/>
      <c r="W601" s="230"/>
      <c r="X601" s="230"/>
      <c r="Y601" s="230"/>
      <c r="Z601" s="230"/>
    </row>
    <row r="602" spans="1:26" ht="15.75" customHeight="1">
      <c r="A602" s="230"/>
      <c r="B602" s="230"/>
      <c r="C602" s="230"/>
      <c r="D602" s="230"/>
      <c r="E602" s="230"/>
      <c r="F602" s="230"/>
      <c r="G602" s="230"/>
      <c r="H602" s="230"/>
      <c r="I602" s="230"/>
      <c r="J602" s="230"/>
      <c r="K602" s="230"/>
      <c r="L602" s="230"/>
      <c r="M602" s="230"/>
      <c r="N602" s="230"/>
      <c r="O602" s="230"/>
      <c r="P602" s="230"/>
      <c r="Q602" s="230"/>
      <c r="R602" s="230"/>
      <c r="S602" s="230"/>
      <c r="T602" s="230"/>
      <c r="U602" s="230"/>
      <c r="V602" s="230"/>
      <c r="W602" s="230"/>
      <c r="X602" s="230"/>
      <c r="Y602" s="230"/>
      <c r="Z602" s="230"/>
    </row>
    <row r="603" spans="1:26" ht="15.75" customHeight="1">
      <c r="A603" s="230"/>
      <c r="B603" s="230"/>
      <c r="C603" s="230"/>
      <c r="D603" s="230"/>
      <c r="E603" s="230"/>
      <c r="F603" s="230"/>
      <c r="G603" s="230"/>
      <c r="H603" s="230"/>
      <c r="I603" s="230"/>
      <c r="J603" s="230"/>
      <c r="K603" s="230"/>
      <c r="L603" s="230"/>
      <c r="M603" s="230"/>
      <c r="N603" s="230"/>
      <c r="O603" s="230"/>
      <c r="P603" s="230"/>
      <c r="Q603" s="230"/>
      <c r="R603" s="230"/>
      <c r="S603" s="230"/>
      <c r="T603" s="230"/>
      <c r="U603" s="230"/>
      <c r="V603" s="230"/>
      <c r="W603" s="230"/>
      <c r="X603" s="230"/>
      <c r="Y603" s="230"/>
      <c r="Z603" s="230"/>
    </row>
    <row r="604" spans="1:26" ht="15.75" customHeight="1">
      <c r="A604" s="230"/>
      <c r="B604" s="230"/>
      <c r="C604" s="230"/>
      <c r="D604" s="230"/>
      <c r="E604" s="230"/>
      <c r="F604" s="230"/>
      <c r="G604" s="230"/>
      <c r="H604" s="230"/>
      <c r="I604" s="230"/>
      <c r="J604" s="230"/>
      <c r="K604" s="230"/>
      <c r="L604" s="230"/>
      <c r="M604" s="230"/>
      <c r="N604" s="230"/>
      <c r="O604" s="230"/>
      <c r="P604" s="230"/>
      <c r="Q604" s="230"/>
      <c r="R604" s="230"/>
      <c r="S604" s="230"/>
      <c r="T604" s="230"/>
      <c r="U604" s="230"/>
      <c r="V604" s="230"/>
      <c r="W604" s="230"/>
      <c r="X604" s="230"/>
      <c r="Y604" s="230"/>
      <c r="Z604" s="230"/>
    </row>
    <row r="605" spans="1:26" ht="15.75" customHeight="1">
      <c r="A605" s="230"/>
      <c r="B605" s="230"/>
      <c r="C605" s="230"/>
      <c r="D605" s="230"/>
      <c r="E605" s="230"/>
      <c r="F605" s="230"/>
      <c r="G605" s="230"/>
      <c r="H605" s="230"/>
      <c r="I605" s="230"/>
      <c r="J605" s="230"/>
      <c r="K605" s="230"/>
      <c r="L605" s="230"/>
      <c r="M605" s="230"/>
      <c r="N605" s="230"/>
      <c r="O605" s="230"/>
      <c r="P605" s="230"/>
      <c r="Q605" s="230"/>
      <c r="R605" s="230"/>
      <c r="S605" s="230"/>
      <c r="T605" s="230"/>
      <c r="U605" s="230"/>
      <c r="V605" s="230"/>
      <c r="W605" s="230"/>
      <c r="X605" s="230"/>
      <c r="Y605" s="230"/>
      <c r="Z605" s="230"/>
    </row>
    <row r="606" spans="1:26" ht="15.75" customHeight="1">
      <c r="A606" s="230"/>
      <c r="B606" s="230"/>
      <c r="C606" s="230"/>
      <c r="D606" s="230"/>
      <c r="E606" s="230"/>
      <c r="F606" s="230"/>
      <c r="G606" s="230"/>
      <c r="H606" s="230"/>
      <c r="I606" s="230"/>
      <c r="J606" s="230"/>
      <c r="K606" s="230"/>
      <c r="L606" s="230"/>
      <c r="M606" s="230"/>
      <c r="N606" s="230"/>
      <c r="O606" s="230"/>
      <c r="P606" s="230"/>
      <c r="Q606" s="230"/>
      <c r="R606" s="230"/>
      <c r="S606" s="230"/>
      <c r="T606" s="230"/>
      <c r="U606" s="230"/>
      <c r="V606" s="230"/>
      <c r="W606" s="230"/>
      <c r="X606" s="230"/>
      <c r="Y606" s="230"/>
      <c r="Z606" s="230"/>
    </row>
    <row r="607" spans="1:26" ht="15.75" customHeight="1">
      <c r="A607" s="230"/>
      <c r="B607" s="230"/>
      <c r="C607" s="230"/>
      <c r="D607" s="230"/>
      <c r="E607" s="230"/>
      <c r="F607" s="230"/>
      <c r="G607" s="230"/>
      <c r="H607" s="230"/>
      <c r="I607" s="230"/>
      <c r="J607" s="230"/>
      <c r="K607" s="230"/>
      <c r="L607" s="230"/>
      <c r="M607" s="230"/>
      <c r="N607" s="230"/>
      <c r="O607" s="230"/>
      <c r="P607" s="230"/>
      <c r="Q607" s="230"/>
      <c r="R607" s="230"/>
      <c r="S607" s="230"/>
      <c r="T607" s="230"/>
      <c r="U607" s="230"/>
      <c r="V607" s="230"/>
      <c r="W607" s="230"/>
      <c r="X607" s="230"/>
      <c r="Y607" s="230"/>
      <c r="Z607" s="230"/>
    </row>
    <row r="608" spans="1:26" ht="15.75" customHeight="1">
      <c r="A608" s="230"/>
      <c r="B608" s="230"/>
      <c r="C608" s="230"/>
      <c r="D608" s="230"/>
      <c r="E608" s="230"/>
      <c r="F608" s="230"/>
      <c r="G608" s="230"/>
      <c r="H608" s="230"/>
      <c r="I608" s="230"/>
      <c r="J608" s="230"/>
      <c r="K608" s="230"/>
      <c r="L608" s="230"/>
      <c r="M608" s="230"/>
      <c r="N608" s="230"/>
      <c r="O608" s="230"/>
      <c r="P608" s="230"/>
      <c r="Q608" s="230"/>
      <c r="R608" s="230"/>
      <c r="S608" s="230"/>
      <c r="T608" s="230"/>
      <c r="U608" s="230"/>
      <c r="V608" s="230"/>
      <c r="W608" s="230"/>
      <c r="X608" s="230"/>
      <c r="Y608" s="230"/>
      <c r="Z608" s="230"/>
    </row>
    <row r="609" spans="1:26" ht="15.75" customHeight="1">
      <c r="A609" s="230"/>
      <c r="B609" s="230"/>
      <c r="C609" s="230"/>
      <c r="D609" s="230"/>
      <c r="E609" s="230"/>
      <c r="F609" s="230"/>
      <c r="G609" s="230"/>
      <c r="H609" s="230"/>
      <c r="I609" s="230"/>
      <c r="J609" s="230"/>
      <c r="K609" s="230"/>
      <c r="L609" s="230"/>
      <c r="M609" s="230"/>
      <c r="N609" s="230"/>
      <c r="O609" s="230"/>
      <c r="P609" s="230"/>
      <c r="Q609" s="230"/>
      <c r="R609" s="230"/>
      <c r="S609" s="230"/>
      <c r="T609" s="230"/>
      <c r="U609" s="230"/>
      <c r="V609" s="230"/>
      <c r="W609" s="230"/>
      <c r="X609" s="230"/>
      <c r="Y609" s="230"/>
      <c r="Z609" s="230"/>
    </row>
    <row r="610" spans="1:26" ht="15.75" customHeight="1">
      <c r="A610" s="230"/>
      <c r="B610" s="230"/>
      <c r="C610" s="230"/>
      <c r="D610" s="230"/>
      <c r="E610" s="230"/>
      <c r="F610" s="230"/>
      <c r="G610" s="230"/>
      <c r="H610" s="230"/>
      <c r="I610" s="230"/>
      <c r="J610" s="230"/>
      <c r="K610" s="230"/>
      <c r="L610" s="230"/>
      <c r="M610" s="230"/>
      <c r="N610" s="230"/>
      <c r="O610" s="230"/>
      <c r="P610" s="230"/>
      <c r="Q610" s="230"/>
      <c r="R610" s="230"/>
      <c r="S610" s="230"/>
      <c r="T610" s="230"/>
      <c r="U610" s="230"/>
      <c r="V610" s="230"/>
      <c r="W610" s="230"/>
      <c r="X610" s="230"/>
      <c r="Y610" s="230"/>
      <c r="Z610" s="230"/>
    </row>
    <row r="611" spans="1:26" ht="15.75" customHeight="1">
      <c r="A611" s="230"/>
      <c r="B611" s="230"/>
      <c r="C611" s="230"/>
      <c r="D611" s="230"/>
      <c r="E611" s="230"/>
      <c r="F611" s="230"/>
      <c r="G611" s="230"/>
      <c r="H611" s="230"/>
      <c r="I611" s="230"/>
      <c r="J611" s="230"/>
      <c r="K611" s="230"/>
      <c r="L611" s="230"/>
      <c r="M611" s="230"/>
      <c r="N611" s="230"/>
      <c r="O611" s="230"/>
      <c r="P611" s="230"/>
      <c r="Q611" s="230"/>
      <c r="R611" s="230"/>
      <c r="S611" s="230"/>
      <c r="T611" s="230"/>
      <c r="U611" s="230"/>
      <c r="V611" s="230"/>
      <c r="W611" s="230"/>
      <c r="X611" s="230"/>
      <c r="Y611" s="230"/>
      <c r="Z611" s="230"/>
    </row>
    <row r="612" spans="1:26" ht="15.75" customHeight="1">
      <c r="A612" s="230"/>
      <c r="B612" s="230"/>
      <c r="C612" s="230"/>
      <c r="D612" s="230"/>
      <c r="E612" s="230"/>
      <c r="F612" s="230"/>
      <c r="G612" s="230"/>
      <c r="H612" s="230"/>
      <c r="I612" s="230"/>
      <c r="J612" s="230"/>
      <c r="K612" s="230"/>
      <c r="L612" s="230"/>
      <c r="M612" s="230"/>
      <c r="N612" s="230"/>
      <c r="O612" s="230"/>
      <c r="P612" s="230"/>
      <c r="Q612" s="230"/>
      <c r="R612" s="230"/>
      <c r="S612" s="230"/>
      <c r="T612" s="230"/>
      <c r="U612" s="230"/>
      <c r="V612" s="230"/>
      <c r="W612" s="230"/>
      <c r="X612" s="230"/>
      <c r="Y612" s="230"/>
      <c r="Z612" s="230"/>
    </row>
    <row r="613" spans="1:26" ht="15.75" customHeight="1">
      <c r="A613" s="230"/>
      <c r="B613" s="230"/>
      <c r="C613" s="230"/>
      <c r="D613" s="230"/>
      <c r="E613" s="230"/>
      <c r="F613" s="230"/>
      <c r="G613" s="230"/>
      <c r="H613" s="230"/>
      <c r="I613" s="230"/>
      <c r="J613" s="230"/>
      <c r="K613" s="230"/>
      <c r="L613" s="230"/>
      <c r="M613" s="230"/>
      <c r="N613" s="230"/>
      <c r="O613" s="230"/>
      <c r="P613" s="230"/>
      <c r="Q613" s="230"/>
      <c r="R613" s="230"/>
      <c r="S613" s="230"/>
      <c r="T613" s="230"/>
      <c r="U613" s="230"/>
      <c r="V613" s="230"/>
      <c r="W613" s="230"/>
      <c r="X613" s="230"/>
      <c r="Y613" s="230"/>
      <c r="Z613" s="230"/>
    </row>
    <row r="614" spans="1:26" ht="15.75" customHeight="1">
      <c r="A614" s="230"/>
      <c r="B614" s="230"/>
      <c r="C614" s="230"/>
      <c r="D614" s="230"/>
      <c r="E614" s="230"/>
      <c r="F614" s="230"/>
      <c r="G614" s="230"/>
      <c r="H614" s="230"/>
      <c r="I614" s="230"/>
      <c r="J614" s="230"/>
      <c r="K614" s="230"/>
      <c r="L614" s="230"/>
      <c r="M614" s="230"/>
      <c r="N614" s="230"/>
      <c r="O614" s="230"/>
      <c r="P614" s="230"/>
      <c r="Q614" s="230"/>
      <c r="R614" s="230"/>
      <c r="S614" s="230"/>
      <c r="T614" s="230"/>
      <c r="U614" s="230"/>
      <c r="V614" s="230"/>
      <c r="W614" s="230"/>
      <c r="X614" s="230"/>
      <c r="Y614" s="230"/>
      <c r="Z614" s="230"/>
    </row>
    <row r="615" spans="1:26" ht="15.75" customHeight="1">
      <c r="A615" s="230"/>
      <c r="B615" s="230"/>
      <c r="C615" s="230"/>
      <c r="D615" s="230"/>
      <c r="E615" s="230"/>
      <c r="F615" s="230"/>
      <c r="G615" s="230"/>
      <c r="H615" s="230"/>
      <c r="I615" s="230"/>
      <c r="J615" s="230"/>
      <c r="K615" s="230"/>
      <c r="L615" s="230"/>
      <c r="M615" s="230"/>
      <c r="N615" s="230"/>
      <c r="O615" s="230"/>
      <c r="P615" s="230"/>
      <c r="Q615" s="230"/>
      <c r="R615" s="230"/>
      <c r="S615" s="230"/>
      <c r="T615" s="230"/>
      <c r="U615" s="230"/>
      <c r="V615" s="230"/>
      <c r="W615" s="230"/>
      <c r="X615" s="230"/>
      <c r="Y615" s="230"/>
      <c r="Z615" s="230"/>
    </row>
    <row r="616" spans="1:26" ht="15.75" customHeight="1">
      <c r="A616" s="230"/>
      <c r="B616" s="230"/>
      <c r="C616" s="230"/>
      <c r="D616" s="230"/>
      <c r="E616" s="230"/>
      <c r="F616" s="230"/>
      <c r="G616" s="230"/>
      <c r="H616" s="230"/>
      <c r="I616" s="230"/>
      <c r="J616" s="230"/>
      <c r="K616" s="230"/>
      <c r="L616" s="230"/>
      <c r="M616" s="230"/>
      <c r="N616" s="230"/>
      <c r="O616" s="230"/>
      <c r="P616" s="230"/>
      <c r="Q616" s="230"/>
      <c r="R616" s="230"/>
      <c r="S616" s="230"/>
      <c r="T616" s="230"/>
      <c r="U616" s="230"/>
      <c r="V616" s="230"/>
      <c r="W616" s="230"/>
      <c r="X616" s="230"/>
      <c r="Y616" s="230"/>
      <c r="Z616" s="230"/>
    </row>
    <row r="617" spans="1:26" ht="15.75" customHeight="1">
      <c r="A617" s="230"/>
      <c r="B617" s="230"/>
      <c r="C617" s="230"/>
      <c r="D617" s="230"/>
      <c r="E617" s="230"/>
      <c r="F617" s="230"/>
      <c r="G617" s="230"/>
      <c r="H617" s="230"/>
      <c r="I617" s="230"/>
      <c r="J617" s="230"/>
      <c r="K617" s="230"/>
      <c r="L617" s="230"/>
      <c r="M617" s="230"/>
      <c r="N617" s="230"/>
      <c r="O617" s="230"/>
      <c r="P617" s="230"/>
      <c r="Q617" s="230"/>
      <c r="R617" s="230"/>
      <c r="S617" s="230"/>
      <c r="T617" s="230"/>
      <c r="U617" s="230"/>
      <c r="V617" s="230"/>
      <c r="W617" s="230"/>
      <c r="X617" s="230"/>
      <c r="Y617" s="230"/>
      <c r="Z617" s="230"/>
    </row>
    <row r="618" spans="1:26" ht="15.75" customHeight="1">
      <c r="A618" s="230"/>
      <c r="B618" s="230"/>
      <c r="C618" s="230"/>
      <c r="D618" s="230"/>
      <c r="E618" s="230"/>
      <c r="F618" s="230"/>
      <c r="G618" s="230"/>
      <c r="H618" s="230"/>
      <c r="I618" s="230"/>
      <c r="J618" s="230"/>
      <c r="K618" s="230"/>
      <c r="L618" s="230"/>
      <c r="M618" s="230"/>
      <c r="N618" s="230"/>
      <c r="O618" s="230"/>
      <c r="P618" s="230"/>
      <c r="Q618" s="230"/>
      <c r="R618" s="230"/>
      <c r="S618" s="230"/>
      <c r="T618" s="230"/>
      <c r="U618" s="230"/>
      <c r="V618" s="230"/>
      <c r="W618" s="230"/>
      <c r="X618" s="230"/>
      <c r="Y618" s="230"/>
      <c r="Z618" s="230"/>
    </row>
    <row r="619" spans="1:26" ht="15.75" customHeight="1">
      <c r="A619" s="230"/>
      <c r="B619" s="230"/>
      <c r="C619" s="230"/>
      <c r="D619" s="230"/>
      <c r="E619" s="230"/>
      <c r="F619" s="230"/>
      <c r="G619" s="230"/>
      <c r="H619" s="230"/>
      <c r="I619" s="230"/>
      <c r="J619" s="230"/>
      <c r="K619" s="230"/>
      <c r="L619" s="230"/>
      <c r="M619" s="230"/>
      <c r="N619" s="230"/>
      <c r="O619" s="230"/>
      <c r="P619" s="230"/>
      <c r="Q619" s="230"/>
      <c r="R619" s="230"/>
      <c r="S619" s="230"/>
      <c r="T619" s="230"/>
      <c r="U619" s="230"/>
      <c r="V619" s="230"/>
      <c r="W619" s="230"/>
      <c r="X619" s="230"/>
      <c r="Y619" s="230"/>
      <c r="Z619" s="230"/>
    </row>
    <row r="620" spans="1:26" ht="15.75" customHeight="1">
      <c r="A620" s="230"/>
      <c r="B620" s="230"/>
      <c r="C620" s="230"/>
      <c r="D620" s="230"/>
      <c r="E620" s="230"/>
      <c r="F620" s="230"/>
      <c r="G620" s="230"/>
      <c r="H620" s="230"/>
      <c r="I620" s="230"/>
      <c r="J620" s="230"/>
      <c r="K620" s="230"/>
      <c r="L620" s="230"/>
      <c r="M620" s="230"/>
      <c r="N620" s="230"/>
      <c r="O620" s="230"/>
      <c r="P620" s="230"/>
      <c r="Q620" s="230"/>
      <c r="R620" s="230"/>
      <c r="S620" s="230"/>
      <c r="T620" s="230"/>
      <c r="U620" s="230"/>
      <c r="V620" s="230"/>
      <c r="W620" s="230"/>
      <c r="X620" s="230"/>
      <c r="Y620" s="230"/>
      <c r="Z620" s="230"/>
    </row>
    <row r="621" spans="1:26" ht="15.75" customHeight="1">
      <c r="A621" s="230"/>
      <c r="B621" s="230"/>
      <c r="C621" s="230"/>
      <c r="D621" s="230"/>
      <c r="E621" s="230"/>
      <c r="F621" s="230"/>
      <c r="G621" s="230"/>
      <c r="H621" s="230"/>
      <c r="I621" s="230"/>
      <c r="J621" s="230"/>
      <c r="K621" s="230"/>
      <c r="L621" s="230"/>
      <c r="M621" s="230"/>
      <c r="N621" s="230"/>
      <c r="O621" s="230"/>
      <c r="P621" s="230"/>
      <c r="Q621" s="230"/>
      <c r="R621" s="230"/>
      <c r="S621" s="230"/>
      <c r="T621" s="230"/>
      <c r="U621" s="230"/>
      <c r="V621" s="230"/>
      <c r="W621" s="230"/>
      <c r="X621" s="230"/>
      <c r="Y621" s="230"/>
      <c r="Z621" s="230"/>
    </row>
    <row r="622" spans="1:26" ht="15.75" customHeight="1">
      <c r="A622" s="230"/>
      <c r="B622" s="230"/>
      <c r="C622" s="230"/>
      <c r="D622" s="230"/>
      <c r="E622" s="230"/>
      <c r="F622" s="230"/>
      <c r="G622" s="230"/>
      <c r="H622" s="230"/>
      <c r="I622" s="230"/>
      <c r="J622" s="230"/>
      <c r="K622" s="230"/>
      <c r="L622" s="230"/>
      <c r="M622" s="230"/>
      <c r="N622" s="230"/>
      <c r="O622" s="230"/>
      <c r="P622" s="230"/>
      <c r="Q622" s="230"/>
      <c r="R622" s="230"/>
      <c r="S622" s="230"/>
      <c r="T622" s="230"/>
      <c r="U622" s="230"/>
      <c r="V622" s="230"/>
      <c r="W622" s="230"/>
      <c r="X622" s="230"/>
      <c r="Y622" s="230"/>
      <c r="Z622" s="230"/>
    </row>
    <row r="623" spans="1:26" ht="15.75" customHeight="1">
      <c r="A623" s="230"/>
      <c r="B623" s="230"/>
      <c r="C623" s="230"/>
      <c r="D623" s="230"/>
      <c r="E623" s="230"/>
      <c r="F623" s="230"/>
      <c r="G623" s="230"/>
      <c r="H623" s="230"/>
      <c r="I623" s="230"/>
      <c r="J623" s="230"/>
      <c r="K623" s="230"/>
      <c r="L623" s="230"/>
      <c r="M623" s="230"/>
      <c r="N623" s="230"/>
      <c r="O623" s="230"/>
      <c r="P623" s="230"/>
      <c r="Q623" s="230"/>
      <c r="R623" s="230"/>
      <c r="S623" s="230"/>
      <c r="T623" s="230"/>
      <c r="U623" s="230"/>
      <c r="V623" s="230"/>
      <c r="W623" s="230"/>
      <c r="X623" s="230"/>
      <c r="Y623" s="230"/>
      <c r="Z623" s="230"/>
    </row>
    <row r="624" spans="1:26" ht="15.75" customHeight="1">
      <c r="A624" s="230"/>
      <c r="B624" s="230"/>
      <c r="C624" s="230"/>
      <c r="D624" s="230"/>
      <c r="E624" s="230"/>
      <c r="F624" s="230"/>
      <c r="G624" s="230"/>
      <c r="H624" s="230"/>
      <c r="I624" s="230"/>
      <c r="J624" s="230"/>
      <c r="K624" s="230"/>
      <c r="L624" s="230"/>
      <c r="M624" s="230"/>
      <c r="N624" s="230"/>
      <c r="O624" s="230"/>
      <c r="P624" s="230"/>
      <c r="Q624" s="230"/>
      <c r="R624" s="230"/>
      <c r="S624" s="230"/>
      <c r="T624" s="230"/>
      <c r="U624" s="230"/>
      <c r="V624" s="230"/>
      <c r="W624" s="230"/>
      <c r="X624" s="230"/>
      <c r="Y624" s="230"/>
      <c r="Z624" s="230"/>
    </row>
    <row r="625" spans="1:26" ht="15.75" customHeight="1">
      <c r="A625" s="230"/>
      <c r="B625" s="230"/>
      <c r="C625" s="230"/>
      <c r="D625" s="230"/>
      <c r="E625" s="230"/>
      <c r="F625" s="230"/>
      <c r="G625" s="230"/>
      <c r="H625" s="230"/>
      <c r="I625" s="230"/>
      <c r="J625" s="230"/>
      <c r="K625" s="230"/>
      <c r="L625" s="230"/>
      <c r="M625" s="230"/>
      <c r="N625" s="230"/>
      <c r="O625" s="230"/>
      <c r="P625" s="230"/>
      <c r="Q625" s="230"/>
      <c r="R625" s="230"/>
      <c r="S625" s="230"/>
      <c r="T625" s="230"/>
      <c r="U625" s="230"/>
      <c r="V625" s="230"/>
      <c r="W625" s="230"/>
      <c r="X625" s="230"/>
      <c r="Y625" s="230"/>
      <c r="Z625" s="230"/>
    </row>
    <row r="626" spans="1:26" ht="15.75" customHeight="1">
      <c r="A626" s="230"/>
      <c r="B626" s="230"/>
      <c r="C626" s="230"/>
      <c r="D626" s="230"/>
      <c r="E626" s="230"/>
      <c r="F626" s="230"/>
      <c r="G626" s="230"/>
      <c r="H626" s="230"/>
      <c r="I626" s="230"/>
      <c r="J626" s="230"/>
      <c r="K626" s="230"/>
      <c r="L626" s="230"/>
      <c r="M626" s="230"/>
      <c r="N626" s="230"/>
      <c r="O626" s="230"/>
      <c r="P626" s="230"/>
      <c r="Q626" s="230"/>
      <c r="R626" s="230"/>
      <c r="S626" s="230"/>
      <c r="T626" s="230"/>
      <c r="U626" s="230"/>
      <c r="V626" s="230"/>
      <c r="W626" s="230"/>
      <c r="X626" s="230"/>
      <c r="Y626" s="230"/>
      <c r="Z626" s="230"/>
    </row>
    <row r="627" spans="1:26" ht="15.75" customHeight="1">
      <c r="A627" s="230"/>
      <c r="B627" s="230"/>
      <c r="C627" s="230"/>
      <c r="D627" s="230"/>
      <c r="E627" s="230"/>
      <c r="F627" s="230"/>
      <c r="G627" s="230"/>
      <c r="H627" s="230"/>
      <c r="I627" s="230"/>
      <c r="J627" s="230"/>
      <c r="K627" s="230"/>
      <c r="L627" s="230"/>
      <c r="M627" s="230"/>
      <c r="N627" s="230"/>
      <c r="O627" s="230"/>
      <c r="P627" s="230"/>
      <c r="Q627" s="230"/>
      <c r="R627" s="230"/>
      <c r="S627" s="230"/>
      <c r="T627" s="230"/>
      <c r="U627" s="230"/>
      <c r="V627" s="230"/>
      <c r="W627" s="230"/>
      <c r="X627" s="230"/>
      <c r="Y627" s="230"/>
      <c r="Z627" s="230"/>
    </row>
    <row r="628" spans="1:26" ht="15.75" customHeight="1">
      <c r="A628" s="230"/>
      <c r="B628" s="230"/>
      <c r="C628" s="230"/>
      <c r="D628" s="230"/>
      <c r="E628" s="230"/>
      <c r="F628" s="230"/>
      <c r="G628" s="230"/>
      <c r="H628" s="230"/>
      <c r="I628" s="230"/>
      <c r="J628" s="230"/>
      <c r="K628" s="230"/>
      <c r="L628" s="230"/>
      <c r="M628" s="230"/>
      <c r="N628" s="230"/>
      <c r="O628" s="230"/>
      <c r="P628" s="230"/>
      <c r="Q628" s="230"/>
      <c r="R628" s="230"/>
      <c r="S628" s="230"/>
      <c r="T628" s="230"/>
      <c r="U628" s="230"/>
      <c r="V628" s="230"/>
      <c r="W628" s="230"/>
      <c r="X628" s="230"/>
      <c r="Y628" s="230"/>
      <c r="Z628" s="230"/>
    </row>
    <row r="629" spans="1:26" ht="15.75" customHeight="1">
      <c r="A629" s="230"/>
      <c r="B629" s="230"/>
      <c r="C629" s="230"/>
      <c r="D629" s="230"/>
      <c r="E629" s="230"/>
      <c r="F629" s="230"/>
      <c r="G629" s="230"/>
      <c r="H629" s="230"/>
      <c r="I629" s="230"/>
      <c r="J629" s="230"/>
      <c r="K629" s="230"/>
      <c r="L629" s="230"/>
      <c r="M629" s="230"/>
      <c r="N629" s="230"/>
      <c r="O629" s="230"/>
      <c r="P629" s="230"/>
      <c r="Q629" s="230"/>
      <c r="R629" s="230"/>
      <c r="S629" s="230"/>
      <c r="T629" s="230"/>
      <c r="U629" s="230"/>
      <c r="V629" s="230"/>
      <c r="W629" s="230"/>
      <c r="X629" s="230"/>
      <c r="Y629" s="230"/>
      <c r="Z629" s="230"/>
    </row>
    <row r="630" spans="1:26" ht="15.75" customHeight="1">
      <c r="A630" s="230"/>
      <c r="B630" s="230"/>
      <c r="C630" s="230"/>
      <c r="D630" s="230"/>
      <c r="E630" s="230"/>
      <c r="F630" s="230"/>
      <c r="G630" s="230"/>
      <c r="H630" s="230"/>
      <c r="I630" s="230"/>
      <c r="J630" s="230"/>
      <c r="K630" s="230"/>
      <c r="L630" s="230"/>
      <c r="M630" s="230"/>
      <c r="N630" s="230"/>
      <c r="O630" s="230"/>
      <c r="P630" s="230"/>
      <c r="Q630" s="230"/>
      <c r="R630" s="230"/>
      <c r="S630" s="230"/>
      <c r="T630" s="230"/>
      <c r="U630" s="230"/>
      <c r="V630" s="230"/>
      <c r="W630" s="230"/>
      <c r="X630" s="230"/>
      <c r="Y630" s="230"/>
      <c r="Z630" s="230"/>
    </row>
    <row r="631" spans="1:26" ht="15.75" customHeight="1">
      <c r="A631" s="230"/>
      <c r="B631" s="230"/>
      <c r="C631" s="230"/>
      <c r="D631" s="230"/>
      <c r="E631" s="230"/>
      <c r="F631" s="230"/>
      <c r="G631" s="230"/>
      <c r="H631" s="230"/>
      <c r="I631" s="230"/>
      <c r="J631" s="230"/>
      <c r="K631" s="230"/>
      <c r="L631" s="230"/>
      <c r="M631" s="230"/>
      <c r="N631" s="230"/>
      <c r="O631" s="230"/>
      <c r="P631" s="230"/>
      <c r="Q631" s="230"/>
      <c r="R631" s="230"/>
      <c r="S631" s="230"/>
      <c r="T631" s="230"/>
      <c r="U631" s="230"/>
      <c r="V631" s="230"/>
      <c r="W631" s="230"/>
      <c r="X631" s="230"/>
      <c r="Y631" s="230"/>
      <c r="Z631" s="230"/>
    </row>
    <row r="632" spans="1:26" ht="15.75" customHeight="1">
      <c r="A632" s="230"/>
      <c r="B632" s="230"/>
      <c r="C632" s="230"/>
      <c r="D632" s="230"/>
      <c r="E632" s="230"/>
      <c r="F632" s="230"/>
      <c r="G632" s="230"/>
      <c r="H632" s="230"/>
      <c r="I632" s="230"/>
      <c r="J632" s="230"/>
      <c r="K632" s="230"/>
      <c r="L632" s="230"/>
      <c r="M632" s="230"/>
      <c r="N632" s="230"/>
      <c r="O632" s="230"/>
      <c r="P632" s="230"/>
      <c r="Q632" s="230"/>
      <c r="R632" s="230"/>
      <c r="S632" s="230"/>
      <c r="T632" s="230"/>
      <c r="U632" s="230"/>
      <c r="V632" s="230"/>
      <c r="W632" s="230"/>
      <c r="X632" s="230"/>
      <c r="Y632" s="230"/>
      <c r="Z632" s="230"/>
    </row>
    <row r="633" spans="1:26" ht="15.75" customHeight="1">
      <c r="A633" s="230"/>
      <c r="B633" s="230"/>
      <c r="C633" s="230"/>
      <c r="D633" s="230"/>
      <c r="E633" s="230"/>
      <c r="F633" s="230"/>
      <c r="G633" s="230"/>
      <c r="H633" s="230"/>
      <c r="I633" s="230"/>
      <c r="J633" s="230"/>
      <c r="K633" s="230"/>
      <c r="L633" s="230"/>
      <c r="M633" s="230"/>
      <c r="N633" s="230"/>
      <c r="O633" s="230"/>
      <c r="P633" s="230"/>
      <c r="Q633" s="230"/>
      <c r="R633" s="230"/>
      <c r="S633" s="230"/>
      <c r="T633" s="230"/>
      <c r="U633" s="230"/>
      <c r="V633" s="230"/>
      <c r="W633" s="230"/>
      <c r="X633" s="230"/>
      <c r="Y633" s="230"/>
      <c r="Z633" s="230"/>
    </row>
    <row r="634" spans="1:26" ht="15.75" customHeight="1">
      <c r="A634" s="230"/>
      <c r="B634" s="230"/>
      <c r="C634" s="230"/>
      <c r="D634" s="230"/>
      <c r="E634" s="230"/>
      <c r="F634" s="230"/>
      <c r="G634" s="230"/>
      <c r="H634" s="230"/>
      <c r="I634" s="230"/>
      <c r="J634" s="230"/>
      <c r="K634" s="230"/>
      <c r="L634" s="230"/>
      <c r="M634" s="230"/>
      <c r="N634" s="230"/>
      <c r="O634" s="230"/>
      <c r="P634" s="230"/>
      <c r="Q634" s="230"/>
      <c r="R634" s="230"/>
      <c r="S634" s="230"/>
      <c r="T634" s="230"/>
      <c r="U634" s="230"/>
      <c r="V634" s="230"/>
      <c r="W634" s="230"/>
      <c r="X634" s="230"/>
      <c r="Y634" s="230"/>
      <c r="Z634" s="230"/>
    </row>
    <row r="635" spans="1:26" ht="15.75" customHeight="1">
      <c r="A635" s="230"/>
      <c r="B635" s="230"/>
      <c r="C635" s="230"/>
      <c r="D635" s="230"/>
      <c r="E635" s="230"/>
      <c r="F635" s="230"/>
      <c r="G635" s="230"/>
      <c r="H635" s="230"/>
      <c r="I635" s="230"/>
      <c r="J635" s="230"/>
      <c r="K635" s="230"/>
      <c r="L635" s="230"/>
      <c r="M635" s="230"/>
      <c r="N635" s="230"/>
      <c r="O635" s="230"/>
      <c r="P635" s="230"/>
      <c r="Q635" s="230"/>
      <c r="R635" s="230"/>
      <c r="S635" s="230"/>
      <c r="T635" s="230"/>
      <c r="U635" s="230"/>
      <c r="V635" s="230"/>
      <c r="W635" s="230"/>
      <c r="X635" s="230"/>
      <c r="Y635" s="230"/>
      <c r="Z635" s="230"/>
    </row>
    <row r="636" spans="1:26" ht="15.75" customHeight="1">
      <c r="A636" s="230"/>
      <c r="B636" s="230"/>
      <c r="C636" s="230"/>
      <c r="D636" s="230"/>
      <c r="E636" s="230"/>
      <c r="F636" s="230"/>
      <c r="G636" s="230"/>
      <c r="H636" s="230"/>
      <c r="I636" s="230"/>
      <c r="J636" s="230"/>
      <c r="K636" s="230"/>
      <c r="L636" s="230"/>
      <c r="M636" s="230"/>
      <c r="N636" s="230"/>
      <c r="O636" s="230"/>
      <c r="P636" s="230"/>
      <c r="Q636" s="230"/>
      <c r="R636" s="230"/>
      <c r="S636" s="230"/>
      <c r="T636" s="230"/>
      <c r="U636" s="230"/>
      <c r="V636" s="230"/>
      <c r="W636" s="230"/>
      <c r="X636" s="230"/>
      <c r="Y636" s="230"/>
      <c r="Z636" s="230"/>
    </row>
    <row r="637" spans="1:26" ht="15.75" customHeight="1">
      <c r="A637" s="230"/>
      <c r="B637" s="230"/>
      <c r="C637" s="230"/>
      <c r="D637" s="230"/>
      <c r="E637" s="230"/>
      <c r="F637" s="230"/>
      <c r="G637" s="230"/>
      <c r="H637" s="230"/>
      <c r="I637" s="230"/>
      <c r="J637" s="230"/>
      <c r="K637" s="230"/>
      <c r="L637" s="230"/>
      <c r="M637" s="230"/>
      <c r="N637" s="230"/>
      <c r="O637" s="230"/>
      <c r="P637" s="230"/>
      <c r="Q637" s="230"/>
      <c r="R637" s="230"/>
      <c r="S637" s="230"/>
      <c r="T637" s="230"/>
      <c r="U637" s="230"/>
      <c r="V637" s="230"/>
      <c r="W637" s="230"/>
      <c r="X637" s="230"/>
      <c r="Y637" s="230"/>
      <c r="Z637" s="230"/>
    </row>
    <row r="638" spans="1:26" ht="15.75" customHeight="1">
      <c r="A638" s="230"/>
      <c r="B638" s="230"/>
      <c r="C638" s="230"/>
      <c r="D638" s="230"/>
      <c r="E638" s="230"/>
      <c r="F638" s="230"/>
      <c r="G638" s="230"/>
      <c r="H638" s="230"/>
      <c r="I638" s="230"/>
      <c r="J638" s="230"/>
      <c r="K638" s="230"/>
      <c r="L638" s="230"/>
      <c r="M638" s="230"/>
      <c r="N638" s="230"/>
      <c r="O638" s="230"/>
      <c r="P638" s="230"/>
      <c r="Q638" s="230"/>
      <c r="R638" s="230"/>
      <c r="S638" s="230"/>
      <c r="T638" s="230"/>
      <c r="U638" s="230"/>
      <c r="V638" s="230"/>
      <c r="W638" s="230"/>
      <c r="X638" s="230"/>
      <c r="Y638" s="230"/>
      <c r="Z638" s="230"/>
    </row>
    <row r="639" spans="1:26" ht="15.75" customHeight="1">
      <c r="A639" s="230"/>
      <c r="B639" s="230"/>
      <c r="C639" s="230"/>
      <c r="D639" s="230"/>
      <c r="E639" s="230"/>
      <c r="F639" s="230"/>
      <c r="G639" s="230"/>
      <c r="H639" s="230"/>
      <c r="I639" s="230"/>
      <c r="J639" s="230"/>
      <c r="K639" s="230"/>
      <c r="L639" s="230"/>
      <c r="M639" s="230"/>
      <c r="N639" s="230"/>
      <c r="O639" s="230"/>
      <c r="P639" s="230"/>
      <c r="Q639" s="230"/>
      <c r="R639" s="230"/>
      <c r="S639" s="230"/>
      <c r="T639" s="230"/>
      <c r="U639" s="230"/>
      <c r="V639" s="230"/>
      <c r="W639" s="230"/>
      <c r="X639" s="230"/>
      <c r="Y639" s="230"/>
      <c r="Z639" s="230"/>
    </row>
    <row r="640" spans="1:26" ht="15.75" customHeight="1">
      <c r="A640" s="230"/>
      <c r="B640" s="230"/>
      <c r="C640" s="230"/>
      <c r="D640" s="230"/>
      <c r="E640" s="230"/>
      <c r="F640" s="230"/>
      <c r="G640" s="230"/>
      <c r="H640" s="230"/>
      <c r="I640" s="230"/>
      <c r="J640" s="230"/>
      <c r="K640" s="230"/>
      <c r="L640" s="230"/>
      <c r="M640" s="230"/>
      <c r="N640" s="230"/>
      <c r="O640" s="230"/>
      <c r="P640" s="230"/>
      <c r="Q640" s="230"/>
      <c r="R640" s="230"/>
      <c r="S640" s="230"/>
      <c r="T640" s="230"/>
      <c r="U640" s="230"/>
      <c r="V640" s="230"/>
      <c r="W640" s="230"/>
      <c r="X640" s="230"/>
      <c r="Y640" s="230"/>
      <c r="Z640" s="230"/>
    </row>
    <row r="641" spans="1:26" ht="15.75" customHeight="1">
      <c r="A641" s="230"/>
      <c r="B641" s="230"/>
      <c r="C641" s="230"/>
      <c r="D641" s="230"/>
      <c r="E641" s="230"/>
      <c r="F641" s="230"/>
      <c r="G641" s="230"/>
      <c r="H641" s="230"/>
      <c r="I641" s="230"/>
      <c r="J641" s="230"/>
      <c r="K641" s="230"/>
      <c r="L641" s="230"/>
      <c r="M641" s="230"/>
      <c r="N641" s="230"/>
      <c r="O641" s="230"/>
      <c r="P641" s="230"/>
      <c r="Q641" s="230"/>
      <c r="R641" s="230"/>
      <c r="S641" s="230"/>
      <c r="T641" s="230"/>
      <c r="U641" s="230"/>
      <c r="V641" s="230"/>
      <c r="W641" s="230"/>
      <c r="X641" s="230"/>
      <c r="Y641" s="230"/>
      <c r="Z641" s="230"/>
    </row>
    <row r="642" spans="1:26" ht="15.75" customHeight="1">
      <c r="A642" s="230"/>
      <c r="B642" s="230"/>
      <c r="C642" s="230"/>
      <c r="D642" s="230"/>
      <c r="E642" s="230"/>
      <c r="F642" s="230"/>
      <c r="G642" s="230"/>
      <c r="H642" s="230"/>
      <c r="I642" s="230"/>
      <c r="J642" s="230"/>
      <c r="K642" s="230"/>
      <c r="L642" s="230"/>
      <c r="M642" s="230"/>
      <c r="N642" s="230"/>
      <c r="O642" s="230"/>
      <c r="P642" s="230"/>
      <c r="Q642" s="230"/>
      <c r="R642" s="230"/>
      <c r="S642" s="230"/>
      <c r="T642" s="230"/>
      <c r="U642" s="230"/>
      <c r="V642" s="230"/>
      <c r="W642" s="230"/>
      <c r="X642" s="230"/>
      <c r="Y642" s="230"/>
      <c r="Z642" s="230"/>
    </row>
    <row r="643" spans="1:26" ht="15.75" customHeight="1">
      <c r="A643" s="230"/>
      <c r="B643" s="230"/>
      <c r="C643" s="230"/>
      <c r="D643" s="230"/>
      <c r="E643" s="230"/>
      <c r="F643" s="230"/>
      <c r="G643" s="230"/>
      <c r="H643" s="230"/>
      <c r="I643" s="230"/>
      <c r="J643" s="230"/>
      <c r="K643" s="230"/>
      <c r="L643" s="230"/>
      <c r="M643" s="230"/>
      <c r="N643" s="230"/>
      <c r="O643" s="230"/>
      <c r="P643" s="230"/>
      <c r="Q643" s="230"/>
      <c r="R643" s="230"/>
      <c r="S643" s="230"/>
      <c r="T643" s="230"/>
      <c r="U643" s="230"/>
      <c r="V643" s="230"/>
      <c r="W643" s="230"/>
      <c r="X643" s="230"/>
      <c r="Y643" s="230"/>
      <c r="Z643" s="230"/>
    </row>
    <row r="644" spans="1:26" ht="15.75" customHeight="1">
      <c r="A644" s="230"/>
      <c r="B644" s="230"/>
      <c r="C644" s="230"/>
      <c r="D644" s="230"/>
      <c r="E644" s="230"/>
      <c r="F644" s="230"/>
      <c r="G644" s="230"/>
      <c r="H644" s="230"/>
      <c r="I644" s="230"/>
      <c r="J644" s="230"/>
      <c r="K644" s="230"/>
      <c r="L644" s="230"/>
      <c r="M644" s="230"/>
      <c r="N644" s="230"/>
      <c r="O644" s="230"/>
      <c r="P644" s="230"/>
      <c r="Q644" s="230"/>
      <c r="R644" s="230"/>
      <c r="S644" s="230"/>
      <c r="T644" s="230"/>
      <c r="U644" s="230"/>
      <c r="V644" s="230"/>
      <c r="W644" s="230"/>
      <c r="X644" s="230"/>
      <c r="Y644" s="230"/>
      <c r="Z644" s="230"/>
    </row>
    <row r="645" spans="1:26" ht="15.75" customHeight="1">
      <c r="A645" s="230"/>
      <c r="B645" s="230"/>
      <c r="C645" s="230"/>
      <c r="D645" s="230"/>
      <c r="E645" s="230"/>
      <c r="F645" s="230"/>
      <c r="G645" s="230"/>
      <c r="H645" s="230"/>
      <c r="I645" s="230"/>
      <c r="J645" s="230"/>
      <c r="K645" s="230"/>
      <c r="L645" s="230"/>
      <c r="M645" s="230"/>
      <c r="N645" s="230"/>
      <c r="O645" s="230"/>
      <c r="P645" s="230"/>
      <c r="Q645" s="230"/>
      <c r="R645" s="230"/>
      <c r="S645" s="230"/>
      <c r="T645" s="230"/>
      <c r="U645" s="230"/>
      <c r="V645" s="230"/>
      <c r="W645" s="230"/>
      <c r="X645" s="230"/>
      <c r="Y645" s="230"/>
      <c r="Z645" s="230"/>
    </row>
    <row r="646" spans="1:26" ht="15.75" customHeight="1">
      <c r="A646" s="230"/>
      <c r="B646" s="230"/>
      <c r="C646" s="230"/>
      <c r="D646" s="230"/>
      <c r="E646" s="230"/>
      <c r="F646" s="230"/>
      <c r="G646" s="230"/>
      <c r="H646" s="230"/>
      <c r="I646" s="230"/>
      <c r="J646" s="230"/>
      <c r="K646" s="230"/>
      <c r="L646" s="230"/>
      <c r="M646" s="230"/>
      <c r="N646" s="230"/>
      <c r="O646" s="230"/>
      <c r="P646" s="230"/>
      <c r="Q646" s="230"/>
      <c r="R646" s="230"/>
      <c r="S646" s="230"/>
      <c r="T646" s="230"/>
      <c r="U646" s="230"/>
      <c r="V646" s="230"/>
      <c r="W646" s="230"/>
      <c r="X646" s="230"/>
      <c r="Y646" s="230"/>
      <c r="Z646" s="230"/>
    </row>
    <row r="647" spans="1:26" ht="15.75" customHeight="1">
      <c r="A647" s="230"/>
      <c r="B647" s="230"/>
      <c r="C647" s="230"/>
      <c r="D647" s="230"/>
      <c r="E647" s="230"/>
      <c r="F647" s="230"/>
      <c r="G647" s="230"/>
      <c r="H647" s="230"/>
      <c r="I647" s="230"/>
      <c r="J647" s="230"/>
      <c r="K647" s="230"/>
      <c r="L647" s="230"/>
      <c r="M647" s="230"/>
      <c r="N647" s="230"/>
      <c r="O647" s="230"/>
      <c r="P647" s="230"/>
      <c r="Q647" s="230"/>
      <c r="R647" s="230"/>
      <c r="S647" s="230"/>
      <c r="T647" s="230"/>
      <c r="U647" s="230"/>
      <c r="V647" s="230"/>
      <c r="W647" s="230"/>
      <c r="X647" s="230"/>
      <c r="Y647" s="230"/>
      <c r="Z647" s="230"/>
    </row>
    <row r="648" spans="1:26" ht="15.75" customHeight="1">
      <c r="A648" s="230"/>
      <c r="B648" s="230"/>
      <c r="C648" s="230"/>
      <c r="D648" s="230"/>
      <c r="E648" s="230"/>
      <c r="F648" s="230"/>
      <c r="G648" s="230"/>
      <c r="H648" s="230"/>
      <c r="I648" s="230"/>
      <c r="J648" s="230"/>
      <c r="K648" s="230"/>
      <c r="L648" s="230"/>
      <c r="M648" s="230"/>
      <c r="N648" s="230"/>
      <c r="O648" s="230"/>
      <c r="P648" s="230"/>
      <c r="Q648" s="230"/>
      <c r="R648" s="230"/>
      <c r="S648" s="230"/>
      <c r="T648" s="230"/>
      <c r="U648" s="230"/>
      <c r="V648" s="230"/>
      <c r="W648" s="230"/>
      <c r="X648" s="230"/>
      <c r="Y648" s="230"/>
      <c r="Z648" s="230"/>
    </row>
    <row r="649" spans="1:26" ht="15.75" customHeight="1">
      <c r="A649" s="230"/>
      <c r="B649" s="230"/>
      <c r="C649" s="230"/>
      <c r="D649" s="230"/>
      <c r="E649" s="230"/>
      <c r="F649" s="230"/>
      <c r="G649" s="230"/>
      <c r="H649" s="230"/>
      <c r="I649" s="230"/>
      <c r="J649" s="230"/>
      <c r="K649" s="230"/>
      <c r="L649" s="230"/>
      <c r="M649" s="230"/>
      <c r="N649" s="230"/>
      <c r="O649" s="230"/>
      <c r="P649" s="230"/>
      <c r="Q649" s="230"/>
      <c r="R649" s="230"/>
      <c r="S649" s="230"/>
      <c r="T649" s="230"/>
      <c r="U649" s="230"/>
      <c r="V649" s="230"/>
      <c r="W649" s="230"/>
      <c r="X649" s="230"/>
      <c r="Y649" s="230"/>
      <c r="Z649" s="230"/>
    </row>
    <row r="650" spans="1:26" ht="15.75" customHeight="1">
      <c r="A650" s="230"/>
      <c r="B650" s="230"/>
      <c r="C650" s="230"/>
      <c r="D650" s="230"/>
      <c r="E650" s="230"/>
      <c r="F650" s="230"/>
      <c r="G650" s="230"/>
      <c r="H650" s="230"/>
      <c r="I650" s="230"/>
      <c r="J650" s="230"/>
      <c r="K650" s="230"/>
      <c r="L650" s="230"/>
      <c r="M650" s="230"/>
      <c r="N650" s="230"/>
      <c r="O650" s="230"/>
      <c r="P650" s="230"/>
      <c r="Q650" s="230"/>
      <c r="R650" s="230"/>
      <c r="S650" s="230"/>
      <c r="T650" s="230"/>
      <c r="U650" s="230"/>
      <c r="V650" s="230"/>
      <c r="W650" s="230"/>
      <c r="X650" s="230"/>
      <c r="Y650" s="230"/>
      <c r="Z650" s="230"/>
    </row>
    <row r="651" spans="1:26" ht="15.75" customHeight="1">
      <c r="A651" s="230"/>
      <c r="B651" s="230"/>
      <c r="C651" s="230"/>
      <c r="D651" s="230"/>
      <c r="E651" s="230"/>
      <c r="F651" s="230"/>
      <c r="G651" s="230"/>
      <c r="H651" s="230"/>
      <c r="I651" s="230"/>
      <c r="J651" s="230"/>
      <c r="K651" s="230"/>
      <c r="L651" s="230"/>
      <c r="M651" s="230"/>
      <c r="N651" s="230"/>
      <c r="O651" s="230"/>
      <c r="P651" s="230"/>
      <c r="Q651" s="230"/>
      <c r="R651" s="230"/>
      <c r="S651" s="230"/>
      <c r="T651" s="230"/>
      <c r="U651" s="230"/>
      <c r="V651" s="230"/>
      <c r="W651" s="230"/>
      <c r="X651" s="230"/>
      <c r="Y651" s="230"/>
      <c r="Z651" s="230"/>
    </row>
    <row r="652" spans="1:26" ht="15.75" customHeight="1">
      <c r="A652" s="230"/>
      <c r="B652" s="230"/>
      <c r="C652" s="230"/>
      <c r="D652" s="230"/>
      <c r="E652" s="230"/>
      <c r="F652" s="230"/>
      <c r="G652" s="230"/>
      <c r="H652" s="230"/>
      <c r="I652" s="230"/>
      <c r="J652" s="230"/>
      <c r="K652" s="230"/>
      <c r="L652" s="230"/>
      <c r="M652" s="230"/>
      <c r="N652" s="230"/>
      <c r="O652" s="230"/>
      <c r="P652" s="230"/>
      <c r="Q652" s="230"/>
      <c r="R652" s="230"/>
      <c r="S652" s="230"/>
      <c r="T652" s="230"/>
      <c r="U652" s="230"/>
      <c r="V652" s="230"/>
      <c r="W652" s="230"/>
      <c r="X652" s="230"/>
      <c r="Y652" s="230"/>
      <c r="Z652" s="230"/>
    </row>
    <row r="653" spans="1:26" ht="15.75" customHeight="1">
      <c r="A653" s="230"/>
      <c r="B653" s="230"/>
      <c r="C653" s="230"/>
      <c r="D653" s="230"/>
      <c r="E653" s="230"/>
      <c r="F653" s="230"/>
      <c r="G653" s="230"/>
      <c r="H653" s="230"/>
      <c r="I653" s="230"/>
      <c r="J653" s="230"/>
      <c r="K653" s="230"/>
      <c r="L653" s="230"/>
      <c r="M653" s="230"/>
      <c r="N653" s="230"/>
      <c r="O653" s="230"/>
      <c r="P653" s="230"/>
      <c r="Q653" s="230"/>
      <c r="R653" s="230"/>
      <c r="S653" s="230"/>
      <c r="T653" s="230"/>
      <c r="U653" s="230"/>
      <c r="V653" s="230"/>
      <c r="W653" s="230"/>
      <c r="X653" s="230"/>
      <c r="Y653" s="230"/>
      <c r="Z653" s="230"/>
    </row>
    <row r="654" spans="1:26" ht="15.75" customHeight="1">
      <c r="A654" s="230"/>
      <c r="B654" s="230"/>
      <c r="C654" s="230"/>
      <c r="D654" s="230"/>
      <c r="E654" s="230"/>
      <c r="F654" s="230"/>
      <c r="G654" s="230"/>
      <c r="H654" s="230"/>
      <c r="I654" s="230"/>
      <c r="J654" s="230"/>
      <c r="K654" s="230"/>
      <c r="L654" s="230"/>
      <c r="M654" s="230"/>
      <c r="N654" s="230"/>
      <c r="O654" s="230"/>
      <c r="P654" s="230"/>
      <c r="Q654" s="230"/>
      <c r="R654" s="230"/>
      <c r="S654" s="230"/>
      <c r="T654" s="230"/>
      <c r="U654" s="230"/>
      <c r="V654" s="230"/>
      <c r="W654" s="230"/>
      <c r="X654" s="230"/>
      <c r="Y654" s="230"/>
      <c r="Z654" s="230"/>
    </row>
    <row r="655" spans="1:26" ht="15.75" customHeight="1">
      <c r="A655" s="230"/>
      <c r="B655" s="230"/>
      <c r="C655" s="230"/>
      <c r="D655" s="230"/>
      <c r="E655" s="230"/>
      <c r="F655" s="230"/>
      <c r="G655" s="230"/>
      <c r="H655" s="230"/>
      <c r="I655" s="230"/>
      <c r="J655" s="230"/>
      <c r="K655" s="230"/>
      <c r="L655" s="230"/>
      <c r="M655" s="230"/>
      <c r="N655" s="230"/>
      <c r="O655" s="230"/>
      <c r="P655" s="230"/>
      <c r="Q655" s="230"/>
      <c r="R655" s="230"/>
      <c r="S655" s="230"/>
      <c r="T655" s="230"/>
      <c r="U655" s="230"/>
      <c r="V655" s="230"/>
      <c r="W655" s="230"/>
      <c r="X655" s="230"/>
      <c r="Y655" s="230"/>
      <c r="Z655" s="230"/>
    </row>
    <row r="656" spans="1:26" ht="15.75" customHeight="1">
      <c r="A656" s="230"/>
      <c r="B656" s="230"/>
      <c r="C656" s="230"/>
      <c r="D656" s="230"/>
      <c r="E656" s="230"/>
      <c r="F656" s="230"/>
      <c r="G656" s="230"/>
      <c r="H656" s="230"/>
      <c r="I656" s="230"/>
      <c r="J656" s="230"/>
      <c r="K656" s="230"/>
      <c r="L656" s="230"/>
      <c r="M656" s="230"/>
      <c r="N656" s="230"/>
      <c r="O656" s="230"/>
      <c r="P656" s="230"/>
      <c r="Q656" s="230"/>
      <c r="R656" s="230"/>
      <c r="S656" s="230"/>
      <c r="T656" s="230"/>
      <c r="U656" s="230"/>
      <c r="V656" s="230"/>
      <c r="W656" s="230"/>
      <c r="X656" s="230"/>
      <c r="Y656" s="230"/>
      <c r="Z656" s="230"/>
    </row>
    <row r="657" spans="1:26" ht="15.75" customHeight="1">
      <c r="A657" s="230"/>
      <c r="B657" s="230"/>
      <c r="C657" s="230"/>
      <c r="D657" s="230"/>
      <c r="E657" s="230"/>
      <c r="F657" s="230"/>
      <c r="G657" s="230"/>
      <c r="H657" s="230"/>
      <c r="I657" s="230"/>
      <c r="J657" s="230"/>
      <c r="K657" s="230"/>
      <c r="L657" s="230"/>
      <c r="M657" s="230"/>
      <c r="N657" s="230"/>
      <c r="O657" s="230"/>
      <c r="P657" s="230"/>
      <c r="Q657" s="230"/>
      <c r="R657" s="230"/>
      <c r="S657" s="230"/>
      <c r="T657" s="230"/>
      <c r="U657" s="230"/>
      <c r="V657" s="230"/>
      <c r="W657" s="230"/>
      <c r="X657" s="230"/>
      <c r="Y657" s="230"/>
      <c r="Z657" s="230"/>
    </row>
    <row r="658" spans="1:26" ht="15.75" customHeight="1">
      <c r="A658" s="230"/>
      <c r="B658" s="230"/>
      <c r="C658" s="230"/>
      <c r="D658" s="230"/>
      <c r="E658" s="230"/>
      <c r="F658" s="230"/>
      <c r="G658" s="230"/>
      <c r="H658" s="230"/>
      <c r="I658" s="230"/>
      <c r="J658" s="230"/>
      <c r="K658" s="230"/>
      <c r="L658" s="230"/>
      <c r="M658" s="230"/>
      <c r="N658" s="230"/>
      <c r="O658" s="230"/>
      <c r="P658" s="230"/>
      <c r="Q658" s="230"/>
      <c r="R658" s="230"/>
      <c r="S658" s="230"/>
      <c r="T658" s="230"/>
      <c r="U658" s="230"/>
      <c r="V658" s="230"/>
      <c r="W658" s="230"/>
      <c r="X658" s="230"/>
      <c r="Y658" s="230"/>
      <c r="Z658" s="230"/>
    </row>
    <row r="659" spans="1:26" ht="15.75" customHeight="1">
      <c r="A659" s="230"/>
      <c r="B659" s="230"/>
      <c r="C659" s="230"/>
      <c r="D659" s="230"/>
      <c r="E659" s="230"/>
      <c r="F659" s="230"/>
      <c r="G659" s="230"/>
      <c r="H659" s="230"/>
      <c r="I659" s="230"/>
      <c r="J659" s="230"/>
      <c r="K659" s="230"/>
      <c r="L659" s="230"/>
      <c r="M659" s="230"/>
      <c r="N659" s="230"/>
      <c r="O659" s="230"/>
      <c r="P659" s="230"/>
      <c r="Q659" s="230"/>
      <c r="R659" s="230"/>
      <c r="S659" s="230"/>
      <c r="T659" s="230"/>
      <c r="U659" s="230"/>
      <c r="V659" s="230"/>
      <c r="W659" s="230"/>
      <c r="X659" s="230"/>
      <c r="Y659" s="230"/>
      <c r="Z659" s="230"/>
    </row>
    <row r="660" spans="1:26" ht="15.75" customHeight="1">
      <c r="A660" s="230"/>
      <c r="B660" s="230"/>
      <c r="C660" s="230"/>
      <c r="D660" s="230"/>
      <c r="E660" s="230"/>
      <c r="F660" s="230"/>
      <c r="G660" s="230"/>
      <c r="H660" s="230"/>
      <c r="I660" s="230"/>
      <c r="J660" s="230"/>
      <c r="K660" s="230"/>
      <c r="L660" s="230"/>
      <c r="M660" s="230"/>
      <c r="N660" s="230"/>
      <c r="O660" s="230"/>
      <c r="P660" s="230"/>
      <c r="Q660" s="230"/>
      <c r="R660" s="230"/>
      <c r="S660" s="230"/>
      <c r="T660" s="230"/>
      <c r="U660" s="230"/>
      <c r="V660" s="230"/>
      <c r="W660" s="230"/>
      <c r="X660" s="230"/>
      <c r="Y660" s="230"/>
      <c r="Z660" s="230"/>
    </row>
    <row r="661" spans="1:26" ht="15.75" customHeight="1">
      <c r="A661" s="230"/>
      <c r="B661" s="230"/>
      <c r="C661" s="230"/>
      <c r="D661" s="230"/>
      <c r="E661" s="230"/>
      <c r="F661" s="230"/>
      <c r="G661" s="230"/>
      <c r="H661" s="230"/>
      <c r="I661" s="230"/>
      <c r="J661" s="230"/>
      <c r="K661" s="230"/>
      <c r="L661" s="230"/>
      <c r="M661" s="230"/>
      <c r="N661" s="230"/>
      <c r="O661" s="230"/>
      <c r="P661" s="230"/>
      <c r="Q661" s="230"/>
      <c r="R661" s="230"/>
      <c r="S661" s="230"/>
      <c r="T661" s="230"/>
      <c r="U661" s="230"/>
      <c r="V661" s="230"/>
      <c r="W661" s="230"/>
      <c r="X661" s="230"/>
      <c r="Y661" s="230"/>
      <c r="Z661" s="230"/>
    </row>
    <row r="662" spans="1:26" ht="15.75" customHeight="1">
      <c r="A662" s="230"/>
      <c r="B662" s="230"/>
      <c r="C662" s="230"/>
      <c r="D662" s="230"/>
      <c r="E662" s="230"/>
      <c r="F662" s="230"/>
      <c r="G662" s="230"/>
      <c r="H662" s="230"/>
      <c r="I662" s="230"/>
      <c r="J662" s="230"/>
      <c r="K662" s="230"/>
      <c r="L662" s="230"/>
      <c r="M662" s="230"/>
      <c r="N662" s="230"/>
      <c r="O662" s="230"/>
      <c r="P662" s="230"/>
      <c r="Q662" s="230"/>
      <c r="R662" s="230"/>
      <c r="S662" s="230"/>
      <c r="T662" s="230"/>
      <c r="U662" s="230"/>
      <c r="V662" s="230"/>
      <c r="W662" s="230"/>
      <c r="X662" s="230"/>
      <c r="Y662" s="230"/>
      <c r="Z662" s="230"/>
    </row>
    <row r="663" spans="1:26" ht="15.75" customHeight="1">
      <c r="A663" s="230"/>
      <c r="B663" s="230"/>
      <c r="C663" s="230"/>
      <c r="D663" s="230"/>
      <c r="E663" s="230"/>
      <c r="F663" s="230"/>
      <c r="G663" s="230"/>
      <c r="H663" s="230"/>
      <c r="I663" s="230"/>
      <c r="J663" s="230"/>
      <c r="K663" s="230"/>
      <c r="L663" s="230"/>
      <c r="M663" s="230"/>
      <c r="N663" s="230"/>
      <c r="O663" s="230"/>
      <c r="P663" s="230"/>
      <c r="Q663" s="230"/>
      <c r="R663" s="230"/>
      <c r="S663" s="230"/>
      <c r="T663" s="230"/>
      <c r="U663" s="230"/>
      <c r="V663" s="230"/>
      <c r="W663" s="230"/>
      <c r="X663" s="230"/>
      <c r="Y663" s="230"/>
      <c r="Z663" s="230"/>
    </row>
    <row r="664" spans="1:26" ht="15.75" customHeight="1">
      <c r="A664" s="230"/>
      <c r="B664" s="230"/>
      <c r="C664" s="230"/>
      <c r="D664" s="230"/>
      <c r="E664" s="230"/>
      <c r="F664" s="230"/>
      <c r="G664" s="230"/>
      <c r="H664" s="230"/>
      <c r="I664" s="230"/>
      <c r="J664" s="230"/>
      <c r="K664" s="230"/>
      <c r="L664" s="230"/>
      <c r="M664" s="230"/>
      <c r="N664" s="230"/>
      <c r="O664" s="230"/>
      <c r="P664" s="230"/>
      <c r="Q664" s="230"/>
      <c r="R664" s="230"/>
      <c r="S664" s="230"/>
      <c r="T664" s="230"/>
      <c r="U664" s="230"/>
      <c r="V664" s="230"/>
      <c r="W664" s="230"/>
      <c r="X664" s="230"/>
      <c r="Y664" s="230"/>
      <c r="Z664" s="230"/>
    </row>
    <row r="665" spans="1:26" ht="15.75" customHeight="1">
      <c r="A665" s="230"/>
      <c r="B665" s="230"/>
      <c r="C665" s="230"/>
      <c r="D665" s="230"/>
      <c r="E665" s="230"/>
      <c r="F665" s="230"/>
      <c r="G665" s="230"/>
      <c r="H665" s="230"/>
      <c r="I665" s="230"/>
      <c r="J665" s="230"/>
      <c r="K665" s="230"/>
      <c r="L665" s="230"/>
      <c r="M665" s="230"/>
      <c r="N665" s="230"/>
      <c r="O665" s="230"/>
      <c r="P665" s="230"/>
      <c r="Q665" s="230"/>
      <c r="R665" s="230"/>
      <c r="S665" s="230"/>
      <c r="T665" s="230"/>
      <c r="U665" s="230"/>
      <c r="V665" s="230"/>
      <c r="W665" s="230"/>
      <c r="X665" s="230"/>
      <c r="Y665" s="230"/>
      <c r="Z665" s="230"/>
    </row>
    <row r="666" spans="1:26" ht="15.75" customHeight="1">
      <c r="A666" s="230"/>
      <c r="B666" s="230"/>
      <c r="C666" s="230"/>
      <c r="D666" s="230"/>
      <c r="E666" s="230"/>
      <c r="F666" s="230"/>
      <c r="G666" s="230"/>
      <c r="H666" s="230"/>
      <c r="I666" s="230"/>
      <c r="J666" s="230"/>
      <c r="K666" s="230"/>
      <c r="L666" s="230"/>
      <c r="M666" s="230"/>
      <c r="N666" s="230"/>
      <c r="O666" s="230"/>
      <c r="P666" s="230"/>
      <c r="Q666" s="230"/>
      <c r="R666" s="230"/>
      <c r="S666" s="230"/>
      <c r="T666" s="230"/>
      <c r="U666" s="230"/>
      <c r="V666" s="230"/>
      <c r="W666" s="230"/>
      <c r="X666" s="230"/>
      <c r="Y666" s="230"/>
      <c r="Z666" s="230"/>
    </row>
    <row r="667" spans="1:26" ht="15.75" customHeight="1">
      <c r="A667" s="230"/>
      <c r="B667" s="230"/>
      <c r="C667" s="230"/>
      <c r="D667" s="230"/>
      <c r="E667" s="230"/>
      <c r="F667" s="230"/>
      <c r="G667" s="230"/>
      <c r="H667" s="230"/>
      <c r="I667" s="230"/>
      <c r="J667" s="230"/>
      <c r="K667" s="230"/>
      <c r="L667" s="230"/>
      <c r="M667" s="230"/>
      <c r="N667" s="230"/>
      <c r="O667" s="230"/>
      <c r="P667" s="230"/>
      <c r="Q667" s="230"/>
      <c r="R667" s="230"/>
      <c r="S667" s="230"/>
      <c r="T667" s="230"/>
      <c r="U667" s="230"/>
      <c r="V667" s="230"/>
      <c r="W667" s="230"/>
      <c r="X667" s="230"/>
      <c r="Y667" s="230"/>
      <c r="Z667" s="230"/>
    </row>
    <row r="668" spans="1:26" ht="15.75" customHeight="1">
      <c r="A668" s="230"/>
      <c r="B668" s="230"/>
      <c r="C668" s="230"/>
      <c r="D668" s="230"/>
      <c r="E668" s="230"/>
      <c r="F668" s="230"/>
      <c r="G668" s="230"/>
      <c r="H668" s="230"/>
      <c r="I668" s="230"/>
      <c r="J668" s="230"/>
      <c r="K668" s="230"/>
      <c r="L668" s="230"/>
      <c r="M668" s="230"/>
      <c r="N668" s="230"/>
      <c r="O668" s="230"/>
      <c r="P668" s="230"/>
      <c r="Q668" s="230"/>
      <c r="R668" s="230"/>
      <c r="S668" s="230"/>
      <c r="T668" s="230"/>
      <c r="U668" s="230"/>
      <c r="V668" s="230"/>
      <c r="W668" s="230"/>
      <c r="X668" s="230"/>
      <c r="Y668" s="230"/>
      <c r="Z668" s="230"/>
    </row>
    <row r="669" spans="1:26" ht="15.75" customHeight="1">
      <c r="A669" s="230"/>
      <c r="B669" s="230"/>
      <c r="C669" s="230"/>
      <c r="D669" s="230"/>
      <c r="E669" s="230"/>
      <c r="F669" s="230"/>
      <c r="G669" s="230"/>
      <c r="H669" s="230"/>
      <c r="I669" s="230"/>
      <c r="J669" s="230"/>
      <c r="K669" s="230"/>
      <c r="L669" s="230"/>
      <c r="M669" s="230"/>
      <c r="N669" s="230"/>
      <c r="O669" s="230"/>
      <c r="P669" s="230"/>
      <c r="Q669" s="230"/>
      <c r="R669" s="230"/>
      <c r="S669" s="230"/>
      <c r="T669" s="230"/>
      <c r="U669" s="230"/>
      <c r="V669" s="230"/>
      <c r="W669" s="230"/>
      <c r="X669" s="230"/>
      <c r="Y669" s="230"/>
      <c r="Z669" s="230"/>
    </row>
    <row r="670" spans="1:26" ht="15.75" customHeight="1">
      <c r="A670" s="230"/>
      <c r="B670" s="230"/>
      <c r="C670" s="230"/>
      <c r="D670" s="230"/>
      <c r="E670" s="230"/>
      <c r="F670" s="230"/>
      <c r="G670" s="230"/>
      <c r="H670" s="230"/>
      <c r="I670" s="230"/>
      <c r="J670" s="230"/>
      <c r="K670" s="230"/>
      <c r="L670" s="230"/>
      <c r="M670" s="230"/>
      <c r="N670" s="230"/>
      <c r="O670" s="230"/>
      <c r="P670" s="230"/>
      <c r="Q670" s="230"/>
      <c r="R670" s="230"/>
      <c r="S670" s="230"/>
      <c r="T670" s="230"/>
      <c r="U670" s="230"/>
      <c r="V670" s="230"/>
      <c r="W670" s="230"/>
      <c r="X670" s="230"/>
      <c r="Y670" s="230"/>
      <c r="Z670" s="230"/>
    </row>
    <row r="671" spans="1:26" ht="15.75" customHeight="1">
      <c r="A671" s="230"/>
      <c r="B671" s="230"/>
      <c r="C671" s="230"/>
      <c r="D671" s="230"/>
      <c r="E671" s="230"/>
      <c r="F671" s="230"/>
      <c r="G671" s="230"/>
      <c r="H671" s="230"/>
      <c r="I671" s="230"/>
      <c r="J671" s="230"/>
      <c r="K671" s="230"/>
      <c r="L671" s="230"/>
      <c r="M671" s="230"/>
      <c r="N671" s="230"/>
      <c r="O671" s="230"/>
      <c r="P671" s="230"/>
      <c r="Q671" s="230"/>
      <c r="R671" s="230"/>
      <c r="S671" s="230"/>
      <c r="T671" s="230"/>
      <c r="U671" s="230"/>
      <c r="V671" s="230"/>
      <c r="W671" s="230"/>
      <c r="X671" s="230"/>
      <c r="Y671" s="230"/>
      <c r="Z671" s="230"/>
    </row>
    <row r="672" spans="1:26" ht="15.75" customHeight="1">
      <c r="A672" s="230"/>
      <c r="B672" s="230"/>
      <c r="C672" s="230"/>
      <c r="D672" s="230"/>
      <c r="E672" s="230"/>
      <c r="F672" s="230"/>
      <c r="G672" s="230"/>
      <c r="H672" s="230"/>
      <c r="I672" s="230"/>
      <c r="J672" s="230"/>
      <c r="K672" s="230"/>
      <c r="L672" s="230"/>
      <c r="M672" s="230"/>
      <c r="N672" s="230"/>
      <c r="O672" s="230"/>
      <c r="P672" s="230"/>
      <c r="Q672" s="230"/>
      <c r="R672" s="230"/>
      <c r="S672" s="230"/>
      <c r="T672" s="230"/>
      <c r="U672" s="230"/>
      <c r="V672" s="230"/>
      <c r="W672" s="230"/>
      <c r="X672" s="230"/>
      <c r="Y672" s="230"/>
      <c r="Z672" s="230"/>
    </row>
    <row r="673" spans="1:26" ht="15.75" customHeight="1">
      <c r="A673" s="230"/>
      <c r="B673" s="230"/>
      <c r="C673" s="230"/>
      <c r="D673" s="230"/>
      <c r="E673" s="230"/>
      <c r="F673" s="230"/>
      <c r="G673" s="230"/>
      <c r="H673" s="230"/>
      <c r="I673" s="230"/>
      <c r="J673" s="230"/>
      <c r="K673" s="230"/>
      <c r="L673" s="230"/>
      <c r="M673" s="230"/>
      <c r="N673" s="230"/>
      <c r="O673" s="230"/>
      <c r="P673" s="230"/>
      <c r="Q673" s="230"/>
      <c r="R673" s="230"/>
      <c r="S673" s="230"/>
      <c r="T673" s="230"/>
      <c r="U673" s="230"/>
      <c r="V673" s="230"/>
      <c r="W673" s="230"/>
      <c r="X673" s="230"/>
      <c r="Y673" s="230"/>
      <c r="Z673" s="230"/>
    </row>
    <row r="674" spans="1:26" ht="15.75" customHeight="1">
      <c r="A674" s="230"/>
      <c r="B674" s="230"/>
      <c r="C674" s="230"/>
      <c r="D674" s="230"/>
      <c r="E674" s="230"/>
      <c r="F674" s="230"/>
      <c r="G674" s="230"/>
      <c r="H674" s="230"/>
      <c r="I674" s="230"/>
      <c r="J674" s="230"/>
      <c r="K674" s="230"/>
      <c r="L674" s="230"/>
      <c r="M674" s="230"/>
      <c r="N674" s="230"/>
      <c r="O674" s="230"/>
      <c r="P674" s="230"/>
      <c r="Q674" s="230"/>
      <c r="R674" s="230"/>
      <c r="S674" s="230"/>
      <c r="T674" s="230"/>
      <c r="U674" s="230"/>
      <c r="V674" s="230"/>
      <c r="W674" s="230"/>
      <c r="X674" s="230"/>
      <c r="Y674" s="230"/>
      <c r="Z674" s="230"/>
    </row>
    <row r="675" spans="1:26" ht="15.75" customHeight="1">
      <c r="A675" s="230"/>
      <c r="B675" s="230"/>
      <c r="C675" s="230"/>
      <c r="D675" s="230"/>
      <c r="E675" s="230"/>
      <c r="F675" s="230"/>
      <c r="G675" s="230"/>
      <c r="H675" s="230"/>
      <c r="I675" s="230"/>
      <c r="J675" s="230"/>
      <c r="K675" s="230"/>
      <c r="L675" s="230"/>
      <c r="M675" s="230"/>
      <c r="N675" s="230"/>
      <c r="O675" s="230"/>
      <c r="P675" s="230"/>
      <c r="Q675" s="230"/>
      <c r="R675" s="230"/>
      <c r="S675" s="230"/>
      <c r="T675" s="230"/>
      <c r="U675" s="230"/>
      <c r="V675" s="230"/>
      <c r="W675" s="230"/>
      <c r="X675" s="230"/>
      <c r="Y675" s="230"/>
      <c r="Z675" s="230"/>
    </row>
    <row r="676" spans="1:26" ht="15.75" customHeight="1">
      <c r="A676" s="230"/>
      <c r="B676" s="230"/>
      <c r="C676" s="230"/>
      <c r="D676" s="230"/>
      <c r="E676" s="230"/>
      <c r="F676" s="230"/>
      <c r="G676" s="230"/>
      <c r="H676" s="230"/>
      <c r="I676" s="230"/>
      <c r="J676" s="230"/>
      <c r="K676" s="230"/>
      <c r="L676" s="230"/>
      <c r="M676" s="230"/>
      <c r="N676" s="230"/>
      <c r="O676" s="230"/>
      <c r="P676" s="230"/>
      <c r="Q676" s="230"/>
      <c r="R676" s="230"/>
      <c r="S676" s="230"/>
      <c r="T676" s="230"/>
      <c r="U676" s="230"/>
      <c r="V676" s="230"/>
      <c r="W676" s="230"/>
      <c r="X676" s="230"/>
      <c r="Y676" s="230"/>
      <c r="Z676" s="230"/>
    </row>
    <row r="677" spans="1:26" ht="15.75" customHeight="1">
      <c r="A677" s="230"/>
      <c r="B677" s="230"/>
      <c r="C677" s="230"/>
      <c r="D677" s="230"/>
      <c r="E677" s="230"/>
      <c r="F677" s="230"/>
      <c r="G677" s="230"/>
      <c r="H677" s="230"/>
      <c r="I677" s="230"/>
      <c r="J677" s="230"/>
      <c r="K677" s="230"/>
      <c r="L677" s="230"/>
      <c r="M677" s="230"/>
      <c r="N677" s="230"/>
      <c r="O677" s="230"/>
      <c r="P677" s="230"/>
      <c r="Q677" s="230"/>
      <c r="R677" s="230"/>
      <c r="S677" s="230"/>
      <c r="T677" s="230"/>
      <c r="U677" s="230"/>
      <c r="V677" s="230"/>
      <c r="W677" s="230"/>
      <c r="X677" s="230"/>
      <c r="Y677" s="230"/>
      <c r="Z677" s="230"/>
    </row>
    <row r="678" spans="1:26" ht="15.75" customHeight="1">
      <c r="A678" s="230"/>
      <c r="B678" s="230"/>
      <c r="C678" s="230"/>
      <c r="D678" s="230"/>
      <c r="E678" s="230"/>
      <c r="F678" s="230"/>
      <c r="G678" s="230"/>
      <c r="H678" s="230"/>
      <c r="I678" s="230"/>
      <c r="J678" s="230"/>
      <c r="K678" s="230"/>
      <c r="L678" s="230"/>
      <c r="M678" s="230"/>
      <c r="N678" s="230"/>
      <c r="O678" s="230"/>
      <c r="P678" s="230"/>
      <c r="Q678" s="230"/>
      <c r="R678" s="230"/>
      <c r="S678" s="230"/>
      <c r="T678" s="230"/>
      <c r="U678" s="230"/>
      <c r="V678" s="230"/>
      <c r="W678" s="230"/>
      <c r="X678" s="230"/>
      <c r="Y678" s="230"/>
      <c r="Z678" s="230"/>
    </row>
    <row r="679" spans="1:26" ht="15.75" customHeight="1">
      <c r="A679" s="230"/>
      <c r="B679" s="230"/>
      <c r="C679" s="230"/>
      <c r="D679" s="230"/>
      <c r="E679" s="230"/>
      <c r="F679" s="230"/>
      <c r="G679" s="230"/>
      <c r="H679" s="230"/>
      <c r="I679" s="230"/>
      <c r="J679" s="230"/>
      <c r="K679" s="230"/>
      <c r="L679" s="230"/>
      <c r="M679" s="230"/>
      <c r="N679" s="230"/>
      <c r="O679" s="230"/>
      <c r="P679" s="230"/>
      <c r="Q679" s="230"/>
      <c r="R679" s="230"/>
      <c r="S679" s="230"/>
      <c r="T679" s="230"/>
      <c r="U679" s="230"/>
      <c r="V679" s="230"/>
      <c r="W679" s="230"/>
      <c r="X679" s="230"/>
      <c r="Y679" s="230"/>
      <c r="Z679" s="230"/>
    </row>
    <row r="680" spans="1:26" ht="15.75" customHeight="1">
      <c r="A680" s="230"/>
      <c r="B680" s="230"/>
      <c r="C680" s="230"/>
      <c r="D680" s="230"/>
      <c r="E680" s="230"/>
      <c r="F680" s="230"/>
      <c r="G680" s="230"/>
      <c r="H680" s="230"/>
      <c r="I680" s="230"/>
      <c r="J680" s="230"/>
      <c r="K680" s="230"/>
      <c r="L680" s="230"/>
      <c r="M680" s="230"/>
      <c r="N680" s="230"/>
      <c r="O680" s="230"/>
      <c r="P680" s="230"/>
      <c r="Q680" s="230"/>
      <c r="R680" s="230"/>
      <c r="S680" s="230"/>
      <c r="T680" s="230"/>
      <c r="U680" s="230"/>
      <c r="V680" s="230"/>
      <c r="W680" s="230"/>
      <c r="X680" s="230"/>
      <c r="Y680" s="230"/>
      <c r="Z680" s="230"/>
    </row>
    <row r="681" spans="1:26" ht="15.75" customHeight="1">
      <c r="A681" s="230"/>
      <c r="B681" s="230"/>
      <c r="C681" s="230"/>
      <c r="D681" s="230"/>
      <c r="E681" s="230"/>
      <c r="F681" s="230"/>
      <c r="G681" s="230"/>
      <c r="H681" s="230"/>
      <c r="I681" s="230"/>
      <c r="J681" s="230"/>
      <c r="K681" s="230"/>
      <c r="L681" s="230"/>
      <c r="M681" s="230"/>
      <c r="N681" s="230"/>
      <c r="O681" s="230"/>
      <c r="P681" s="230"/>
      <c r="Q681" s="230"/>
      <c r="R681" s="230"/>
      <c r="S681" s="230"/>
      <c r="T681" s="230"/>
      <c r="U681" s="230"/>
      <c r="V681" s="230"/>
      <c r="W681" s="230"/>
      <c r="X681" s="230"/>
      <c r="Y681" s="230"/>
      <c r="Z681" s="230"/>
    </row>
    <row r="682" spans="1:26" ht="15.75" customHeight="1">
      <c r="A682" s="230"/>
      <c r="B682" s="230"/>
      <c r="C682" s="230"/>
      <c r="D682" s="230"/>
      <c r="E682" s="230"/>
      <c r="F682" s="230"/>
      <c r="G682" s="230"/>
      <c r="H682" s="230"/>
      <c r="I682" s="230"/>
      <c r="J682" s="230"/>
      <c r="K682" s="230"/>
      <c r="L682" s="230"/>
      <c r="M682" s="230"/>
      <c r="N682" s="230"/>
      <c r="O682" s="230"/>
      <c r="P682" s="230"/>
      <c r="Q682" s="230"/>
      <c r="R682" s="230"/>
      <c r="S682" s="230"/>
      <c r="T682" s="230"/>
      <c r="U682" s="230"/>
      <c r="V682" s="230"/>
      <c r="W682" s="230"/>
      <c r="X682" s="230"/>
      <c r="Y682" s="230"/>
      <c r="Z682" s="230"/>
    </row>
    <row r="683" spans="1:26" ht="15.75" customHeight="1">
      <c r="A683" s="230"/>
      <c r="B683" s="230"/>
      <c r="C683" s="230"/>
      <c r="D683" s="230"/>
      <c r="E683" s="230"/>
      <c r="F683" s="230"/>
      <c r="G683" s="230"/>
      <c r="H683" s="230"/>
      <c r="I683" s="230"/>
      <c r="J683" s="230"/>
      <c r="K683" s="230"/>
      <c r="L683" s="230"/>
      <c r="M683" s="230"/>
      <c r="N683" s="230"/>
      <c r="O683" s="230"/>
      <c r="P683" s="230"/>
      <c r="Q683" s="230"/>
      <c r="R683" s="230"/>
      <c r="S683" s="230"/>
      <c r="T683" s="230"/>
      <c r="U683" s="230"/>
      <c r="V683" s="230"/>
      <c r="W683" s="230"/>
      <c r="X683" s="230"/>
      <c r="Y683" s="230"/>
      <c r="Z683" s="230"/>
    </row>
    <row r="684" spans="1:26" ht="15.75" customHeight="1">
      <c r="A684" s="230"/>
      <c r="B684" s="230"/>
      <c r="C684" s="230"/>
      <c r="D684" s="230"/>
      <c r="E684" s="230"/>
      <c r="F684" s="230"/>
      <c r="G684" s="230"/>
      <c r="H684" s="230"/>
      <c r="I684" s="230"/>
      <c r="J684" s="230"/>
      <c r="K684" s="230"/>
      <c r="L684" s="230"/>
      <c r="M684" s="230"/>
      <c r="N684" s="230"/>
      <c r="O684" s="230"/>
      <c r="P684" s="230"/>
      <c r="Q684" s="230"/>
      <c r="R684" s="230"/>
      <c r="S684" s="230"/>
      <c r="T684" s="230"/>
      <c r="U684" s="230"/>
      <c r="V684" s="230"/>
      <c r="W684" s="230"/>
      <c r="X684" s="230"/>
      <c r="Y684" s="230"/>
      <c r="Z684" s="230"/>
    </row>
    <row r="685" spans="1:26" ht="15.75" customHeight="1">
      <c r="A685" s="230"/>
      <c r="B685" s="230"/>
      <c r="C685" s="230"/>
      <c r="D685" s="230"/>
      <c r="E685" s="230"/>
      <c r="F685" s="230"/>
      <c r="G685" s="230"/>
      <c r="H685" s="230"/>
      <c r="I685" s="230"/>
      <c r="J685" s="230"/>
      <c r="K685" s="230"/>
      <c r="L685" s="230"/>
      <c r="M685" s="230"/>
      <c r="N685" s="230"/>
      <c r="O685" s="230"/>
      <c r="P685" s="230"/>
      <c r="Q685" s="230"/>
      <c r="R685" s="230"/>
      <c r="S685" s="230"/>
      <c r="T685" s="230"/>
      <c r="U685" s="230"/>
      <c r="V685" s="230"/>
      <c r="W685" s="230"/>
      <c r="X685" s="230"/>
      <c r="Y685" s="230"/>
      <c r="Z685" s="230"/>
    </row>
    <row r="686" spans="1:26" ht="15.75" customHeight="1">
      <c r="A686" s="230"/>
      <c r="B686" s="230"/>
      <c r="C686" s="230"/>
      <c r="D686" s="230"/>
      <c r="E686" s="230"/>
      <c r="F686" s="230"/>
      <c r="G686" s="230"/>
      <c r="H686" s="230"/>
      <c r="I686" s="230"/>
      <c r="J686" s="230"/>
      <c r="K686" s="230"/>
      <c r="L686" s="230"/>
      <c r="M686" s="230"/>
      <c r="N686" s="230"/>
      <c r="O686" s="230"/>
      <c r="P686" s="230"/>
      <c r="Q686" s="230"/>
      <c r="R686" s="230"/>
      <c r="S686" s="230"/>
      <c r="T686" s="230"/>
      <c r="U686" s="230"/>
      <c r="V686" s="230"/>
      <c r="W686" s="230"/>
      <c r="X686" s="230"/>
      <c r="Y686" s="230"/>
      <c r="Z686" s="230"/>
    </row>
    <row r="687" spans="1:26" ht="15.75" customHeight="1">
      <c r="A687" s="230"/>
      <c r="B687" s="230"/>
      <c r="C687" s="230"/>
      <c r="D687" s="230"/>
      <c r="E687" s="230"/>
      <c r="F687" s="230"/>
      <c r="G687" s="230"/>
      <c r="H687" s="230"/>
      <c r="I687" s="230"/>
      <c r="J687" s="230"/>
      <c r="K687" s="230"/>
      <c r="L687" s="230"/>
      <c r="M687" s="230"/>
      <c r="N687" s="230"/>
      <c r="O687" s="230"/>
      <c r="P687" s="230"/>
      <c r="Q687" s="230"/>
      <c r="R687" s="230"/>
      <c r="S687" s="230"/>
      <c r="T687" s="230"/>
      <c r="U687" s="230"/>
      <c r="V687" s="230"/>
      <c r="W687" s="230"/>
      <c r="X687" s="230"/>
      <c r="Y687" s="230"/>
      <c r="Z687" s="230"/>
    </row>
    <row r="688" spans="1:26" ht="15.75" customHeight="1">
      <c r="A688" s="230"/>
      <c r="B688" s="230"/>
      <c r="C688" s="230"/>
      <c r="D688" s="230"/>
      <c r="E688" s="230"/>
      <c r="F688" s="230"/>
      <c r="G688" s="230"/>
      <c r="H688" s="230"/>
      <c r="I688" s="230"/>
      <c r="J688" s="230"/>
      <c r="K688" s="230"/>
      <c r="L688" s="230"/>
      <c r="M688" s="230"/>
      <c r="N688" s="230"/>
      <c r="O688" s="230"/>
      <c r="P688" s="230"/>
      <c r="Q688" s="230"/>
      <c r="R688" s="230"/>
      <c r="S688" s="230"/>
      <c r="T688" s="230"/>
      <c r="U688" s="230"/>
      <c r="V688" s="230"/>
      <c r="W688" s="230"/>
      <c r="X688" s="230"/>
      <c r="Y688" s="230"/>
      <c r="Z688" s="230"/>
    </row>
    <row r="689" spans="1:26" ht="15.75" customHeight="1">
      <c r="A689" s="230"/>
      <c r="B689" s="230"/>
      <c r="C689" s="230"/>
      <c r="D689" s="230"/>
      <c r="E689" s="230"/>
      <c r="F689" s="230"/>
      <c r="G689" s="230"/>
      <c r="H689" s="230"/>
      <c r="I689" s="230"/>
      <c r="J689" s="230"/>
      <c r="K689" s="230"/>
      <c r="L689" s="230"/>
      <c r="M689" s="230"/>
      <c r="N689" s="230"/>
      <c r="O689" s="230"/>
      <c r="P689" s="230"/>
      <c r="Q689" s="230"/>
      <c r="R689" s="230"/>
      <c r="S689" s="230"/>
      <c r="T689" s="230"/>
      <c r="U689" s="230"/>
      <c r="V689" s="230"/>
      <c r="W689" s="230"/>
      <c r="X689" s="230"/>
      <c r="Y689" s="230"/>
      <c r="Z689" s="230"/>
    </row>
    <row r="690" spans="1:26" ht="15.75" customHeight="1">
      <c r="A690" s="230"/>
      <c r="B690" s="230"/>
      <c r="C690" s="230"/>
      <c r="D690" s="230"/>
      <c r="E690" s="230"/>
      <c r="F690" s="230"/>
      <c r="G690" s="230"/>
      <c r="H690" s="230"/>
      <c r="I690" s="230"/>
      <c r="J690" s="230"/>
      <c r="K690" s="230"/>
      <c r="L690" s="230"/>
      <c r="M690" s="230"/>
      <c r="N690" s="230"/>
      <c r="O690" s="230"/>
      <c r="P690" s="230"/>
      <c r="Q690" s="230"/>
      <c r="R690" s="230"/>
      <c r="S690" s="230"/>
      <c r="T690" s="230"/>
      <c r="U690" s="230"/>
      <c r="V690" s="230"/>
      <c r="W690" s="230"/>
      <c r="X690" s="230"/>
      <c r="Y690" s="230"/>
      <c r="Z690" s="230"/>
    </row>
    <row r="691" spans="1:26" ht="15.75" customHeight="1">
      <c r="A691" s="230"/>
      <c r="B691" s="230"/>
      <c r="C691" s="230"/>
      <c r="D691" s="230"/>
      <c r="E691" s="230"/>
      <c r="F691" s="230"/>
      <c r="G691" s="230"/>
      <c r="H691" s="230"/>
      <c r="I691" s="230"/>
      <c r="J691" s="230"/>
      <c r="K691" s="230"/>
      <c r="L691" s="230"/>
      <c r="M691" s="230"/>
      <c r="N691" s="230"/>
      <c r="O691" s="230"/>
      <c r="P691" s="230"/>
      <c r="Q691" s="230"/>
      <c r="R691" s="230"/>
      <c r="S691" s="230"/>
      <c r="T691" s="230"/>
      <c r="U691" s="230"/>
      <c r="V691" s="230"/>
      <c r="W691" s="230"/>
      <c r="X691" s="230"/>
      <c r="Y691" s="230"/>
      <c r="Z691" s="230"/>
    </row>
    <row r="692" spans="1:26" ht="15.75" customHeight="1">
      <c r="A692" s="230"/>
      <c r="B692" s="230"/>
      <c r="C692" s="230"/>
      <c r="D692" s="230"/>
      <c r="E692" s="230"/>
      <c r="F692" s="230"/>
      <c r="G692" s="230"/>
      <c r="H692" s="230"/>
      <c r="I692" s="230"/>
      <c r="J692" s="230"/>
      <c r="K692" s="230"/>
      <c r="L692" s="230"/>
      <c r="M692" s="230"/>
      <c r="N692" s="230"/>
      <c r="O692" s="230"/>
      <c r="P692" s="230"/>
      <c r="Q692" s="230"/>
      <c r="R692" s="230"/>
      <c r="S692" s="230"/>
      <c r="T692" s="230"/>
      <c r="U692" s="230"/>
      <c r="V692" s="230"/>
      <c r="W692" s="230"/>
      <c r="X692" s="230"/>
      <c r="Y692" s="230"/>
      <c r="Z692" s="230"/>
    </row>
    <row r="693" spans="1:26" ht="15.75" customHeight="1">
      <c r="A693" s="230"/>
      <c r="B693" s="230"/>
      <c r="C693" s="230"/>
      <c r="D693" s="230"/>
      <c r="E693" s="230"/>
      <c r="F693" s="230"/>
      <c r="G693" s="230"/>
      <c r="H693" s="230"/>
      <c r="I693" s="230"/>
      <c r="J693" s="230"/>
      <c r="K693" s="230"/>
      <c r="L693" s="230"/>
      <c r="M693" s="230"/>
      <c r="N693" s="230"/>
      <c r="O693" s="230"/>
      <c r="P693" s="230"/>
      <c r="Q693" s="230"/>
      <c r="R693" s="230"/>
      <c r="S693" s="230"/>
      <c r="T693" s="230"/>
      <c r="U693" s="230"/>
      <c r="V693" s="230"/>
      <c r="W693" s="230"/>
      <c r="X693" s="230"/>
      <c r="Y693" s="230"/>
      <c r="Z693" s="230"/>
    </row>
    <row r="694" spans="1:26" ht="15.75" customHeight="1">
      <c r="A694" s="230"/>
      <c r="B694" s="230"/>
      <c r="C694" s="230"/>
      <c r="D694" s="230"/>
      <c r="E694" s="230"/>
      <c r="F694" s="230"/>
      <c r="G694" s="230"/>
      <c r="H694" s="230"/>
      <c r="I694" s="230"/>
      <c r="J694" s="230"/>
      <c r="K694" s="230"/>
      <c r="L694" s="230"/>
      <c r="M694" s="230"/>
      <c r="N694" s="230"/>
      <c r="O694" s="230"/>
      <c r="P694" s="230"/>
      <c r="Q694" s="230"/>
      <c r="R694" s="230"/>
      <c r="S694" s="230"/>
      <c r="T694" s="230"/>
      <c r="U694" s="230"/>
      <c r="V694" s="230"/>
      <c r="W694" s="230"/>
      <c r="X694" s="230"/>
      <c r="Y694" s="230"/>
      <c r="Z694" s="230"/>
    </row>
    <row r="695" spans="1:26" ht="15.75" customHeight="1">
      <c r="A695" s="230"/>
      <c r="B695" s="230"/>
      <c r="C695" s="230"/>
      <c r="D695" s="230"/>
      <c r="E695" s="230"/>
      <c r="F695" s="230"/>
      <c r="G695" s="230"/>
      <c r="H695" s="230"/>
      <c r="I695" s="230"/>
      <c r="J695" s="230"/>
      <c r="K695" s="230"/>
      <c r="L695" s="230"/>
      <c r="M695" s="230"/>
      <c r="N695" s="230"/>
      <c r="O695" s="230"/>
      <c r="P695" s="230"/>
      <c r="Q695" s="230"/>
      <c r="R695" s="230"/>
      <c r="S695" s="230"/>
      <c r="T695" s="230"/>
      <c r="U695" s="230"/>
      <c r="V695" s="230"/>
      <c r="W695" s="230"/>
      <c r="X695" s="230"/>
      <c r="Y695" s="230"/>
      <c r="Z695" s="230"/>
    </row>
    <row r="696" spans="1:26" ht="15.75" customHeight="1">
      <c r="A696" s="230"/>
      <c r="B696" s="230"/>
      <c r="C696" s="230"/>
      <c r="D696" s="230"/>
      <c r="E696" s="230"/>
      <c r="F696" s="230"/>
      <c r="G696" s="230"/>
      <c r="H696" s="230"/>
      <c r="I696" s="230"/>
      <c r="J696" s="230"/>
      <c r="K696" s="230"/>
      <c r="L696" s="230"/>
      <c r="M696" s="230"/>
      <c r="N696" s="230"/>
      <c r="O696" s="230"/>
      <c r="P696" s="230"/>
      <c r="Q696" s="230"/>
      <c r="R696" s="230"/>
      <c r="S696" s="230"/>
      <c r="T696" s="230"/>
      <c r="U696" s="230"/>
      <c r="V696" s="230"/>
      <c r="W696" s="230"/>
      <c r="X696" s="230"/>
      <c r="Y696" s="230"/>
      <c r="Z696" s="230"/>
    </row>
    <row r="697" spans="1:26" ht="15.75" customHeight="1">
      <c r="A697" s="230"/>
      <c r="B697" s="230"/>
      <c r="C697" s="230"/>
      <c r="D697" s="230"/>
      <c r="E697" s="230"/>
      <c r="F697" s="230"/>
      <c r="G697" s="230"/>
      <c r="H697" s="230"/>
      <c r="I697" s="230"/>
      <c r="J697" s="230"/>
      <c r="K697" s="230"/>
      <c r="L697" s="230"/>
      <c r="M697" s="230"/>
      <c r="N697" s="230"/>
      <c r="O697" s="230"/>
      <c r="P697" s="230"/>
      <c r="Q697" s="230"/>
      <c r="R697" s="230"/>
      <c r="S697" s="230"/>
      <c r="T697" s="230"/>
      <c r="U697" s="230"/>
      <c r="V697" s="230"/>
      <c r="W697" s="230"/>
      <c r="X697" s="230"/>
      <c r="Y697" s="230"/>
      <c r="Z697" s="230"/>
    </row>
    <row r="698" spans="1:26" ht="15.75" customHeight="1">
      <c r="A698" s="230"/>
      <c r="B698" s="230"/>
      <c r="C698" s="230"/>
      <c r="D698" s="230"/>
      <c r="E698" s="230"/>
      <c r="F698" s="230"/>
      <c r="G698" s="230"/>
      <c r="H698" s="230"/>
      <c r="I698" s="230"/>
      <c r="J698" s="230"/>
      <c r="K698" s="230"/>
      <c r="L698" s="230"/>
      <c r="M698" s="230"/>
      <c r="N698" s="230"/>
      <c r="O698" s="230"/>
      <c r="P698" s="230"/>
      <c r="Q698" s="230"/>
      <c r="R698" s="230"/>
      <c r="S698" s="230"/>
      <c r="T698" s="230"/>
      <c r="U698" s="230"/>
      <c r="V698" s="230"/>
      <c r="W698" s="230"/>
      <c r="X698" s="230"/>
      <c r="Y698" s="230"/>
      <c r="Z698" s="230"/>
    </row>
    <row r="699" spans="1:26" ht="15.75" customHeight="1">
      <c r="A699" s="230"/>
      <c r="B699" s="230"/>
      <c r="C699" s="230"/>
      <c r="D699" s="230"/>
      <c r="E699" s="230"/>
      <c r="F699" s="230"/>
      <c r="G699" s="230"/>
      <c r="H699" s="230"/>
      <c r="I699" s="230"/>
      <c r="J699" s="230"/>
      <c r="K699" s="230"/>
      <c r="L699" s="230"/>
      <c r="M699" s="230"/>
      <c r="N699" s="230"/>
      <c r="O699" s="230"/>
      <c r="P699" s="230"/>
      <c r="Q699" s="230"/>
      <c r="R699" s="230"/>
      <c r="S699" s="230"/>
      <c r="T699" s="230"/>
      <c r="U699" s="230"/>
      <c r="V699" s="230"/>
      <c r="W699" s="230"/>
      <c r="X699" s="230"/>
      <c r="Y699" s="230"/>
      <c r="Z699" s="230"/>
    </row>
    <row r="700" spans="1:26" ht="15.75" customHeight="1">
      <c r="A700" s="230"/>
      <c r="B700" s="230"/>
      <c r="C700" s="230"/>
      <c r="D700" s="230"/>
      <c r="E700" s="230"/>
      <c r="F700" s="230"/>
      <c r="G700" s="230"/>
      <c r="H700" s="230"/>
      <c r="I700" s="230"/>
      <c r="J700" s="230"/>
      <c r="K700" s="230"/>
      <c r="L700" s="230"/>
      <c r="M700" s="230"/>
      <c r="N700" s="230"/>
      <c r="O700" s="230"/>
      <c r="P700" s="230"/>
      <c r="Q700" s="230"/>
      <c r="R700" s="230"/>
      <c r="S700" s="230"/>
      <c r="T700" s="230"/>
      <c r="U700" s="230"/>
      <c r="V700" s="230"/>
      <c r="W700" s="230"/>
      <c r="X700" s="230"/>
      <c r="Y700" s="230"/>
      <c r="Z700" s="230"/>
    </row>
    <row r="701" spans="1:26" ht="15.75" customHeight="1">
      <c r="A701" s="230"/>
      <c r="B701" s="230"/>
      <c r="C701" s="230"/>
      <c r="D701" s="230"/>
      <c r="E701" s="230"/>
      <c r="F701" s="230"/>
      <c r="G701" s="230"/>
      <c r="H701" s="230"/>
      <c r="I701" s="230"/>
      <c r="J701" s="230"/>
      <c r="K701" s="230"/>
      <c r="L701" s="230"/>
      <c r="M701" s="230"/>
      <c r="N701" s="230"/>
      <c r="O701" s="230"/>
      <c r="P701" s="230"/>
      <c r="Q701" s="230"/>
      <c r="R701" s="230"/>
      <c r="S701" s="230"/>
      <c r="T701" s="230"/>
      <c r="U701" s="230"/>
      <c r="V701" s="230"/>
      <c r="W701" s="230"/>
      <c r="X701" s="230"/>
      <c r="Y701" s="230"/>
      <c r="Z701" s="230"/>
    </row>
    <row r="702" spans="1:26" ht="15.75" customHeight="1">
      <c r="A702" s="230"/>
      <c r="B702" s="230"/>
      <c r="C702" s="230"/>
      <c r="D702" s="230"/>
      <c r="E702" s="230"/>
      <c r="F702" s="230"/>
      <c r="G702" s="230"/>
      <c r="H702" s="230"/>
      <c r="I702" s="230"/>
      <c r="J702" s="230"/>
      <c r="K702" s="230"/>
      <c r="L702" s="230"/>
      <c r="M702" s="230"/>
      <c r="N702" s="230"/>
      <c r="O702" s="230"/>
      <c r="P702" s="230"/>
      <c r="Q702" s="230"/>
      <c r="R702" s="230"/>
      <c r="S702" s="230"/>
      <c r="T702" s="230"/>
      <c r="U702" s="230"/>
      <c r="V702" s="230"/>
      <c r="W702" s="230"/>
      <c r="X702" s="230"/>
      <c r="Y702" s="230"/>
      <c r="Z702" s="230"/>
    </row>
    <row r="703" spans="1:26" ht="15.75" customHeight="1">
      <c r="A703" s="230"/>
      <c r="B703" s="230"/>
      <c r="C703" s="230"/>
      <c r="D703" s="230"/>
      <c r="E703" s="230"/>
      <c r="F703" s="230"/>
      <c r="G703" s="230"/>
      <c r="H703" s="230"/>
      <c r="I703" s="230"/>
      <c r="J703" s="230"/>
      <c r="K703" s="230"/>
      <c r="L703" s="230"/>
      <c r="M703" s="230"/>
      <c r="N703" s="230"/>
      <c r="O703" s="230"/>
      <c r="P703" s="230"/>
      <c r="Q703" s="230"/>
      <c r="R703" s="230"/>
      <c r="S703" s="230"/>
      <c r="T703" s="230"/>
      <c r="U703" s="230"/>
      <c r="V703" s="230"/>
      <c r="W703" s="230"/>
      <c r="X703" s="230"/>
      <c r="Y703" s="230"/>
      <c r="Z703" s="230"/>
    </row>
    <row r="704" spans="1:26" ht="15.75" customHeight="1">
      <c r="A704" s="230"/>
      <c r="B704" s="230"/>
      <c r="C704" s="230"/>
      <c r="D704" s="230"/>
      <c r="E704" s="230"/>
      <c r="F704" s="230"/>
      <c r="G704" s="230"/>
      <c r="H704" s="230"/>
      <c r="I704" s="230"/>
      <c r="J704" s="230"/>
      <c r="K704" s="230"/>
      <c r="L704" s="230"/>
      <c r="M704" s="230"/>
      <c r="N704" s="230"/>
      <c r="O704" s="230"/>
      <c r="P704" s="230"/>
      <c r="Q704" s="230"/>
      <c r="R704" s="230"/>
      <c r="S704" s="230"/>
      <c r="T704" s="230"/>
      <c r="U704" s="230"/>
      <c r="V704" s="230"/>
      <c r="W704" s="230"/>
      <c r="X704" s="230"/>
      <c r="Y704" s="230"/>
      <c r="Z704" s="230"/>
    </row>
    <row r="705" spans="1:26" ht="15.75" customHeight="1">
      <c r="A705" s="230"/>
      <c r="B705" s="230"/>
      <c r="C705" s="230"/>
      <c r="D705" s="230"/>
      <c r="E705" s="230"/>
      <c r="F705" s="230"/>
      <c r="G705" s="230"/>
      <c r="H705" s="230"/>
      <c r="I705" s="230"/>
      <c r="J705" s="230"/>
      <c r="K705" s="230"/>
      <c r="L705" s="230"/>
      <c r="M705" s="230"/>
      <c r="N705" s="230"/>
      <c r="O705" s="230"/>
      <c r="P705" s="230"/>
      <c r="Q705" s="230"/>
      <c r="R705" s="230"/>
      <c r="S705" s="230"/>
      <c r="T705" s="230"/>
      <c r="U705" s="230"/>
      <c r="V705" s="230"/>
      <c r="W705" s="230"/>
      <c r="X705" s="230"/>
      <c r="Y705" s="230"/>
      <c r="Z705" s="230"/>
    </row>
    <row r="706" spans="1:26" ht="15.75" customHeight="1">
      <c r="A706" s="230"/>
      <c r="B706" s="230"/>
      <c r="C706" s="230"/>
      <c r="D706" s="230"/>
      <c r="E706" s="230"/>
      <c r="F706" s="230"/>
      <c r="G706" s="230"/>
      <c r="H706" s="230"/>
      <c r="I706" s="230"/>
      <c r="J706" s="230"/>
      <c r="K706" s="230"/>
      <c r="L706" s="230"/>
      <c r="M706" s="230"/>
      <c r="N706" s="230"/>
      <c r="O706" s="230"/>
      <c r="P706" s="230"/>
      <c r="Q706" s="230"/>
      <c r="R706" s="230"/>
      <c r="S706" s="230"/>
      <c r="T706" s="230"/>
      <c r="U706" s="230"/>
      <c r="V706" s="230"/>
      <c r="W706" s="230"/>
      <c r="X706" s="230"/>
      <c r="Y706" s="230"/>
      <c r="Z706" s="230"/>
    </row>
    <row r="707" spans="1:26" ht="15.75" customHeight="1">
      <c r="A707" s="230"/>
      <c r="B707" s="230"/>
      <c r="C707" s="230"/>
      <c r="D707" s="230"/>
      <c r="E707" s="230"/>
      <c r="F707" s="230"/>
      <c r="G707" s="230"/>
      <c r="H707" s="230"/>
      <c r="I707" s="230"/>
      <c r="J707" s="230"/>
      <c r="K707" s="230"/>
      <c r="L707" s="230"/>
      <c r="M707" s="230"/>
      <c r="N707" s="230"/>
      <c r="O707" s="230"/>
      <c r="P707" s="230"/>
      <c r="Q707" s="230"/>
      <c r="R707" s="230"/>
      <c r="S707" s="230"/>
      <c r="T707" s="230"/>
      <c r="U707" s="230"/>
      <c r="V707" s="230"/>
      <c r="W707" s="230"/>
      <c r="X707" s="230"/>
      <c r="Y707" s="230"/>
      <c r="Z707" s="230"/>
    </row>
    <row r="708" spans="1:26" ht="15.75" customHeight="1">
      <c r="A708" s="230"/>
      <c r="B708" s="230"/>
      <c r="C708" s="230"/>
      <c r="D708" s="230"/>
      <c r="E708" s="230"/>
      <c r="F708" s="230"/>
      <c r="G708" s="230"/>
      <c r="H708" s="230"/>
      <c r="I708" s="230"/>
      <c r="J708" s="230"/>
      <c r="K708" s="230"/>
      <c r="L708" s="230"/>
      <c r="M708" s="230"/>
      <c r="N708" s="230"/>
      <c r="O708" s="230"/>
      <c r="P708" s="230"/>
      <c r="Q708" s="230"/>
      <c r="R708" s="230"/>
      <c r="S708" s="230"/>
      <c r="T708" s="230"/>
      <c r="U708" s="230"/>
      <c r="V708" s="230"/>
      <c r="W708" s="230"/>
      <c r="X708" s="230"/>
      <c r="Y708" s="230"/>
      <c r="Z708" s="230"/>
    </row>
    <row r="709" spans="1:26" ht="15.75" customHeight="1">
      <c r="A709" s="230"/>
      <c r="B709" s="230"/>
      <c r="C709" s="230"/>
      <c r="D709" s="230"/>
      <c r="E709" s="230"/>
      <c r="F709" s="230"/>
      <c r="G709" s="230"/>
      <c r="H709" s="230"/>
      <c r="I709" s="230"/>
      <c r="J709" s="230"/>
      <c r="K709" s="230"/>
      <c r="L709" s="230"/>
      <c r="M709" s="230"/>
      <c r="N709" s="230"/>
      <c r="O709" s="230"/>
      <c r="P709" s="230"/>
      <c r="Q709" s="230"/>
      <c r="R709" s="230"/>
      <c r="S709" s="230"/>
      <c r="T709" s="230"/>
      <c r="U709" s="230"/>
      <c r="V709" s="230"/>
      <c r="W709" s="230"/>
      <c r="X709" s="230"/>
      <c r="Y709" s="230"/>
      <c r="Z709" s="230"/>
    </row>
    <row r="710" spans="1:26" ht="15.75" customHeight="1">
      <c r="A710" s="230"/>
      <c r="B710" s="230"/>
      <c r="C710" s="230"/>
      <c r="D710" s="230"/>
      <c r="E710" s="230"/>
      <c r="F710" s="230"/>
      <c r="G710" s="230"/>
      <c r="H710" s="230"/>
      <c r="I710" s="230"/>
      <c r="J710" s="230"/>
      <c r="K710" s="230"/>
      <c r="L710" s="230"/>
      <c r="M710" s="230"/>
      <c r="N710" s="230"/>
      <c r="O710" s="230"/>
      <c r="P710" s="230"/>
      <c r="Q710" s="230"/>
      <c r="R710" s="230"/>
      <c r="S710" s="230"/>
      <c r="T710" s="230"/>
      <c r="U710" s="230"/>
      <c r="V710" s="230"/>
      <c r="W710" s="230"/>
      <c r="X710" s="230"/>
      <c r="Y710" s="230"/>
      <c r="Z710" s="230"/>
    </row>
    <row r="711" spans="1:26" ht="15.75" customHeight="1">
      <c r="A711" s="230"/>
      <c r="B711" s="230"/>
      <c r="C711" s="230"/>
      <c r="D711" s="230"/>
      <c r="E711" s="230"/>
      <c r="F711" s="230"/>
      <c r="G711" s="230"/>
      <c r="H711" s="230"/>
      <c r="I711" s="230"/>
      <c r="J711" s="230"/>
      <c r="K711" s="230"/>
      <c r="L711" s="230"/>
      <c r="M711" s="230"/>
      <c r="N711" s="230"/>
      <c r="O711" s="230"/>
      <c r="P711" s="230"/>
      <c r="Q711" s="230"/>
      <c r="R711" s="230"/>
      <c r="S711" s="230"/>
      <c r="T711" s="230"/>
      <c r="U711" s="230"/>
      <c r="V711" s="230"/>
      <c r="W711" s="230"/>
      <c r="X711" s="230"/>
      <c r="Y711" s="230"/>
      <c r="Z711" s="230"/>
    </row>
    <row r="712" spans="1:26" ht="15.75" customHeight="1">
      <c r="A712" s="230"/>
      <c r="B712" s="230"/>
      <c r="C712" s="230"/>
      <c r="D712" s="230"/>
      <c r="E712" s="230"/>
      <c r="F712" s="230"/>
      <c r="G712" s="230"/>
      <c r="H712" s="230"/>
      <c r="I712" s="230"/>
      <c r="J712" s="230"/>
      <c r="K712" s="230"/>
      <c r="L712" s="230"/>
      <c r="M712" s="230"/>
      <c r="N712" s="230"/>
      <c r="O712" s="230"/>
      <c r="P712" s="230"/>
      <c r="Q712" s="230"/>
      <c r="R712" s="230"/>
      <c r="S712" s="230"/>
      <c r="T712" s="230"/>
      <c r="U712" s="230"/>
      <c r="V712" s="230"/>
      <c r="W712" s="230"/>
      <c r="X712" s="230"/>
      <c r="Y712" s="230"/>
      <c r="Z712" s="230"/>
    </row>
    <row r="713" spans="1:26" ht="15.75" customHeight="1">
      <c r="A713" s="230"/>
      <c r="B713" s="230"/>
      <c r="C713" s="230"/>
      <c r="D713" s="230"/>
      <c r="E713" s="230"/>
      <c r="F713" s="230"/>
      <c r="G713" s="230"/>
      <c r="H713" s="230"/>
      <c r="I713" s="230"/>
      <c r="J713" s="230"/>
      <c r="K713" s="230"/>
      <c r="L713" s="230"/>
      <c r="M713" s="230"/>
      <c r="N713" s="230"/>
      <c r="O713" s="230"/>
      <c r="P713" s="230"/>
      <c r="Q713" s="230"/>
      <c r="R713" s="230"/>
      <c r="S713" s="230"/>
      <c r="T713" s="230"/>
      <c r="U713" s="230"/>
      <c r="V713" s="230"/>
      <c r="W713" s="230"/>
      <c r="X713" s="230"/>
      <c r="Y713" s="230"/>
      <c r="Z713" s="230"/>
    </row>
    <row r="714" spans="1:26" ht="15.75" customHeight="1">
      <c r="A714" s="230"/>
      <c r="B714" s="230"/>
      <c r="C714" s="230"/>
      <c r="D714" s="230"/>
      <c r="E714" s="230"/>
      <c r="F714" s="230"/>
      <c r="G714" s="230"/>
      <c r="H714" s="230"/>
      <c r="I714" s="230"/>
      <c r="J714" s="230"/>
      <c r="K714" s="230"/>
      <c r="L714" s="230"/>
      <c r="M714" s="230"/>
      <c r="N714" s="230"/>
      <c r="O714" s="230"/>
      <c r="P714" s="230"/>
      <c r="Q714" s="230"/>
      <c r="R714" s="230"/>
      <c r="S714" s="230"/>
      <c r="T714" s="230"/>
      <c r="U714" s="230"/>
      <c r="V714" s="230"/>
      <c r="W714" s="230"/>
      <c r="X714" s="230"/>
      <c r="Y714" s="230"/>
      <c r="Z714" s="230"/>
    </row>
    <row r="715" spans="1:26" ht="15.75" customHeight="1">
      <c r="A715" s="230"/>
      <c r="B715" s="230"/>
      <c r="C715" s="230"/>
      <c r="D715" s="230"/>
      <c r="E715" s="230"/>
      <c r="F715" s="230"/>
      <c r="G715" s="230"/>
      <c r="H715" s="230"/>
      <c r="I715" s="230"/>
      <c r="J715" s="230"/>
      <c r="K715" s="230"/>
      <c r="L715" s="230"/>
      <c r="M715" s="230"/>
      <c r="N715" s="230"/>
      <c r="O715" s="230"/>
      <c r="P715" s="230"/>
      <c r="Q715" s="230"/>
      <c r="R715" s="230"/>
      <c r="S715" s="230"/>
      <c r="T715" s="230"/>
      <c r="U715" s="230"/>
      <c r="V715" s="230"/>
      <c r="W715" s="230"/>
      <c r="X715" s="230"/>
      <c r="Y715" s="230"/>
      <c r="Z715" s="230"/>
    </row>
    <row r="716" spans="1:26" ht="15.75" customHeight="1">
      <c r="A716" s="230"/>
      <c r="B716" s="230"/>
      <c r="C716" s="230"/>
      <c r="D716" s="230"/>
      <c r="E716" s="230"/>
      <c r="F716" s="230"/>
      <c r="G716" s="230"/>
      <c r="H716" s="230"/>
      <c r="I716" s="230"/>
      <c r="J716" s="230"/>
      <c r="K716" s="230"/>
      <c r="L716" s="230"/>
      <c r="M716" s="230"/>
      <c r="N716" s="230"/>
      <c r="O716" s="230"/>
      <c r="P716" s="230"/>
      <c r="Q716" s="230"/>
      <c r="R716" s="230"/>
      <c r="S716" s="230"/>
      <c r="T716" s="230"/>
      <c r="U716" s="230"/>
      <c r="V716" s="230"/>
      <c r="W716" s="230"/>
      <c r="X716" s="230"/>
      <c r="Y716" s="230"/>
      <c r="Z716" s="230"/>
    </row>
    <row r="717" spans="1:26" ht="15.75" customHeight="1">
      <c r="A717" s="230"/>
      <c r="B717" s="230"/>
      <c r="C717" s="230"/>
      <c r="D717" s="230"/>
      <c r="E717" s="230"/>
      <c r="F717" s="230"/>
      <c r="G717" s="230"/>
      <c r="H717" s="230"/>
      <c r="I717" s="230"/>
      <c r="J717" s="230"/>
      <c r="K717" s="230"/>
      <c r="L717" s="230"/>
      <c r="M717" s="230"/>
      <c r="N717" s="230"/>
      <c r="O717" s="230"/>
      <c r="P717" s="230"/>
      <c r="Q717" s="230"/>
      <c r="R717" s="230"/>
      <c r="S717" s="230"/>
      <c r="T717" s="230"/>
      <c r="U717" s="230"/>
      <c r="V717" s="230"/>
      <c r="W717" s="230"/>
      <c r="X717" s="230"/>
      <c r="Y717" s="230"/>
      <c r="Z717" s="230"/>
    </row>
    <row r="718" spans="1:26" ht="15.75" customHeight="1">
      <c r="A718" s="230"/>
      <c r="B718" s="230"/>
      <c r="C718" s="230"/>
      <c r="D718" s="230"/>
      <c r="E718" s="230"/>
      <c r="F718" s="230"/>
      <c r="G718" s="230"/>
      <c r="H718" s="230"/>
      <c r="I718" s="230"/>
      <c r="J718" s="230"/>
      <c r="K718" s="230"/>
      <c r="L718" s="230"/>
      <c r="M718" s="230"/>
      <c r="N718" s="230"/>
      <c r="O718" s="230"/>
      <c r="P718" s="230"/>
      <c r="Q718" s="230"/>
      <c r="R718" s="230"/>
      <c r="S718" s="230"/>
      <c r="T718" s="230"/>
      <c r="U718" s="230"/>
      <c r="V718" s="230"/>
      <c r="W718" s="230"/>
      <c r="X718" s="230"/>
      <c r="Y718" s="230"/>
      <c r="Z718" s="230"/>
    </row>
    <row r="719" spans="1:26" ht="15.75" customHeight="1">
      <c r="A719" s="230"/>
      <c r="B719" s="230"/>
      <c r="C719" s="230"/>
      <c r="D719" s="230"/>
      <c r="E719" s="230"/>
      <c r="F719" s="230"/>
      <c r="G719" s="230"/>
      <c r="H719" s="230"/>
      <c r="I719" s="230"/>
      <c r="J719" s="230"/>
      <c r="K719" s="230"/>
      <c r="L719" s="230"/>
      <c r="M719" s="230"/>
      <c r="N719" s="230"/>
      <c r="O719" s="230"/>
      <c r="P719" s="230"/>
      <c r="Q719" s="230"/>
      <c r="R719" s="230"/>
      <c r="S719" s="230"/>
      <c r="T719" s="230"/>
      <c r="U719" s="230"/>
      <c r="V719" s="230"/>
      <c r="W719" s="230"/>
      <c r="X719" s="230"/>
      <c r="Y719" s="230"/>
      <c r="Z719" s="230"/>
    </row>
    <row r="720" spans="1:26" ht="15.75" customHeight="1">
      <c r="A720" s="230"/>
      <c r="B720" s="230"/>
      <c r="C720" s="230"/>
      <c r="D720" s="230"/>
      <c r="E720" s="230"/>
      <c r="F720" s="230"/>
      <c r="G720" s="230"/>
      <c r="H720" s="230"/>
      <c r="I720" s="230"/>
      <c r="J720" s="230"/>
      <c r="K720" s="230"/>
      <c r="L720" s="230"/>
      <c r="M720" s="230"/>
      <c r="N720" s="230"/>
      <c r="O720" s="230"/>
      <c r="P720" s="230"/>
      <c r="Q720" s="230"/>
      <c r="R720" s="230"/>
      <c r="S720" s="230"/>
      <c r="T720" s="230"/>
      <c r="U720" s="230"/>
      <c r="V720" s="230"/>
      <c r="W720" s="230"/>
      <c r="X720" s="230"/>
      <c r="Y720" s="230"/>
      <c r="Z720" s="230"/>
    </row>
    <row r="721" spans="1:26" ht="15.75" customHeight="1">
      <c r="A721" s="230"/>
      <c r="B721" s="230"/>
      <c r="C721" s="230"/>
      <c r="D721" s="230"/>
      <c r="E721" s="230"/>
      <c r="F721" s="230"/>
      <c r="G721" s="230"/>
      <c r="H721" s="230"/>
      <c r="I721" s="230"/>
      <c r="J721" s="230"/>
      <c r="K721" s="230"/>
      <c r="L721" s="230"/>
      <c r="M721" s="230"/>
      <c r="N721" s="230"/>
      <c r="O721" s="230"/>
      <c r="P721" s="230"/>
      <c r="Q721" s="230"/>
      <c r="R721" s="230"/>
      <c r="S721" s="230"/>
      <c r="T721" s="230"/>
      <c r="U721" s="230"/>
      <c r="V721" s="230"/>
      <c r="W721" s="230"/>
      <c r="X721" s="230"/>
      <c r="Y721" s="230"/>
      <c r="Z721" s="230"/>
    </row>
    <row r="722" spans="1:26" ht="15.75" customHeight="1">
      <c r="A722" s="230"/>
      <c r="B722" s="230"/>
      <c r="C722" s="230"/>
      <c r="D722" s="230"/>
      <c r="E722" s="230"/>
      <c r="F722" s="230"/>
      <c r="G722" s="230"/>
      <c r="H722" s="230"/>
      <c r="I722" s="230"/>
      <c r="J722" s="230"/>
      <c r="K722" s="230"/>
      <c r="L722" s="230"/>
      <c r="M722" s="230"/>
      <c r="N722" s="230"/>
      <c r="O722" s="230"/>
      <c r="P722" s="230"/>
      <c r="Q722" s="230"/>
      <c r="R722" s="230"/>
      <c r="S722" s="230"/>
      <c r="T722" s="230"/>
      <c r="U722" s="230"/>
      <c r="V722" s="230"/>
      <c r="W722" s="230"/>
      <c r="X722" s="230"/>
      <c r="Y722" s="230"/>
      <c r="Z722" s="230"/>
    </row>
    <row r="723" spans="1:26" ht="15.75" customHeight="1">
      <c r="A723" s="230"/>
      <c r="B723" s="230"/>
      <c r="C723" s="230"/>
      <c r="D723" s="230"/>
      <c r="E723" s="230"/>
      <c r="F723" s="230"/>
      <c r="G723" s="230"/>
      <c r="H723" s="230"/>
      <c r="I723" s="230"/>
      <c r="J723" s="230"/>
      <c r="K723" s="230"/>
      <c r="L723" s="230"/>
      <c r="M723" s="230"/>
      <c r="N723" s="230"/>
      <c r="O723" s="230"/>
      <c r="P723" s="230"/>
      <c r="Q723" s="230"/>
      <c r="R723" s="230"/>
      <c r="S723" s="230"/>
      <c r="T723" s="230"/>
      <c r="U723" s="230"/>
      <c r="V723" s="230"/>
      <c r="W723" s="230"/>
      <c r="X723" s="230"/>
      <c r="Y723" s="230"/>
      <c r="Z723" s="230"/>
    </row>
    <row r="724" spans="1:26" ht="15.75" customHeight="1">
      <c r="A724" s="230"/>
      <c r="B724" s="230"/>
      <c r="C724" s="230"/>
      <c r="D724" s="230"/>
      <c r="E724" s="230"/>
      <c r="F724" s="230"/>
      <c r="G724" s="230"/>
      <c r="H724" s="230"/>
      <c r="I724" s="230"/>
      <c r="J724" s="230"/>
      <c r="K724" s="230"/>
      <c r="L724" s="230"/>
      <c r="M724" s="230"/>
      <c r="N724" s="230"/>
      <c r="O724" s="230"/>
      <c r="P724" s="230"/>
      <c r="Q724" s="230"/>
      <c r="R724" s="230"/>
      <c r="S724" s="230"/>
      <c r="T724" s="230"/>
      <c r="U724" s="230"/>
      <c r="V724" s="230"/>
      <c r="W724" s="230"/>
      <c r="X724" s="230"/>
      <c r="Y724" s="230"/>
      <c r="Z724" s="230"/>
    </row>
    <row r="725" spans="1:26" ht="15.75" customHeight="1">
      <c r="A725" s="230"/>
      <c r="B725" s="230"/>
      <c r="C725" s="230"/>
      <c r="D725" s="230"/>
      <c r="E725" s="230"/>
      <c r="F725" s="230"/>
      <c r="G725" s="230"/>
      <c r="H725" s="230"/>
      <c r="I725" s="230"/>
      <c r="J725" s="230"/>
      <c r="K725" s="230"/>
      <c r="L725" s="230"/>
      <c r="M725" s="230"/>
      <c r="N725" s="230"/>
      <c r="O725" s="230"/>
      <c r="P725" s="230"/>
      <c r="Q725" s="230"/>
      <c r="R725" s="230"/>
      <c r="S725" s="230"/>
      <c r="T725" s="230"/>
      <c r="U725" s="230"/>
      <c r="V725" s="230"/>
      <c r="W725" s="230"/>
      <c r="X725" s="230"/>
      <c r="Y725" s="230"/>
      <c r="Z725" s="230"/>
    </row>
    <row r="726" spans="1:26" ht="15.75" customHeight="1">
      <c r="A726" s="230"/>
      <c r="B726" s="230"/>
      <c r="C726" s="230"/>
      <c r="D726" s="230"/>
      <c r="E726" s="230"/>
      <c r="F726" s="230"/>
      <c r="G726" s="230"/>
      <c r="H726" s="230"/>
      <c r="I726" s="230"/>
      <c r="J726" s="230"/>
      <c r="K726" s="230"/>
      <c r="L726" s="230"/>
      <c r="M726" s="230"/>
      <c r="N726" s="230"/>
      <c r="O726" s="230"/>
      <c r="P726" s="230"/>
      <c r="Q726" s="230"/>
      <c r="R726" s="230"/>
      <c r="S726" s="230"/>
      <c r="T726" s="230"/>
      <c r="U726" s="230"/>
      <c r="V726" s="230"/>
      <c r="W726" s="230"/>
      <c r="X726" s="230"/>
      <c r="Y726" s="230"/>
      <c r="Z726" s="230"/>
    </row>
    <row r="727" spans="1:26" ht="15.75" customHeight="1">
      <c r="A727" s="230"/>
      <c r="B727" s="230"/>
      <c r="C727" s="230"/>
      <c r="D727" s="230"/>
      <c r="E727" s="230"/>
      <c r="F727" s="230"/>
      <c r="G727" s="230"/>
      <c r="H727" s="230"/>
      <c r="I727" s="230"/>
      <c r="J727" s="230"/>
      <c r="K727" s="230"/>
      <c r="L727" s="230"/>
      <c r="M727" s="230"/>
      <c r="N727" s="230"/>
      <c r="O727" s="230"/>
      <c r="P727" s="230"/>
      <c r="Q727" s="230"/>
      <c r="R727" s="230"/>
      <c r="S727" s="230"/>
      <c r="T727" s="230"/>
      <c r="U727" s="230"/>
      <c r="V727" s="230"/>
      <c r="W727" s="230"/>
      <c r="X727" s="230"/>
      <c r="Y727" s="230"/>
      <c r="Z727" s="230"/>
    </row>
    <row r="728" spans="1:26" ht="15.75" customHeight="1">
      <c r="A728" s="230"/>
      <c r="B728" s="230"/>
      <c r="C728" s="230"/>
      <c r="D728" s="230"/>
      <c r="E728" s="230"/>
      <c r="F728" s="230"/>
      <c r="G728" s="230"/>
      <c r="H728" s="230"/>
      <c r="I728" s="230"/>
      <c r="J728" s="230"/>
      <c r="K728" s="230"/>
      <c r="L728" s="230"/>
      <c r="M728" s="230"/>
      <c r="N728" s="230"/>
      <c r="O728" s="230"/>
      <c r="P728" s="230"/>
      <c r="Q728" s="230"/>
      <c r="R728" s="230"/>
      <c r="S728" s="230"/>
      <c r="T728" s="230"/>
      <c r="U728" s="230"/>
      <c r="V728" s="230"/>
      <c r="W728" s="230"/>
      <c r="X728" s="230"/>
      <c r="Y728" s="230"/>
      <c r="Z728" s="230"/>
    </row>
    <row r="729" spans="1:26" ht="15.75" customHeight="1">
      <c r="A729" s="230"/>
      <c r="B729" s="230"/>
      <c r="C729" s="230"/>
      <c r="D729" s="230"/>
      <c r="E729" s="230"/>
      <c r="F729" s="230"/>
      <c r="G729" s="230"/>
      <c r="H729" s="230"/>
      <c r="I729" s="230"/>
      <c r="J729" s="230"/>
      <c r="K729" s="230"/>
      <c r="L729" s="230"/>
      <c r="M729" s="230"/>
      <c r="N729" s="230"/>
      <c r="O729" s="230"/>
      <c r="P729" s="230"/>
      <c r="Q729" s="230"/>
      <c r="R729" s="230"/>
      <c r="S729" s="230"/>
      <c r="T729" s="230"/>
      <c r="U729" s="230"/>
      <c r="V729" s="230"/>
      <c r="W729" s="230"/>
      <c r="X729" s="230"/>
      <c r="Y729" s="230"/>
      <c r="Z729" s="230"/>
    </row>
    <row r="730" spans="1:26" ht="15.75" customHeight="1">
      <c r="A730" s="230"/>
      <c r="B730" s="230"/>
      <c r="C730" s="230"/>
      <c r="D730" s="230"/>
      <c r="E730" s="230"/>
      <c r="F730" s="230"/>
      <c r="G730" s="230"/>
      <c r="H730" s="230"/>
      <c r="I730" s="230"/>
      <c r="J730" s="230"/>
      <c r="K730" s="230"/>
      <c r="L730" s="230"/>
      <c r="M730" s="230"/>
      <c r="N730" s="230"/>
      <c r="O730" s="230"/>
      <c r="P730" s="230"/>
      <c r="Q730" s="230"/>
      <c r="R730" s="230"/>
      <c r="S730" s="230"/>
      <c r="T730" s="230"/>
      <c r="U730" s="230"/>
      <c r="V730" s="230"/>
      <c r="W730" s="230"/>
      <c r="X730" s="230"/>
      <c r="Y730" s="230"/>
      <c r="Z730" s="230"/>
    </row>
    <row r="731" spans="1:26" ht="15.75" customHeight="1">
      <c r="A731" s="230"/>
      <c r="B731" s="230"/>
      <c r="C731" s="230"/>
      <c r="D731" s="230"/>
      <c r="E731" s="230"/>
      <c r="F731" s="230"/>
      <c r="G731" s="230"/>
      <c r="H731" s="230"/>
      <c r="I731" s="230"/>
      <c r="J731" s="230"/>
      <c r="K731" s="230"/>
      <c r="L731" s="230"/>
      <c r="M731" s="230"/>
      <c r="N731" s="230"/>
      <c r="O731" s="230"/>
      <c r="P731" s="230"/>
      <c r="Q731" s="230"/>
      <c r="R731" s="230"/>
      <c r="S731" s="230"/>
      <c r="T731" s="230"/>
      <c r="U731" s="230"/>
      <c r="V731" s="230"/>
      <c r="W731" s="230"/>
      <c r="X731" s="230"/>
      <c r="Y731" s="230"/>
      <c r="Z731" s="230"/>
    </row>
    <row r="732" spans="1:26" ht="15.75" customHeight="1">
      <c r="A732" s="230"/>
      <c r="B732" s="230"/>
      <c r="C732" s="230"/>
      <c r="D732" s="230"/>
      <c r="E732" s="230"/>
      <c r="F732" s="230"/>
      <c r="G732" s="230"/>
      <c r="H732" s="230"/>
      <c r="I732" s="230"/>
      <c r="J732" s="230"/>
      <c r="K732" s="230"/>
      <c r="L732" s="230"/>
      <c r="M732" s="230"/>
      <c r="N732" s="230"/>
      <c r="O732" s="230"/>
      <c r="P732" s="230"/>
      <c r="Q732" s="230"/>
      <c r="R732" s="230"/>
      <c r="S732" s="230"/>
      <c r="T732" s="230"/>
      <c r="U732" s="230"/>
      <c r="V732" s="230"/>
      <c r="W732" s="230"/>
      <c r="X732" s="230"/>
      <c r="Y732" s="230"/>
      <c r="Z732" s="230"/>
    </row>
    <row r="733" spans="1:26" ht="15.75" customHeight="1">
      <c r="A733" s="230"/>
      <c r="B733" s="230"/>
      <c r="C733" s="230"/>
      <c r="D733" s="230"/>
      <c r="E733" s="230"/>
      <c r="F733" s="230"/>
      <c r="G733" s="230"/>
      <c r="H733" s="230"/>
      <c r="I733" s="230"/>
      <c r="J733" s="230"/>
      <c r="K733" s="230"/>
      <c r="L733" s="230"/>
      <c r="M733" s="230"/>
      <c r="N733" s="230"/>
      <c r="O733" s="230"/>
      <c r="P733" s="230"/>
      <c r="Q733" s="230"/>
      <c r="R733" s="230"/>
      <c r="S733" s="230"/>
      <c r="T733" s="230"/>
      <c r="U733" s="230"/>
      <c r="V733" s="230"/>
      <c r="W733" s="230"/>
      <c r="X733" s="230"/>
      <c r="Y733" s="230"/>
      <c r="Z733" s="230"/>
    </row>
    <row r="734" spans="1:26" ht="15.75" customHeight="1">
      <c r="A734" s="230"/>
      <c r="B734" s="230"/>
      <c r="C734" s="230"/>
      <c r="D734" s="230"/>
      <c r="E734" s="230"/>
      <c r="F734" s="230"/>
      <c r="G734" s="230"/>
      <c r="H734" s="230"/>
      <c r="I734" s="230"/>
      <c r="J734" s="230"/>
      <c r="K734" s="230"/>
      <c r="L734" s="230"/>
      <c r="M734" s="230"/>
      <c r="N734" s="230"/>
      <c r="O734" s="230"/>
      <c r="P734" s="230"/>
      <c r="Q734" s="230"/>
      <c r="R734" s="230"/>
      <c r="S734" s="230"/>
      <c r="T734" s="230"/>
      <c r="U734" s="230"/>
      <c r="V734" s="230"/>
      <c r="W734" s="230"/>
      <c r="X734" s="230"/>
      <c r="Y734" s="230"/>
      <c r="Z734" s="230"/>
    </row>
    <row r="735" spans="1:26" ht="15.75" customHeight="1">
      <c r="A735" s="230"/>
      <c r="B735" s="230"/>
      <c r="C735" s="230"/>
      <c r="D735" s="230"/>
      <c r="E735" s="230"/>
      <c r="F735" s="230"/>
      <c r="G735" s="230"/>
      <c r="H735" s="230"/>
      <c r="I735" s="230"/>
      <c r="J735" s="230"/>
      <c r="K735" s="230"/>
      <c r="L735" s="230"/>
      <c r="M735" s="230"/>
      <c r="N735" s="230"/>
      <c r="O735" s="230"/>
      <c r="P735" s="230"/>
      <c r="Q735" s="230"/>
      <c r="R735" s="230"/>
      <c r="S735" s="230"/>
      <c r="T735" s="230"/>
      <c r="U735" s="230"/>
      <c r="V735" s="230"/>
      <c r="W735" s="230"/>
      <c r="X735" s="230"/>
      <c r="Y735" s="230"/>
      <c r="Z735" s="230"/>
    </row>
    <row r="736" spans="1:26" ht="15.75" customHeight="1">
      <c r="A736" s="230"/>
      <c r="B736" s="230"/>
      <c r="C736" s="230"/>
      <c r="D736" s="230"/>
      <c r="E736" s="230"/>
      <c r="F736" s="230"/>
      <c r="G736" s="230"/>
      <c r="H736" s="230"/>
      <c r="I736" s="230"/>
      <c r="J736" s="230"/>
      <c r="K736" s="230"/>
      <c r="L736" s="230"/>
      <c r="M736" s="230"/>
      <c r="N736" s="230"/>
      <c r="O736" s="230"/>
      <c r="P736" s="230"/>
      <c r="Q736" s="230"/>
      <c r="R736" s="230"/>
      <c r="S736" s="230"/>
      <c r="T736" s="230"/>
      <c r="U736" s="230"/>
      <c r="V736" s="230"/>
      <c r="W736" s="230"/>
      <c r="X736" s="230"/>
      <c r="Y736" s="230"/>
      <c r="Z736" s="230"/>
    </row>
    <row r="737" spans="1:26" ht="15.75" customHeight="1">
      <c r="A737" s="230"/>
      <c r="B737" s="230"/>
      <c r="C737" s="230"/>
      <c r="D737" s="230"/>
      <c r="E737" s="230"/>
      <c r="F737" s="230"/>
      <c r="G737" s="230"/>
      <c r="H737" s="230"/>
      <c r="I737" s="230"/>
      <c r="J737" s="230"/>
      <c r="K737" s="230"/>
      <c r="L737" s="230"/>
      <c r="M737" s="230"/>
      <c r="N737" s="230"/>
      <c r="O737" s="230"/>
      <c r="P737" s="230"/>
      <c r="Q737" s="230"/>
      <c r="R737" s="230"/>
      <c r="S737" s="230"/>
      <c r="T737" s="230"/>
      <c r="U737" s="230"/>
      <c r="V737" s="230"/>
      <c r="W737" s="230"/>
      <c r="X737" s="230"/>
      <c r="Y737" s="230"/>
      <c r="Z737" s="230"/>
    </row>
    <row r="738" spans="1:26" ht="15.75" customHeight="1">
      <c r="A738" s="230"/>
      <c r="B738" s="230"/>
      <c r="C738" s="230"/>
      <c r="D738" s="230"/>
      <c r="E738" s="230"/>
      <c r="F738" s="230"/>
      <c r="G738" s="230"/>
      <c r="H738" s="230"/>
      <c r="I738" s="230"/>
      <c r="J738" s="230"/>
      <c r="K738" s="230"/>
      <c r="L738" s="230"/>
      <c r="M738" s="230"/>
      <c r="N738" s="230"/>
      <c r="O738" s="230"/>
      <c r="P738" s="230"/>
      <c r="Q738" s="230"/>
      <c r="R738" s="230"/>
      <c r="S738" s="230"/>
      <c r="T738" s="230"/>
      <c r="U738" s="230"/>
      <c r="V738" s="230"/>
      <c r="W738" s="230"/>
      <c r="X738" s="230"/>
      <c r="Y738" s="230"/>
      <c r="Z738" s="230"/>
    </row>
    <row r="739" spans="1:26" ht="15.75" customHeight="1">
      <c r="A739" s="230"/>
      <c r="B739" s="230"/>
      <c r="C739" s="230"/>
      <c r="D739" s="230"/>
      <c r="E739" s="230"/>
      <c r="F739" s="230"/>
      <c r="G739" s="230"/>
      <c r="H739" s="230"/>
      <c r="I739" s="230"/>
      <c r="J739" s="230"/>
      <c r="K739" s="230"/>
      <c r="L739" s="230"/>
      <c r="M739" s="230"/>
      <c r="N739" s="230"/>
      <c r="O739" s="230"/>
      <c r="P739" s="230"/>
      <c r="Q739" s="230"/>
      <c r="R739" s="230"/>
      <c r="S739" s="230"/>
      <c r="T739" s="230"/>
      <c r="U739" s="230"/>
      <c r="V739" s="230"/>
      <c r="W739" s="230"/>
      <c r="X739" s="230"/>
      <c r="Y739" s="230"/>
      <c r="Z739" s="230"/>
    </row>
    <row r="740" spans="1:26" ht="15.75" customHeight="1">
      <c r="A740" s="230"/>
      <c r="B740" s="230"/>
      <c r="C740" s="230"/>
      <c r="D740" s="230"/>
      <c r="E740" s="230"/>
      <c r="F740" s="230"/>
      <c r="G740" s="230"/>
      <c r="H740" s="230"/>
      <c r="I740" s="230"/>
      <c r="J740" s="230"/>
      <c r="K740" s="230"/>
      <c r="L740" s="230"/>
      <c r="M740" s="230"/>
      <c r="N740" s="230"/>
      <c r="O740" s="230"/>
      <c r="P740" s="230"/>
      <c r="Q740" s="230"/>
      <c r="R740" s="230"/>
      <c r="S740" s="230"/>
      <c r="T740" s="230"/>
      <c r="U740" s="230"/>
      <c r="V740" s="230"/>
      <c r="W740" s="230"/>
      <c r="X740" s="230"/>
      <c r="Y740" s="230"/>
      <c r="Z740" s="230"/>
    </row>
    <row r="741" spans="1:26" ht="15.75" customHeight="1">
      <c r="A741" s="230"/>
      <c r="B741" s="230"/>
      <c r="C741" s="230"/>
      <c r="D741" s="230"/>
      <c r="E741" s="230"/>
      <c r="F741" s="230"/>
      <c r="G741" s="230"/>
      <c r="H741" s="230"/>
      <c r="I741" s="230"/>
      <c r="J741" s="230"/>
      <c r="K741" s="230"/>
      <c r="L741" s="230"/>
      <c r="M741" s="230"/>
      <c r="N741" s="230"/>
      <c r="O741" s="230"/>
      <c r="P741" s="230"/>
      <c r="Q741" s="230"/>
      <c r="R741" s="230"/>
      <c r="S741" s="230"/>
      <c r="T741" s="230"/>
      <c r="U741" s="230"/>
      <c r="V741" s="230"/>
      <c r="W741" s="230"/>
      <c r="X741" s="230"/>
      <c r="Y741" s="230"/>
      <c r="Z741" s="230"/>
    </row>
    <row r="742" spans="1:26" ht="15.75" customHeight="1">
      <c r="A742" s="230"/>
      <c r="B742" s="230"/>
      <c r="C742" s="230"/>
      <c r="D742" s="230"/>
      <c r="E742" s="230"/>
      <c r="F742" s="230"/>
      <c r="G742" s="230"/>
      <c r="H742" s="230"/>
      <c r="I742" s="230"/>
      <c r="J742" s="230"/>
      <c r="K742" s="230"/>
      <c r="L742" s="230"/>
      <c r="M742" s="230"/>
      <c r="N742" s="230"/>
      <c r="O742" s="230"/>
      <c r="P742" s="230"/>
      <c r="Q742" s="230"/>
      <c r="R742" s="230"/>
      <c r="S742" s="230"/>
      <c r="T742" s="230"/>
      <c r="U742" s="230"/>
      <c r="V742" s="230"/>
      <c r="W742" s="230"/>
      <c r="X742" s="230"/>
      <c r="Y742" s="230"/>
      <c r="Z742" s="230"/>
    </row>
    <row r="743" spans="1:26" ht="15.75" customHeight="1">
      <c r="A743" s="230"/>
      <c r="B743" s="230"/>
      <c r="C743" s="230"/>
      <c r="D743" s="230"/>
      <c r="E743" s="230"/>
      <c r="F743" s="230"/>
      <c r="G743" s="230"/>
      <c r="H743" s="230"/>
      <c r="I743" s="230"/>
      <c r="J743" s="230"/>
      <c r="K743" s="230"/>
      <c r="L743" s="230"/>
      <c r="M743" s="230"/>
      <c r="N743" s="230"/>
      <c r="O743" s="230"/>
      <c r="P743" s="230"/>
      <c r="Q743" s="230"/>
      <c r="R743" s="230"/>
      <c r="S743" s="230"/>
      <c r="T743" s="230"/>
      <c r="U743" s="230"/>
      <c r="V743" s="230"/>
      <c r="W743" s="230"/>
      <c r="X743" s="230"/>
      <c r="Y743" s="230"/>
      <c r="Z743" s="230"/>
    </row>
    <row r="744" spans="1:26" ht="15.75" customHeight="1">
      <c r="A744" s="230"/>
      <c r="B744" s="230"/>
      <c r="C744" s="230"/>
      <c r="D744" s="230"/>
      <c r="E744" s="230"/>
      <c r="F744" s="230"/>
      <c r="G744" s="230"/>
      <c r="H744" s="230"/>
      <c r="I744" s="230"/>
      <c r="J744" s="230"/>
      <c r="K744" s="230"/>
      <c r="L744" s="230"/>
      <c r="M744" s="230"/>
      <c r="N744" s="230"/>
      <c r="O744" s="230"/>
      <c r="P744" s="230"/>
      <c r="Q744" s="230"/>
      <c r="R744" s="230"/>
      <c r="S744" s="230"/>
      <c r="T744" s="230"/>
      <c r="U744" s="230"/>
      <c r="V744" s="230"/>
      <c r="W744" s="230"/>
      <c r="X744" s="230"/>
      <c r="Y744" s="230"/>
      <c r="Z744" s="230"/>
    </row>
    <row r="745" spans="1:26" ht="15.75" customHeight="1">
      <c r="A745" s="230"/>
      <c r="B745" s="230"/>
      <c r="C745" s="230"/>
      <c r="D745" s="230"/>
      <c r="E745" s="230"/>
      <c r="F745" s="230"/>
      <c r="G745" s="230"/>
      <c r="H745" s="230"/>
      <c r="I745" s="230"/>
      <c r="J745" s="230"/>
      <c r="K745" s="230"/>
      <c r="L745" s="230"/>
      <c r="M745" s="230"/>
      <c r="N745" s="230"/>
      <c r="O745" s="230"/>
      <c r="P745" s="230"/>
      <c r="Q745" s="230"/>
      <c r="R745" s="230"/>
      <c r="S745" s="230"/>
      <c r="T745" s="230"/>
      <c r="U745" s="230"/>
      <c r="V745" s="230"/>
      <c r="W745" s="230"/>
      <c r="X745" s="230"/>
      <c r="Y745" s="230"/>
      <c r="Z745" s="230"/>
    </row>
    <row r="746" spans="1:26" ht="15.75" customHeight="1">
      <c r="A746" s="230"/>
      <c r="B746" s="230"/>
      <c r="C746" s="230"/>
      <c r="D746" s="230"/>
      <c r="E746" s="230"/>
      <c r="F746" s="230"/>
      <c r="G746" s="230"/>
      <c r="H746" s="230"/>
      <c r="I746" s="230"/>
      <c r="J746" s="230"/>
      <c r="K746" s="230"/>
      <c r="L746" s="230"/>
      <c r="M746" s="230"/>
      <c r="N746" s="230"/>
      <c r="O746" s="230"/>
      <c r="P746" s="230"/>
      <c r="Q746" s="230"/>
      <c r="R746" s="230"/>
      <c r="S746" s="230"/>
      <c r="T746" s="230"/>
      <c r="U746" s="230"/>
      <c r="V746" s="230"/>
      <c r="W746" s="230"/>
      <c r="X746" s="230"/>
      <c r="Y746" s="230"/>
      <c r="Z746" s="230"/>
    </row>
    <row r="747" spans="1:26" ht="15.75" customHeight="1">
      <c r="A747" s="230"/>
      <c r="B747" s="230"/>
      <c r="C747" s="230"/>
      <c r="D747" s="230"/>
      <c r="E747" s="230"/>
      <c r="F747" s="230"/>
      <c r="G747" s="230"/>
      <c r="H747" s="230"/>
      <c r="I747" s="230"/>
      <c r="J747" s="230"/>
      <c r="K747" s="230"/>
      <c r="L747" s="230"/>
      <c r="M747" s="230"/>
      <c r="N747" s="230"/>
      <c r="O747" s="230"/>
      <c r="P747" s="230"/>
      <c r="Q747" s="230"/>
      <c r="R747" s="230"/>
      <c r="S747" s="230"/>
      <c r="T747" s="230"/>
      <c r="U747" s="230"/>
      <c r="V747" s="230"/>
      <c r="W747" s="230"/>
      <c r="X747" s="230"/>
      <c r="Y747" s="230"/>
      <c r="Z747" s="230"/>
    </row>
    <row r="748" spans="1:26" ht="15.75" customHeight="1">
      <c r="A748" s="230"/>
      <c r="B748" s="230"/>
      <c r="C748" s="230"/>
      <c r="D748" s="230"/>
      <c r="E748" s="230"/>
      <c r="F748" s="230"/>
      <c r="G748" s="230"/>
      <c r="H748" s="230"/>
      <c r="I748" s="230"/>
      <c r="J748" s="230"/>
      <c r="K748" s="230"/>
      <c r="L748" s="230"/>
      <c r="M748" s="230"/>
      <c r="N748" s="230"/>
      <c r="O748" s="230"/>
      <c r="P748" s="230"/>
      <c r="Q748" s="230"/>
      <c r="R748" s="230"/>
      <c r="S748" s="230"/>
      <c r="T748" s="230"/>
      <c r="U748" s="230"/>
      <c r="V748" s="230"/>
      <c r="W748" s="230"/>
      <c r="X748" s="230"/>
      <c r="Y748" s="230"/>
      <c r="Z748" s="230"/>
    </row>
    <row r="749" spans="1:26" ht="15.75" customHeight="1">
      <c r="A749" s="230"/>
      <c r="B749" s="230"/>
      <c r="C749" s="230"/>
      <c r="D749" s="230"/>
      <c r="E749" s="230"/>
      <c r="F749" s="230"/>
      <c r="G749" s="230"/>
      <c r="H749" s="230"/>
      <c r="I749" s="230"/>
      <c r="J749" s="230"/>
      <c r="K749" s="230"/>
      <c r="L749" s="230"/>
      <c r="M749" s="230"/>
      <c r="N749" s="230"/>
      <c r="O749" s="230"/>
      <c r="P749" s="230"/>
      <c r="Q749" s="230"/>
      <c r="R749" s="230"/>
      <c r="S749" s="230"/>
      <c r="T749" s="230"/>
      <c r="U749" s="230"/>
      <c r="V749" s="230"/>
      <c r="W749" s="230"/>
      <c r="X749" s="230"/>
      <c r="Y749" s="230"/>
      <c r="Z749" s="230"/>
    </row>
    <row r="750" spans="1:26" ht="15.75" customHeight="1">
      <c r="A750" s="230"/>
      <c r="B750" s="230"/>
      <c r="C750" s="230"/>
      <c r="D750" s="230"/>
      <c r="E750" s="230"/>
      <c r="F750" s="230"/>
      <c r="G750" s="230"/>
      <c r="H750" s="230"/>
      <c r="I750" s="230"/>
      <c r="J750" s="230"/>
      <c r="K750" s="230"/>
      <c r="L750" s="230"/>
      <c r="M750" s="230"/>
      <c r="N750" s="230"/>
      <c r="O750" s="230"/>
      <c r="P750" s="230"/>
      <c r="Q750" s="230"/>
      <c r="R750" s="230"/>
      <c r="S750" s="230"/>
      <c r="T750" s="230"/>
      <c r="U750" s="230"/>
      <c r="V750" s="230"/>
      <c r="W750" s="230"/>
      <c r="X750" s="230"/>
      <c r="Y750" s="230"/>
      <c r="Z750" s="230"/>
    </row>
    <row r="751" spans="1:26" ht="15.75" customHeight="1">
      <c r="A751" s="230"/>
      <c r="B751" s="230"/>
      <c r="C751" s="230"/>
      <c r="D751" s="230"/>
      <c r="E751" s="230"/>
      <c r="F751" s="230"/>
      <c r="G751" s="230"/>
      <c r="H751" s="230"/>
      <c r="I751" s="230"/>
      <c r="J751" s="230"/>
      <c r="K751" s="230"/>
      <c r="L751" s="230"/>
      <c r="M751" s="230"/>
      <c r="N751" s="230"/>
      <c r="O751" s="230"/>
      <c r="P751" s="230"/>
      <c r="Q751" s="230"/>
      <c r="R751" s="230"/>
      <c r="S751" s="230"/>
      <c r="T751" s="230"/>
      <c r="U751" s="230"/>
      <c r="V751" s="230"/>
      <c r="W751" s="230"/>
      <c r="X751" s="230"/>
      <c r="Y751" s="230"/>
      <c r="Z751" s="230"/>
    </row>
    <row r="752" spans="1:26" ht="15.75" customHeight="1">
      <c r="A752" s="230"/>
      <c r="B752" s="230"/>
      <c r="C752" s="230"/>
      <c r="D752" s="230"/>
      <c r="E752" s="230"/>
      <c r="F752" s="230"/>
      <c r="G752" s="230"/>
      <c r="H752" s="230"/>
      <c r="I752" s="230"/>
      <c r="J752" s="230"/>
      <c r="K752" s="230"/>
      <c r="L752" s="230"/>
      <c r="M752" s="230"/>
      <c r="N752" s="230"/>
      <c r="O752" s="230"/>
      <c r="P752" s="230"/>
      <c r="Q752" s="230"/>
      <c r="R752" s="230"/>
      <c r="S752" s="230"/>
      <c r="T752" s="230"/>
      <c r="U752" s="230"/>
      <c r="V752" s="230"/>
      <c r="W752" s="230"/>
      <c r="X752" s="230"/>
      <c r="Y752" s="230"/>
      <c r="Z752" s="230"/>
    </row>
    <row r="753" spans="1:26" ht="15.75" customHeight="1">
      <c r="A753" s="230"/>
      <c r="B753" s="230"/>
      <c r="C753" s="230"/>
      <c r="D753" s="230"/>
      <c r="E753" s="230"/>
      <c r="F753" s="230"/>
      <c r="G753" s="230"/>
      <c r="H753" s="230"/>
      <c r="I753" s="230"/>
      <c r="J753" s="230"/>
      <c r="K753" s="230"/>
      <c r="L753" s="230"/>
      <c r="M753" s="230"/>
      <c r="N753" s="230"/>
      <c r="O753" s="230"/>
      <c r="P753" s="230"/>
      <c r="Q753" s="230"/>
      <c r="R753" s="230"/>
      <c r="S753" s="230"/>
      <c r="T753" s="230"/>
      <c r="U753" s="230"/>
      <c r="V753" s="230"/>
      <c r="W753" s="230"/>
      <c r="X753" s="230"/>
      <c r="Y753" s="230"/>
      <c r="Z753" s="230"/>
    </row>
    <row r="754" spans="1:26" ht="15.75" customHeight="1">
      <c r="A754" s="230"/>
      <c r="B754" s="230"/>
      <c r="C754" s="230"/>
      <c r="D754" s="230"/>
      <c r="E754" s="230"/>
      <c r="F754" s="230"/>
      <c r="G754" s="230"/>
      <c r="H754" s="230"/>
      <c r="I754" s="230"/>
      <c r="J754" s="230"/>
      <c r="K754" s="230"/>
      <c r="L754" s="230"/>
      <c r="M754" s="230"/>
      <c r="N754" s="230"/>
      <c r="O754" s="230"/>
      <c r="P754" s="230"/>
      <c r="Q754" s="230"/>
      <c r="R754" s="230"/>
      <c r="S754" s="230"/>
      <c r="T754" s="230"/>
      <c r="U754" s="230"/>
      <c r="V754" s="230"/>
      <c r="W754" s="230"/>
      <c r="X754" s="230"/>
      <c r="Y754" s="230"/>
      <c r="Z754" s="230"/>
    </row>
    <row r="755" spans="1:26" ht="15.75" customHeight="1">
      <c r="A755" s="230"/>
      <c r="B755" s="230"/>
      <c r="C755" s="230"/>
      <c r="D755" s="230"/>
      <c r="E755" s="230"/>
      <c r="F755" s="230"/>
      <c r="G755" s="230"/>
      <c r="H755" s="230"/>
      <c r="I755" s="230"/>
      <c r="J755" s="230"/>
      <c r="K755" s="230"/>
      <c r="L755" s="230"/>
      <c r="M755" s="230"/>
      <c r="N755" s="230"/>
      <c r="O755" s="230"/>
      <c r="P755" s="230"/>
      <c r="Q755" s="230"/>
      <c r="R755" s="230"/>
      <c r="S755" s="230"/>
      <c r="T755" s="230"/>
      <c r="U755" s="230"/>
      <c r="V755" s="230"/>
      <c r="W755" s="230"/>
      <c r="X755" s="230"/>
      <c r="Y755" s="230"/>
      <c r="Z755" s="230"/>
    </row>
    <row r="756" spans="1:26" ht="15.75" customHeight="1">
      <c r="A756" s="230"/>
      <c r="B756" s="230"/>
      <c r="C756" s="230"/>
      <c r="D756" s="230"/>
      <c r="E756" s="230"/>
      <c r="F756" s="230"/>
      <c r="G756" s="230"/>
      <c r="H756" s="230"/>
      <c r="I756" s="230"/>
      <c r="J756" s="230"/>
      <c r="K756" s="230"/>
      <c r="L756" s="230"/>
      <c r="M756" s="230"/>
      <c r="N756" s="230"/>
      <c r="O756" s="230"/>
      <c r="P756" s="230"/>
      <c r="Q756" s="230"/>
      <c r="R756" s="230"/>
      <c r="S756" s="230"/>
      <c r="T756" s="230"/>
      <c r="U756" s="230"/>
      <c r="V756" s="230"/>
      <c r="W756" s="230"/>
      <c r="X756" s="230"/>
      <c r="Y756" s="230"/>
      <c r="Z756" s="230"/>
    </row>
    <row r="757" spans="1:26" ht="15.75" customHeight="1">
      <c r="A757" s="230"/>
      <c r="B757" s="230"/>
      <c r="C757" s="230"/>
      <c r="D757" s="230"/>
      <c r="E757" s="230"/>
      <c r="F757" s="230"/>
      <c r="G757" s="230"/>
      <c r="H757" s="230"/>
      <c r="I757" s="230"/>
      <c r="J757" s="230"/>
      <c r="K757" s="230"/>
      <c r="L757" s="230"/>
      <c r="M757" s="230"/>
      <c r="N757" s="230"/>
      <c r="O757" s="230"/>
      <c r="P757" s="230"/>
      <c r="Q757" s="230"/>
      <c r="R757" s="230"/>
      <c r="S757" s="230"/>
      <c r="T757" s="230"/>
      <c r="U757" s="230"/>
      <c r="V757" s="230"/>
      <c r="W757" s="230"/>
      <c r="X757" s="230"/>
      <c r="Y757" s="230"/>
      <c r="Z757" s="230"/>
    </row>
    <row r="758" spans="1:26" ht="15.75" customHeight="1">
      <c r="A758" s="230"/>
      <c r="B758" s="230"/>
      <c r="C758" s="230"/>
      <c r="D758" s="230"/>
      <c r="E758" s="230"/>
      <c r="F758" s="230"/>
      <c r="G758" s="230"/>
      <c r="H758" s="230"/>
      <c r="I758" s="230"/>
      <c r="J758" s="230"/>
      <c r="K758" s="230"/>
      <c r="L758" s="230"/>
      <c r="M758" s="230"/>
      <c r="N758" s="230"/>
      <c r="O758" s="230"/>
      <c r="P758" s="230"/>
      <c r="Q758" s="230"/>
      <c r="R758" s="230"/>
      <c r="S758" s="230"/>
      <c r="T758" s="230"/>
      <c r="U758" s="230"/>
      <c r="V758" s="230"/>
      <c r="W758" s="230"/>
      <c r="X758" s="230"/>
      <c r="Y758" s="230"/>
      <c r="Z758" s="230"/>
    </row>
    <row r="759" spans="1:26" ht="15.75" customHeight="1">
      <c r="A759" s="230"/>
      <c r="B759" s="230"/>
      <c r="C759" s="230"/>
      <c r="D759" s="230"/>
      <c r="E759" s="230"/>
      <c r="F759" s="230"/>
      <c r="G759" s="230"/>
      <c r="H759" s="230"/>
      <c r="I759" s="230"/>
      <c r="J759" s="230"/>
      <c r="K759" s="230"/>
      <c r="L759" s="230"/>
      <c r="M759" s="230"/>
      <c r="N759" s="230"/>
      <c r="O759" s="230"/>
      <c r="P759" s="230"/>
      <c r="Q759" s="230"/>
      <c r="R759" s="230"/>
      <c r="S759" s="230"/>
      <c r="T759" s="230"/>
      <c r="U759" s="230"/>
      <c r="V759" s="230"/>
      <c r="W759" s="230"/>
      <c r="X759" s="230"/>
      <c r="Y759" s="230"/>
      <c r="Z759" s="230"/>
    </row>
    <row r="760" spans="1:26" ht="15.75" customHeight="1">
      <c r="A760" s="230"/>
      <c r="B760" s="230"/>
      <c r="C760" s="230"/>
      <c r="D760" s="230"/>
      <c r="E760" s="230"/>
      <c r="F760" s="230"/>
      <c r="G760" s="230"/>
      <c r="H760" s="230"/>
      <c r="I760" s="230"/>
      <c r="J760" s="230"/>
      <c r="K760" s="230"/>
      <c r="L760" s="230"/>
      <c r="M760" s="230"/>
      <c r="N760" s="230"/>
      <c r="O760" s="230"/>
      <c r="P760" s="230"/>
      <c r="Q760" s="230"/>
      <c r="R760" s="230"/>
      <c r="S760" s="230"/>
      <c r="T760" s="230"/>
      <c r="U760" s="230"/>
      <c r="V760" s="230"/>
      <c r="W760" s="230"/>
      <c r="X760" s="230"/>
      <c r="Y760" s="230"/>
      <c r="Z760" s="230"/>
    </row>
    <row r="761" spans="1:26" ht="15.75" customHeight="1">
      <c r="A761" s="230"/>
      <c r="B761" s="230"/>
      <c r="C761" s="230"/>
      <c r="D761" s="230"/>
      <c r="E761" s="230"/>
      <c r="F761" s="230"/>
      <c r="G761" s="230"/>
      <c r="H761" s="230"/>
      <c r="I761" s="230"/>
      <c r="J761" s="230"/>
      <c r="K761" s="230"/>
      <c r="L761" s="230"/>
      <c r="M761" s="230"/>
      <c r="N761" s="230"/>
      <c r="O761" s="230"/>
      <c r="P761" s="230"/>
      <c r="Q761" s="230"/>
      <c r="R761" s="230"/>
      <c r="S761" s="230"/>
      <c r="T761" s="230"/>
      <c r="U761" s="230"/>
      <c r="V761" s="230"/>
      <c r="W761" s="230"/>
      <c r="X761" s="230"/>
      <c r="Y761" s="230"/>
      <c r="Z761" s="230"/>
    </row>
    <row r="762" spans="1:26" ht="15.75" customHeight="1">
      <c r="A762" s="230"/>
      <c r="B762" s="230"/>
      <c r="C762" s="230"/>
      <c r="D762" s="230"/>
      <c r="E762" s="230"/>
      <c r="F762" s="230"/>
      <c r="G762" s="230"/>
      <c r="H762" s="230"/>
      <c r="I762" s="230"/>
      <c r="J762" s="230"/>
      <c r="K762" s="230"/>
      <c r="L762" s="230"/>
      <c r="M762" s="230"/>
      <c r="N762" s="230"/>
      <c r="O762" s="230"/>
      <c r="P762" s="230"/>
      <c r="Q762" s="230"/>
      <c r="R762" s="230"/>
      <c r="S762" s="230"/>
      <c r="T762" s="230"/>
      <c r="U762" s="230"/>
      <c r="V762" s="230"/>
      <c r="W762" s="230"/>
      <c r="X762" s="230"/>
      <c r="Y762" s="230"/>
      <c r="Z762" s="230"/>
    </row>
    <row r="763" spans="1:26" ht="15.75" customHeight="1">
      <c r="A763" s="230"/>
      <c r="B763" s="230"/>
      <c r="C763" s="230"/>
      <c r="D763" s="230"/>
      <c r="E763" s="230"/>
      <c r="F763" s="230"/>
      <c r="G763" s="230"/>
      <c r="H763" s="230"/>
      <c r="I763" s="230"/>
      <c r="J763" s="230"/>
      <c r="K763" s="230"/>
      <c r="L763" s="230"/>
      <c r="M763" s="230"/>
      <c r="N763" s="230"/>
      <c r="O763" s="230"/>
      <c r="P763" s="230"/>
      <c r="Q763" s="230"/>
      <c r="R763" s="230"/>
      <c r="S763" s="230"/>
      <c r="T763" s="230"/>
      <c r="U763" s="230"/>
      <c r="V763" s="230"/>
      <c r="W763" s="230"/>
      <c r="X763" s="230"/>
      <c r="Y763" s="230"/>
      <c r="Z763" s="230"/>
    </row>
    <row r="764" spans="1:26" ht="15.75" customHeight="1">
      <c r="A764" s="230"/>
      <c r="B764" s="230"/>
      <c r="C764" s="230"/>
      <c r="D764" s="230"/>
      <c r="E764" s="230"/>
      <c r="F764" s="230"/>
      <c r="G764" s="230"/>
      <c r="H764" s="230"/>
      <c r="I764" s="230"/>
      <c r="J764" s="230"/>
      <c r="K764" s="230"/>
      <c r="L764" s="230"/>
      <c r="M764" s="230"/>
      <c r="N764" s="230"/>
      <c r="O764" s="230"/>
      <c r="P764" s="230"/>
      <c r="Q764" s="230"/>
      <c r="R764" s="230"/>
      <c r="S764" s="230"/>
      <c r="T764" s="230"/>
      <c r="U764" s="230"/>
      <c r="V764" s="230"/>
      <c r="W764" s="230"/>
      <c r="X764" s="230"/>
      <c r="Y764" s="230"/>
      <c r="Z764" s="230"/>
    </row>
    <row r="765" spans="1:26" ht="15.75" customHeight="1">
      <c r="A765" s="230"/>
      <c r="B765" s="230"/>
      <c r="C765" s="230"/>
      <c r="D765" s="230"/>
      <c r="E765" s="230"/>
      <c r="F765" s="230"/>
      <c r="G765" s="230"/>
      <c r="H765" s="230"/>
      <c r="I765" s="230"/>
      <c r="J765" s="230"/>
      <c r="K765" s="230"/>
      <c r="L765" s="230"/>
      <c r="M765" s="230"/>
      <c r="N765" s="230"/>
      <c r="O765" s="230"/>
      <c r="P765" s="230"/>
      <c r="Q765" s="230"/>
      <c r="R765" s="230"/>
      <c r="S765" s="230"/>
      <c r="T765" s="230"/>
      <c r="U765" s="230"/>
      <c r="V765" s="230"/>
      <c r="W765" s="230"/>
      <c r="X765" s="230"/>
      <c r="Y765" s="230"/>
      <c r="Z765" s="230"/>
    </row>
    <row r="766" spans="1:26" ht="15.75" customHeight="1">
      <c r="A766" s="230"/>
      <c r="B766" s="230"/>
      <c r="C766" s="230"/>
      <c r="D766" s="230"/>
      <c r="E766" s="230"/>
      <c r="F766" s="230"/>
      <c r="G766" s="230"/>
      <c r="H766" s="230"/>
      <c r="I766" s="230"/>
      <c r="J766" s="230"/>
      <c r="K766" s="230"/>
      <c r="L766" s="230"/>
      <c r="M766" s="230"/>
      <c r="N766" s="230"/>
      <c r="O766" s="230"/>
      <c r="P766" s="230"/>
      <c r="Q766" s="230"/>
      <c r="R766" s="230"/>
      <c r="S766" s="230"/>
      <c r="T766" s="230"/>
      <c r="U766" s="230"/>
      <c r="V766" s="230"/>
      <c r="W766" s="230"/>
      <c r="X766" s="230"/>
      <c r="Y766" s="230"/>
      <c r="Z766" s="230"/>
    </row>
    <row r="767" spans="1:26" ht="15.75" customHeight="1">
      <c r="A767" s="230"/>
      <c r="B767" s="230"/>
      <c r="C767" s="230"/>
      <c r="D767" s="230"/>
      <c r="E767" s="230"/>
      <c r="F767" s="230"/>
      <c r="G767" s="230"/>
      <c r="H767" s="230"/>
      <c r="I767" s="230"/>
      <c r="J767" s="230"/>
      <c r="K767" s="230"/>
      <c r="L767" s="230"/>
      <c r="M767" s="230"/>
      <c r="N767" s="230"/>
      <c r="O767" s="230"/>
      <c r="P767" s="230"/>
      <c r="Q767" s="230"/>
      <c r="R767" s="230"/>
      <c r="S767" s="230"/>
      <c r="T767" s="230"/>
      <c r="U767" s="230"/>
      <c r="V767" s="230"/>
      <c r="W767" s="230"/>
      <c r="X767" s="230"/>
      <c r="Y767" s="230"/>
      <c r="Z767" s="230"/>
    </row>
    <row r="768" spans="1:26" ht="15.75" customHeight="1">
      <c r="A768" s="230"/>
      <c r="B768" s="230"/>
      <c r="C768" s="230"/>
      <c r="D768" s="230"/>
      <c r="E768" s="230"/>
      <c r="F768" s="230"/>
      <c r="G768" s="230"/>
      <c r="H768" s="230"/>
      <c r="I768" s="230"/>
      <c r="J768" s="230"/>
      <c r="K768" s="230"/>
      <c r="L768" s="230"/>
      <c r="M768" s="230"/>
      <c r="N768" s="230"/>
      <c r="O768" s="230"/>
      <c r="P768" s="230"/>
      <c r="Q768" s="230"/>
      <c r="R768" s="230"/>
      <c r="S768" s="230"/>
      <c r="T768" s="230"/>
      <c r="U768" s="230"/>
      <c r="V768" s="230"/>
      <c r="W768" s="230"/>
      <c r="X768" s="230"/>
      <c r="Y768" s="230"/>
      <c r="Z768" s="230"/>
    </row>
    <row r="769" spans="1:26" ht="15.75" customHeight="1">
      <c r="A769" s="230"/>
      <c r="B769" s="230"/>
      <c r="C769" s="230"/>
      <c r="D769" s="230"/>
      <c r="E769" s="230"/>
      <c r="F769" s="230"/>
      <c r="G769" s="230"/>
      <c r="H769" s="230"/>
      <c r="I769" s="230"/>
      <c r="J769" s="230"/>
      <c r="K769" s="230"/>
      <c r="L769" s="230"/>
      <c r="M769" s="230"/>
      <c r="N769" s="230"/>
      <c r="O769" s="230"/>
      <c r="P769" s="230"/>
      <c r="Q769" s="230"/>
      <c r="R769" s="230"/>
      <c r="S769" s="230"/>
      <c r="T769" s="230"/>
      <c r="U769" s="230"/>
      <c r="V769" s="230"/>
      <c r="W769" s="230"/>
      <c r="X769" s="230"/>
      <c r="Y769" s="230"/>
      <c r="Z769" s="230"/>
    </row>
    <row r="770" spans="1:26" ht="15.75" customHeight="1">
      <c r="A770" s="230"/>
      <c r="B770" s="230"/>
      <c r="C770" s="230"/>
      <c r="D770" s="230"/>
      <c r="E770" s="230"/>
      <c r="F770" s="230"/>
      <c r="G770" s="230"/>
      <c r="H770" s="230"/>
      <c r="I770" s="230"/>
      <c r="J770" s="230"/>
      <c r="K770" s="230"/>
      <c r="L770" s="230"/>
      <c r="M770" s="230"/>
      <c r="N770" s="230"/>
      <c r="O770" s="230"/>
      <c r="P770" s="230"/>
      <c r="Q770" s="230"/>
      <c r="R770" s="230"/>
      <c r="S770" s="230"/>
      <c r="T770" s="230"/>
      <c r="U770" s="230"/>
      <c r="V770" s="230"/>
      <c r="W770" s="230"/>
      <c r="X770" s="230"/>
      <c r="Y770" s="230"/>
      <c r="Z770" s="230"/>
    </row>
    <row r="771" spans="1:26" ht="15.75" customHeight="1">
      <c r="A771" s="230"/>
      <c r="B771" s="230"/>
      <c r="C771" s="230"/>
      <c r="D771" s="230"/>
      <c r="E771" s="230"/>
      <c r="F771" s="230"/>
      <c r="G771" s="230"/>
      <c r="H771" s="230"/>
      <c r="I771" s="230"/>
      <c r="J771" s="230"/>
      <c r="K771" s="230"/>
      <c r="L771" s="230"/>
      <c r="M771" s="230"/>
      <c r="N771" s="230"/>
      <c r="O771" s="230"/>
      <c r="P771" s="230"/>
      <c r="Q771" s="230"/>
      <c r="R771" s="230"/>
      <c r="S771" s="230"/>
      <c r="T771" s="230"/>
      <c r="U771" s="230"/>
      <c r="V771" s="230"/>
      <c r="W771" s="230"/>
      <c r="X771" s="230"/>
      <c r="Y771" s="230"/>
      <c r="Z771" s="230"/>
    </row>
    <row r="772" spans="1:26" ht="15.75" customHeight="1">
      <c r="A772" s="230"/>
      <c r="B772" s="230"/>
      <c r="C772" s="230"/>
      <c r="D772" s="230"/>
      <c r="E772" s="230"/>
      <c r="F772" s="230"/>
      <c r="G772" s="230"/>
      <c r="H772" s="230"/>
      <c r="I772" s="230"/>
      <c r="J772" s="230"/>
      <c r="K772" s="230"/>
      <c r="L772" s="230"/>
      <c r="M772" s="230"/>
      <c r="N772" s="230"/>
      <c r="O772" s="230"/>
      <c r="P772" s="230"/>
      <c r="Q772" s="230"/>
      <c r="R772" s="230"/>
      <c r="S772" s="230"/>
      <c r="T772" s="230"/>
      <c r="U772" s="230"/>
      <c r="V772" s="230"/>
      <c r="W772" s="230"/>
      <c r="X772" s="230"/>
      <c r="Y772" s="230"/>
      <c r="Z772" s="230"/>
    </row>
    <row r="773" spans="1:26" ht="15.75" customHeight="1">
      <c r="A773" s="230"/>
      <c r="B773" s="230"/>
      <c r="C773" s="230"/>
      <c r="D773" s="230"/>
      <c r="E773" s="230"/>
      <c r="F773" s="230"/>
      <c r="G773" s="230"/>
      <c r="H773" s="230"/>
      <c r="I773" s="230"/>
      <c r="J773" s="230"/>
      <c r="K773" s="230"/>
      <c r="L773" s="230"/>
      <c r="M773" s="230"/>
      <c r="N773" s="230"/>
      <c r="O773" s="230"/>
      <c r="P773" s="230"/>
      <c r="Q773" s="230"/>
      <c r="R773" s="230"/>
      <c r="S773" s="230"/>
      <c r="T773" s="230"/>
      <c r="U773" s="230"/>
      <c r="V773" s="230"/>
      <c r="W773" s="230"/>
      <c r="X773" s="230"/>
      <c r="Y773" s="230"/>
      <c r="Z773" s="230"/>
    </row>
    <row r="774" spans="1:26" ht="15.75" customHeight="1">
      <c r="A774" s="230"/>
      <c r="B774" s="230"/>
      <c r="C774" s="230"/>
      <c r="D774" s="230"/>
      <c r="E774" s="230"/>
      <c r="F774" s="230"/>
      <c r="G774" s="230"/>
      <c r="H774" s="230"/>
      <c r="I774" s="230"/>
      <c r="J774" s="230"/>
      <c r="K774" s="230"/>
      <c r="L774" s="230"/>
      <c r="M774" s="230"/>
      <c r="N774" s="230"/>
      <c r="O774" s="230"/>
      <c r="P774" s="230"/>
      <c r="Q774" s="230"/>
      <c r="R774" s="230"/>
      <c r="S774" s="230"/>
      <c r="T774" s="230"/>
      <c r="U774" s="230"/>
      <c r="V774" s="230"/>
      <c r="W774" s="230"/>
      <c r="X774" s="230"/>
      <c r="Y774" s="230"/>
      <c r="Z774" s="230"/>
    </row>
    <row r="775" spans="1:26" ht="15.75" customHeight="1">
      <c r="A775" s="230"/>
      <c r="B775" s="230"/>
      <c r="C775" s="230"/>
      <c r="D775" s="230"/>
      <c r="E775" s="230"/>
      <c r="F775" s="230"/>
      <c r="G775" s="230"/>
      <c r="H775" s="230"/>
      <c r="I775" s="230"/>
      <c r="J775" s="230"/>
      <c r="K775" s="230"/>
      <c r="L775" s="230"/>
      <c r="M775" s="230"/>
      <c r="N775" s="230"/>
      <c r="O775" s="230"/>
      <c r="P775" s="230"/>
      <c r="Q775" s="230"/>
      <c r="R775" s="230"/>
      <c r="S775" s="230"/>
      <c r="T775" s="230"/>
      <c r="U775" s="230"/>
      <c r="V775" s="230"/>
      <c r="W775" s="230"/>
      <c r="X775" s="230"/>
      <c r="Y775" s="230"/>
      <c r="Z775" s="230"/>
    </row>
    <row r="776" spans="1:26" ht="15.75" customHeight="1">
      <c r="A776" s="230"/>
      <c r="B776" s="230"/>
      <c r="C776" s="230"/>
      <c r="D776" s="230"/>
      <c r="E776" s="230"/>
      <c r="F776" s="230"/>
      <c r="G776" s="230"/>
      <c r="H776" s="230"/>
      <c r="I776" s="230"/>
      <c r="J776" s="230"/>
      <c r="K776" s="230"/>
      <c r="L776" s="230"/>
      <c r="M776" s="230"/>
      <c r="N776" s="230"/>
      <c r="O776" s="230"/>
      <c r="P776" s="230"/>
      <c r="Q776" s="230"/>
      <c r="R776" s="230"/>
      <c r="S776" s="230"/>
      <c r="T776" s="230"/>
      <c r="U776" s="230"/>
      <c r="V776" s="230"/>
      <c r="W776" s="230"/>
      <c r="X776" s="230"/>
      <c r="Y776" s="230"/>
      <c r="Z776" s="230"/>
    </row>
    <row r="777" spans="1:26" ht="15.75" customHeight="1">
      <c r="A777" s="230"/>
      <c r="B777" s="230"/>
      <c r="C777" s="230"/>
      <c r="D777" s="230"/>
      <c r="E777" s="230"/>
      <c r="F777" s="230"/>
      <c r="G777" s="230"/>
      <c r="H777" s="230"/>
      <c r="I777" s="230"/>
      <c r="J777" s="230"/>
      <c r="K777" s="230"/>
      <c r="L777" s="230"/>
      <c r="M777" s="230"/>
      <c r="N777" s="230"/>
      <c r="O777" s="230"/>
      <c r="P777" s="230"/>
      <c r="Q777" s="230"/>
      <c r="R777" s="230"/>
      <c r="S777" s="230"/>
      <c r="T777" s="230"/>
      <c r="U777" s="230"/>
      <c r="V777" s="230"/>
      <c r="W777" s="230"/>
      <c r="X777" s="230"/>
      <c r="Y777" s="230"/>
      <c r="Z777" s="230"/>
    </row>
    <row r="778" spans="1:26" ht="15.75" customHeight="1">
      <c r="A778" s="230"/>
      <c r="B778" s="230"/>
      <c r="C778" s="230"/>
      <c r="D778" s="230"/>
      <c r="E778" s="230"/>
      <c r="F778" s="230"/>
      <c r="G778" s="230"/>
      <c r="H778" s="230"/>
      <c r="I778" s="230"/>
      <c r="J778" s="230"/>
      <c r="K778" s="230"/>
      <c r="L778" s="230"/>
      <c r="M778" s="230"/>
      <c r="N778" s="230"/>
      <c r="O778" s="230"/>
      <c r="P778" s="230"/>
      <c r="Q778" s="230"/>
      <c r="R778" s="230"/>
      <c r="S778" s="230"/>
      <c r="T778" s="230"/>
      <c r="U778" s="230"/>
      <c r="V778" s="230"/>
      <c r="W778" s="230"/>
      <c r="X778" s="230"/>
      <c r="Y778" s="230"/>
      <c r="Z778" s="230"/>
    </row>
    <row r="779" spans="1:26" ht="15.75" customHeight="1">
      <c r="A779" s="230"/>
      <c r="B779" s="230"/>
      <c r="C779" s="230"/>
      <c r="D779" s="230"/>
      <c r="E779" s="230"/>
      <c r="F779" s="230"/>
      <c r="G779" s="230"/>
      <c r="H779" s="230"/>
      <c r="I779" s="230"/>
      <c r="J779" s="230"/>
      <c r="K779" s="230"/>
      <c r="L779" s="230"/>
      <c r="M779" s="230"/>
      <c r="N779" s="230"/>
      <c r="O779" s="230"/>
      <c r="P779" s="230"/>
      <c r="Q779" s="230"/>
      <c r="R779" s="230"/>
      <c r="S779" s="230"/>
      <c r="T779" s="230"/>
      <c r="U779" s="230"/>
      <c r="V779" s="230"/>
      <c r="W779" s="230"/>
      <c r="X779" s="230"/>
      <c r="Y779" s="230"/>
      <c r="Z779" s="230"/>
    </row>
    <row r="780" spans="1:26" ht="15.75" customHeight="1">
      <c r="A780" s="230"/>
      <c r="B780" s="230"/>
      <c r="C780" s="230"/>
      <c r="D780" s="230"/>
      <c r="E780" s="230"/>
      <c r="F780" s="230"/>
      <c r="G780" s="230"/>
      <c r="H780" s="230"/>
      <c r="I780" s="230"/>
      <c r="J780" s="230"/>
      <c r="K780" s="230"/>
      <c r="L780" s="230"/>
      <c r="M780" s="230"/>
      <c r="N780" s="230"/>
      <c r="O780" s="230"/>
      <c r="P780" s="230"/>
      <c r="Q780" s="230"/>
      <c r="R780" s="230"/>
      <c r="S780" s="230"/>
      <c r="T780" s="230"/>
      <c r="U780" s="230"/>
      <c r="V780" s="230"/>
      <c r="W780" s="230"/>
      <c r="X780" s="230"/>
      <c r="Y780" s="230"/>
      <c r="Z780" s="230"/>
    </row>
    <row r="781" spans="1:26" ht="15.75" customHeight="1">
      <c r="A781" s="230"/>
      <c r="B781" s="230"/>
      <c r="C781" s="230"/>
      <c r="D781" s="230"/>
      <c r="E781" s="230"/>
      <c r="F781" s="230"/>
      <c r="G781" s="230"/>
      <c r="H781" s="230"/>
      <c r="I781" s="230"/>
      <c r="J781" s="230"/>
      <c r="K781" s="230"/>
      <c r="L781" s="230"/>
      <c r="M781" s="230"/>
      <c r="N781" s="230"/>
      <c r="O781" s="230"/>
      <c r="P781" s="230"/>
      <c r="Q781" s="230"/>
      <c r="R781" s="230"/>
      <c r="S781" s="230"/>
      <c r="T781" s="230"/>
      <c r="U781" s="230"/>
      <c r="V781" s="230"/>
      <c r="W781" s="230"/>
      <c r="X781" s="230"/>
      <c r="Y781" s="230"/>
      <c r="Z781" s="230"/>
    </row>
    <row r="782" spans="1:26" ht="15.75" customHeight="1">
      <c r="A782" s="230"/>
      <c r="B782" s="230"/>
      <c r="C782" s="230"/>
      <c r="D782" s="230"/>
      <c r="E782" s="230"/>
      <c r="F782" s="230"/>
      <c r="G782" s="230"/>
      <c r="H782" s="230"/>
      <c r="I782" s="230"/>
      <c r="J782" s="230"/>
      <c r="K782" s="230"/>
      <c r="L782" s="230"/>
      <c r="M782" s="230"/>
      <c r="N782" s="230"/>
      <c r="O782" s="230"/>
      <c r="P782" s="230"/>
      <c r="Q782" s="230"/>
      <c r="R782" s="230"/>
      <c r="S782" s="230"/>
      <c r="T782" s="230"/>
      <c r="U782" s="230"/>
      <c r="V782" s="230"/>
      <c r="W782" s="230"/>
      <c r="X782" s="230"/>
      <c r="Y782" s="230"/>
      <c r="Z782" s="230"/>
    </row>
    <row r="783" spans="1:26" ht="15.75" customHeight="1">
      <c r="A783" s="230"/>
      <c r="B783" s="230"/>
      <c r="C783" s="230"/>
      <c r="D783" s="230"/>
      <c r="E783" s="230"/>
      <c r="F783" s="230"/>
      <c r="G783" s="230"/>
      <c r="H783" s="230"/>
      <c r="I783" s="230"/>
      <c r="J783" s="230"/>
      <c r="K783" s="230"/>
      <c r="L783" s="230"/>
      <c r="M783" s="230"/>
      <c r="N783" s="230"/>
      <c r="O783" s="230"/>
      <c r="P783" s="230"/>
      <c r="Q783" s="230"/>
      <c r="R783" s="230"/>
      <c r="S783" s="230"/>
      <c r="T783" s="230"/>
      <c r="U783" s="230"/>
      <c r="V783" s="230"/>
      <c r="W783" s="230"/>
      <c r="X783" s="230"/>
      <c r="Y783" s="230"/>
      <c r="Z783" s="230"/>
    </row>
    <row r="784" spans="1:26" ht="15.75" customHeight="1">
      <c r="A784" s="230"/>
      <c r="B784" s="230"/>
      <c r="C784" s="230"/>
      <c r="D784" s="230"/>
      <c r="E784" s="230"/>
      <c r="F784" s="230"/>
      <c r="G784" s="230"/>
      <c r="H784" s="230"/>
      <c r="I784" s="230"/>
      <c r="J784" s="230"/>
      <c r="K784" s="230"/>
      <c r="L784" s="230"/>
      <c r="M784" s="230"/>
      <c r="N784" s="230"/>
      <c r="O784" s="230"/>
      <c r="P784" s="230"/>
      <c r="Q784" s="230"/>
      <c r="R784" s="230"/>
      <c r="S784" s="230"/>
      <c r="T784" s="230"/>
      <c r="U784" s="230"/>
      <c r="V784" s="230"/>
      <c r="W784" s="230"/>
      <c r="X784" s="230"/>
      <c r="Y784" s="230"/>
      <c r="Z784" s="230"/>
    </row>
    <row r="785" spans="1:26" ht="15.75" customHeight="1">
      <c r="A785" s="230"/>
      <c r="B785" s="230"/>
      <c r="C785" s="230"/>
      <c r="D785" s="230"/>
      <c r="E785" s="230"/>
      <c r="F785" s="230"/>
      <c r="G785" s="230"/>
      <c r="H785" s="230"/>
      <c r="I785" s="230"/>
      <c r="J785" s="230"/>
      <c r="K785" s="230"/>
      <c r="L785" s="230"/>
      <c r="M785" s="230"/>
      <c r="N785" s="230"/>
      <c r="O785" s="230"/>
      <c r="P785" s="230"/>
      <c r="Q785" s="230"/>
      <c r="R785" s="230"/>
      <c r="S785" s="230"/>
      <c r="T785" s="230"/>
      <c r="U785" s="230"/>
      <c r="V785" s="230"/>
      <c r="W785" s="230"/>
      <c r="X785" s="230"/>
      <c r="Y785" s="230"/>
      <c r="Z785" s="230"/>
    </row>
    <row r="786" spans="1:26" ht="15.75" customHeight="1">
      <c r="A786" s="230"/>
      <c r="B786" s="230"/>
      <c r="C786" s="230"/>
      <c r="D786" s="230"/>
      <c r="E786" s="230"/>
      <c r="F786" s="230"/>
      <c r="G786" s="230"/>
      <c r="H786" s="230"/>
      <c r="I786" s="230"/>
      <c r="J786" s="230"/>
      <c r="K786" s="230"/>
      <c r="L786" s="230"/>
      <c r="M786" s="230"/>
      <c r="N786" s="230"/>
      <c r="O786" s="230"/>
      <c r="P786" s="230"/>
      <c r="Q786" s="230"/>
      <c r="R786" s="230"/>
      <c r="S786" s="230"/>
      <c r="T786" s="230"/>
      <c r="U786" s="230"/>
      <c r="V786" s="230"/>
      <c r="W786" s="230"/>
      <c r="X786" s="230"/>
      <c r="Y786" s="230"/>
      <c r="Z786" s="230"/>
    </row>
    <row r="787" spans="1:26" ht="15.75" customHeight="1">
      <c r="A787" s="230"/>
      <c r="B787" s="230"/>
      <c r="C787" s="230"/>
      <c r="D787" s="230"/>
      <c r="E787" s="230"/>
      <c r="F787" s="230"/>
      <c r="G787" s="230"/>
      <c r="H787" s="230"/>
      <c r="I787" s="230"/>
      <c r="J787" s="230"/>
      <c r="K787" s="230"/>
      <c r="L787" s="230"/>
      <c r="M787" s="230"/>
      <c r="N787" s="230"/>
      <c r="O787" s="230"/>
      <c r="P787" s="230"/>
      <c r="Q787" s="230"/>
      <c r="R787" s="230"/>
      <c r="S787" s="230"/>
      <c r="T787" s="230"/>
      <c r="U787" s="230"/>
      <c r="V787" s="230"/>
      <c r="W787" s="230"/>
      <c r="X787" s="230"/>
      <c r="Y787" s="230"/>
      <c r="Z787" s="230"/>
    </row>
    <row r="788" spans="1:26" ht="15.75" customHeight="1">
      <c r="A788" s="230"/>
      <c r="B788" s="230"/>
      <c r="C788" s="230"/>
      <c r="D788" s="230"/>
      <c r="E788" s="230"/>
      <c r="F788" s="230"/>
      <c r="G788" s="230"/>
      <c r="H788" s="230"/>
      <c r="I788" s="230"/>
      <c r="J788" s="230"/>
      <c r="K788" s="230"/>
      <c r="L788" s="230"/>
      <c r="M788" s="230"/>
      <c r="N788" s="230"/>
      <c r="O788" s="230"/>
      <c r="P788" s="230"/>
      <c r="Q788" s="230"/>
      <c r="R788" s="230"/>
      <c r="S788" s="230"/>
      <c r="T788" s="230"/>
      <c r="U788" s="230"/>
      <c r="V788" s="230"/>
      <c r="W788" s="230"/>
      <c r="X788" s="230"/>
      <c r="Y788" s="230"/>
      <c r="Z788" s="230"/>
    </row>
    <row r="789" spans="1:26" ht="15.75" customHeight="1">
      <c r="A789" s="230"/>
      <c r="B789" s="230"/>
      <c r="C789" s="230"/>
      <c r="D789" s="230"/>
      <c r="E789" s="230"/>
      <c r="F789" s="230"/>
      <c r="G789" s="230"/>
      <c r="H789" s="230"/>
      <c r="I789" s="230"/>
      <c r="J789" s="230"/>
      <c r="K789" s="230"/>
      <c r="L789" s="230"/>
      <c r="M789" s="230"/>
      <c r="N789" s="230"/>
      <c r="O789" s="230"/>
      <c r="P789" s="230"/>
      <c r="Q789" s="230"/>
      <c r="R789" s="230"/>
      <c r="S789" s="230"/>
      <c r="T789" s="230"/>
      <c r="U789" s="230"/>
      <c r="V789" s="230"/>
      <c r="W789" s="230"/>
      <c r="X789" s="230"/>
      <c r="Y789" s="230"/>
      <c r="Z789" s="230"/>
    </row>
    <row r="790" spans="1:26" ht="15.75" customHeight="1">
      <c r="A790" s="230"/>
      <c r="B790" s="230"/>
      <c r="C790" s="230"/>
      <c r="D790" s="230"/>
      <c r="E790" s="230"/>
      <c r="F790" s="230"/>
      <c r="G790" s="230"/>
      <c r="H790" s="230"/>
      <c r="I790" s="230"/>
      <c r="J790" s="230"/>
      <c r="K790" s="230"/>
      <c r="L790" s="230"/>
      <c r="M790" s="230"/>
      <c r="N790" s="230"/>
      <c r="O790" s="230"/>
      <c r="P790" s="230"/>
      <c r="Q790" s="230"/>
      <c r="R790" s="230"/>
      <c r="S790" s="230"/>
      <c r="T790" s="230"/>
      <c r="U790" s="230"/>
      <c r="V790" s="230"/>
      <c r="W790" s="230"/>
      <c r="X790" s="230"/>
      <c r="Y790" s="230"/>
      <c r="Z790" s="230"/>
    </row>
    <row r="791" spans="1:26" ht="15.75" customHeight="1">
      <c r="A791" s="230"/>
      <c r="B791" s="230"/>
      <c r="C791" s="230"/>
      <c r="D791" s="230"/>
      <c r="E791" s="230"/>
      <c r="F791" s="230"/>
      <c r="G791" s="230"/>
      <c r="H791" s="230"/>
      <c r="I791" s="230"/>
      <c r="J791" s="230"/>
      <c r="K791" s="230"/>
      <c r="L791" s="230"/>
      <c r="M791" s="230"/>
      <c r="N791" s="230"/>
      <c r="O791" s="230"/>
      <c r="P791" s="230"/>
      <c r="Q791" s="230"/>
      <c r="R791" s="230"/>
      <c r="S791" s="230"/>
      <c r="T791" s="230"/>
      <c r="U791" s="230"/>
      <c r="V791" s="230"/>
      <c r="W791" s="230"/>
      <c r="X791" s="230"/>
      <c r="Y791" s="230"/>
      <c r="Z791" s="230"/>
    </row>
    <row r="792" spans="1:26" ht="15.75" customHeight="1">
      <c r="A792" s="230"/>
      <c r="B792" s="230"/>
      <c r="C792" s="230"/>
      <c r="D792" s="230"/>
      <c r="E792" s="230"/>
      <c r="F792" s="230"/>
      <c r="G792" s="230"/>
      <c r="H792" s="230"/>
      <c r="I792" s="230"/>
      <c r="J792" s="230"/>
      <c r="K792" s="230"/>
      <c r="L792" s="230"/>
      <c r="M792" s="230"/>
      <c r="N792" s="230"/>
      <c r="O792" s="230"/>
      <c r="P792" s="230"/>
      <c r="Q792" s="230"/>
      <c r="R792" s="230"/>
      <c r="S792" s="230"/>
      <c r="T792" s="230"/>
      <c r="U792" s="230"/>
      <c r="V792" s="230"/>
      <c r="W792" s="230"/>
      <c r="X792" s="230"/>
      <c r="Y792" s="230"/>
      <c r="Z792" s="230"/>
    </row>
    <row r="793" spans="1:26" ht="15.75" customHeight="1">
      <c r="A793" s="230"/>
      <c r="B793" s="230"/>
      <c r="C793" s="230"/>
      <c r="D793" s="230"/>
      <c r="E793" s="230"/>
      <c r="F793" s="230"/>
      <c r="G793" s="230"/>
      <c r="H793" s="230"/>
      <c r="I793" s="230"/>
      <c r="J793" s="230"/>
      <c r="K793" s="230"/>
      <c r="L793" s="230"/>
      <c r="M793" s="230"/>
      <c r="N793" s="230"/>
      <c r="O793" s="230"/>
      <c r="P793" s="230"/>
      <c r="Q793" s="230"/>
      <c r="R793" s="230"/>
      <c r="S793" s="230"/>
      <c r="T793" s="230"/>
      <c r="U793" s="230"/>
      <c r="V793" s="230"/>
      <c r="W793" s="230"/>
      <c r="X793" s="230"/>
      <c r="Y793" s="230"/>
      <c r="Z793" s="230"/>
    </row>
    <row r="794" spans="1:26" ht="15.75" customHeight="1">
      <c r="A794" s="230"/>
      <c r="B794" s="230"/>
      <c r="C794" s="230"/>
      <c r="D794" s="230"/>
      <c r="E794" s="230"/>
      <c r="F794" s="230"/>
      <c r="G794" s="230"/>
      <c r="H794" s="230"/>
      <c r="I794" s="230"/>
      <c r="J794" s="230"/>
      <c r="K794" s="230"/>
      <c r="L794" s="230"/>
      <c r="M794" s="230"/>
      <c r="N794" s="230"/>
      <c r="O794" s="230"/>
      <c r="P794" s="230"/>
      <c r="Q794" s="230"/>
      <c r="R794" s="230"/>
      <c r="S794" s="230"/>
      <c r="T794" s="230"/>
      <c r="U794" s="230"/>
      <c r="V794" s="230"/>
      <c r="W794" s="230"/>
      <c r="X794" s="230"/>
      <c r="Y794" s="230"/>
      <c r="Z794" s="230"/>
    </row>
    <row r="795" spans="1:26" ht="15.75" customHeight="1">
      <c r="A795" s="230"/>
      <c r="B795" s="230"/>
      <c r="C795" s="230"/>
      <c r="D795" s="230"/>
      <c r="E795" s="230"/>
      <c r="F795" s="230"/>
      <c r="G795" s="230"/>
      <c r="H795" s="230"/>
      <c r="I795" s="230"/>
      <c r="J795" s="230"/>
      <c r="K795" s="230"/>
      <c r="L795" s="230"/>
      <c r="M795" s="230"/>
      <c r="N795" s="230"/>
      <c r="O795" s="230"/>
      <c r="P795" s="230"/>
      <c r="Q795" s="230"/>
      <c r="R795" s="230"/>
      <c r="S795" s="230"/>
      <c r="T795" s="230"/>
      <c r="U795" s="230"/>
      <c r="V795" s="230"/>
      <c r="W795" s="230"/>
      <c r="X795" s="230"/>
      <c r="Y795" s="230"/>
      <c r="Z795" s="230"/>
    </row>
    <row r="796" spans="1:26" ht="15.75" customHeight="1">
      <c r="A796" s="230"/>
      <c r="B796" s="230"/>
      <c r="C796" s="230"/>
      <c r="D796" s="230"/>
      <c r="E796" s="230"/>
      <c r="F796" s="230"/>
      <c r="G796" s="230"/>
      <c r="H796" s="230"/>
      <c r="I796" s="230"/>
      <c r="J796" s="230"/>
      <c r="K796" s="230"/>
      <c r="L796" s="230"/>
      <c r="M796" s="230"/>
      <c r="N796" s="230"/>
      <c r="O796" s="230"/>
      <c r="P796" s="230"/>
      <c r="Q796" s="230"/>
      <c r="R796" s="230"/>
      <c r="S796" s="230"/>
      <c r="T796" s="230"/>
      <c r="U796" s="230"/>
      <c r="V796" s="230"/>
      <c r="W796" s="230"/>
      <c r="X796" s="230"/>
      <c r="Y796" s="230"/>
      <c r="Z796" s="230"/>
    </row>
    <row r="797" spans="1:26" ht="15.75" customHeight="1">
      <c r="A797" s="230"/>
      <c r="B797" s="230"/>
      <c r="C797" s="230"/>
      <c r="D797" s="230"/>
      <c r="E797" s="230"/>
      <c r="F797" s="230"/>
      <c r="G797" s="230"/>
      <c r="H797" s="230"/>
      <c r="I797" s="230"/>
      <c r="J797" s="230"/>
      <c r="K797" s="230"/>
      <c r="L797" s="230"/>
      <c r="M797" s="230"/>
      <c r="N797" s="230"/>
      <c r="O797" s="230"/>
      <c r="P797" s="230"/>
      <c r="Q797" s="230"/>
      <c r="R797" s="230"/>
      <c r="S797" s="230"/>
      <c r="T797" s="230"/>
      <c r="U797" s="230"/>
      <c r="V797" s="230"/>
      <c r="W797" s="230"/>
      <c r="X797" s="230"/>
      <c r="Y797" s="230"/>
      <c r="Z797" s="230"/>
    </row>
    <row r="798" spans="1:26" ht="15.75" customHeight="1">
      <c r="A798" s="230"/>
      <c r="B798" s="230"/>
      <c r="C798" s="230"/>
      <c r="D798" s="230"/>
      <c r="E798" s="230"/>
      <c r="F798" s="230"/>
      <c r="G798" s="230"/>
      <c r="H798" s="230"/>
      <c r="I798" s="230"/>
      <c r="J798" s="230"/>
      <c r="K798" s="230"/>
      <c r="L798" s="230"/>
      <c r="M798" s="230"/>
      <c r="N798" s="230"/>
      <c r="O798" s="230"/>
      <c r="P798" s="230"/>
      <c r="Q798" s="230"/>
      <c r="R798" s="230"/>
      <c r="S798" s="230"/>
      <c r="T798" s="230"/>
      <c r="U798" s="230"/>
      <c r="V798" s="230"/>
      <c r="W798" s="230"/>
      <c r="X798" s="230"/>
      <c r="Y798" s="230"/>
      <c r="Z798" s="230"/>
    </row>
    <row r="799" spans="1:26" ht="15.75" customHeight="1">
      <c r="A799" s="230"/>
      <c r="B799" s="230"/>
      <c r="C799" s="230"/>
      <c r="D799" s="230"/>
      <c r="E799" s="230"/>
      <c r="F799" s="230"/>
      <c r="G799" s="230"/>
      <c r="H799" s="230"/>
      <c r="I799" s="230"/>
      <c r="J799" s="230"/>
      <c r="K799" s="230"/>
      <c r="L799" s="230"/>
      <c r="M799" s="230"/>
      <c r="N799" s="230"/>
      <c r="O799" s="230"/>
      <c r="P799" s="230"/>
      <c r="Q799" s="230"/>
      <c r="R799" s="230"/>
      <c r="S799" s="230"/>
      <c r="T799" s="230"/>
      <c r="U799" s="230"/>
      <c r="V799" s="230"/>
      <c r="W799" s="230"/>
      <c r="X799" s="230"/>
      <c r="Y799" s="230"/>
      <c r="Z799" s="230"/>
    </row>
    <row r="800" spans="1:26" ht="15.75" customHeight="1">
      <c r="A800" s="230"/>
      <c r="B800" s="230"/>
      <c r="C800" s="230"/>
      <c r="D800" s="230"/>
      <c r="E800" s="230"/>
      <c r="F800" s="230"/>
      <c r="G800" s="230"/>
      <c r="H800" s="230"/>
      <c r="I800" s="230"/>
      <c r="J800" s="230"/>
      <c r="K800" s="230"/>
      <c r="L800" s="230"/>
      <c r="M800" s="230"/>
      <c r="N800" s="230"/>
      <c r="O800" s="230"/>
      <c r="P800" s="230"/>
      <c r="Q800" s="230"/>
      <c r="R800" s="230"/>
      <c r="S800" s="230"/>
      <c r="T800" s="230"/>
      <c r="U800" s="230"/>
      <c r="V800" s="230"/>
      <c r="W800" s="230"/>
      <c r="X800" s="230"/>
      <c r="Y800" s="230"/>
      <c r="Z800" s="230"/>
    </row>
    <row r="801" spans="1:26" ht="15.75" customHeight="1">
      <c r="A801" s="230"/>
      <c r="B801" s="230"/>
      <c r="C801" s="230"/>
      <c r="D801" s="230"/>
      <c r="E801" s="230"/>
      <c r="F801" s="230"/>
      <c r="G801" s="230"/>
      <c r="H801" s="230"/>
      <c r="I801" s="230"/>
      <c r="J801" s="230"/>
      <c r="K801" s="230"/>
      <c r="L801" s="230"/>
      <c r="M801" s="230"/>
      <c r="N801" s="230"/>
      <c r="O801" s="230"/>
      <c r="P801" s="230"/>
      <c r="Q801" s="230"/>
      <c r="R801" s="230"/>
      <c r="S801" s="230"/>
      <c r="T801" s="230"/>
      <c r="U801" s="230"/>
      <c r="V801" s="230"/>
      <c r="W801" s="230"/>
      <c r="X801" s="230"/>
      <c r="Y801" s="230"/>
      <c r="Z801" s="230"/>
    </row>
    <row r="802" spans="1:26" ht="15.75" customHeight="1">
      <c r="A802" s="230"/>
      <c r="B802" s="230"/>
      <c r="C802" s="230"/>
      <c r="D802" s="230"/>
      <c r="E802" s="230"/>
      <c r="F802" s="230"/>
      <c r="G802" s="230"/>
      <c r="H802" s="230"/>
      <c r="I802" s="230"/>
      <c r="J802" s="230"/>
      <c r="K802" s="230"/>
      <c r="L802" s="230"/>
      <c r="M802" s="230"/>
      <c r="N802" s="230"/>
      <c r="O802" s="230"/>
      <c r="P802" s="230"/>
      <c r="Q802" s="230"/>
      <c r="R802" s="230"/>
      <c r="S802" s="230"/>
      <c r="T802" s="230"/>
      <c r="U802" s="230"/>
      <c r="V802" s="230"/>
      <c r="W802" s="230"/>
      <c r="X802" s="230"/>
      <c r="Y802" s="230"/>
      <c r="Z802" s="230"/>
    </row>
    <row r="803" spans="1:26" ht="15.75" customHeight="1">
      <c r="A803" s="230"/>
      <c r="B803" s="230"/>
      <c r="C803" s="230"/>
      <c r="D803" s="230"/>
      <c r="E803" s="230"/>
      <c r="F803" s="230"/>
      <c r="G803" s="230"/>
      <c r="H803" s="230"/>
      <c r="I803" s="230"/>
      <c r="J803" s="230"/>
      <c r="K803" s="230"/>
      <c r="L803" s="230"/>
      <c r="M803" s="230"/>
      <c r="N803" s="230"/>
      <c r="O803" s="230"/>
      <c r="P803" s="230"/>
      <c r="Q803" s="230"/>
      <c r="R803" s="230"/>
      <c r="S803" s="230"/>
      <c r="T803" s="230"/>
      <c r="U803" s="230"/>
      <c r="V803" s="230"/>
      <c r="W803" s="230"/>
      <c r="X803" s="230"/>
      <c r="Y803" s="230"/>
      <c r="Z803" s="230"/>
    </row>
    <row r="804" spans="1:26" ht="15.75" customHeight="1">
      <c r="A804" s="230"/>
      <c r="B804" s="230"/>
      <c r="C804" s="230"/>
      <c r="D804" s="230"/>
      <c r="E804" s="230"/>
      <c r="F804" s="230"/>
      <c r="G804" s="230"/>
      <c r="H804" s="230"/>
      <c r="I804" s="230"/>
      <c r="J804" s="230"/>
      <c r="K804" s="230"/>
      <c r="L804" s="230"/>
      <c r="M804" s="230"/>
      <c r="N804" s="230"/>
      <c r="O804" s="230"/>
      <c r="P804" s="230"/>
      <c r="Q804" s="230"/>
      <c r="R804" s="230"/>
      <c r="S804" s="230"/>
      <c r="T804" s="230"/>
      <c r="U804" s="230"/>
      <c r="V804" s="230"/>
      <c r="W804" s="230"/>
      <c r="X804" s="230"/>
      <c r="Y804" s="230"/>
      <c r="Z804" s="230"/>
    </row>
    <row r="805" spans="1:26" ht="15.75" customHeight="1">
      <c r="A805" s="230"/>
      <c r="B805" s="230"/>
      <c r="C805" s="230"/>
      <c r="D805" s="230"/>
      <c r="E805" s="230"/>
      <c r="F805" s="230"/>
      <c r="G805" s="230"/>
      <c r="H805" s="230"/>
      <c r="I805" s="230"/>
      <c r="J805" s="230"/>
      <c r="K805" s="230"/>
      <c r="L805" s="230"/>
      <c r="M805" s="230"/>
      <c r="N805" s="230"/>
      <c r="O805" s="230"/>
      <c r="P805" s="230"/>
      <c r="Q805" s="230"/>
      <c r="R805" s="230"/>
      <c r="S805" s="230"/>
      <c r="T805" s="230"/>
      <c r="U805" s="230"/>
      <c r="V805" s="230"/>
      <c r="W805" s="230"/>
      <c r="X805" s="230"/>
      <c r="Y805" s="230"/>
      <c r="Z805" s="230"/>
    </row>
    <row r="806" spans="1:26" ht="15.75" customHeight="1">
      <c r="A806" s="230"/>
      <c r="B806" s="230"/>
      <c r="C806" s="230"/>
      <c r="D806" s="230"/>
      <c r="E806" s="230"/>
      <c r="F806" s="230"/>
      <c r="G806" s="230"/>
      <c r="H806" s="230"/>
      <c r="I806" s="230"/>
      <c r="J806" s="230"/>
      <c r="K806" s="230"/>
      <c r="L806" s="230"/>
      <c r="M806" s="230"/>
      <c r="N806" s="230"/>
      <c r="O806" s="230"/>
      <c r="P806" s="230"/>
      <c r="Q806" s="230"/>
      <c r="R806" s="230"/>
      <c r="S806" s="230"/>
      <c r="T806" s="230"/>
      <c r="U806" s="230"/>
      <c r="V806" s="230"/>
      <c r="W806" s="230"/>
      <c r="X806" s="230"/>
      <c r="Y806" s="230"/>
      <c r="Z806" s="230"/>
    </row>
    <row r="807" spans="1:26" ht="15.75" customHeight="1">
      <c r="A807" s="230"/>
      <c r="B807" s="230"/>
      <c r="C807" s="230"/>
      <c r="D807" s="230"/>
      <c r="E807" s="230"/>
      <c r="F807" s="230"/>
      <c r="G807" s="230"/>
      <c r="H807" s="230"/>
      <c r="I807" s="230"/>
      <c r="J807" s="230"/>
      <c r="K807" s="230"/>
      <c r="L807" s="230"/>
      <c r="M807" s="230"/>
      <c r="N807" s="230"/>
      <c r="O807" s="230"/>
      <c r="P807" s="230"/>
      <c r="Q807" s="230"/>
      <c r="R807" s="230"/>
      <c r="S807" s="230"/>
      <c r="T807" s="230"/>
      <c r="U807" s="230"/>
      <c r="V807" s="230"/>
      <c r="W807" s="230"/>
      <c r="X807" s="230"/>
      <c r="Y807" s="230"/>
      <c r="Z807" s="230"/>
    </row>
    <row r="808" spans="1:26" ht="15.75" customHeight="1">
      <c r="A808" s="230"/>
      <c r="B808" s="230"/>
      <c r="C808" s="230"/>
      <c r="D808" s="230"/>
      <c r="E808" s="230"/>
      <c r="F808" s="230"/>
      <c r="G808" s="230"/>
      <c r="H808" s="230"/>
      <c r="I808" s="230"/>
      <c r="J808" s="230"/>
      <c r="K808" s="230"/>
      <c r="L808" s="230"/>
      <c r="M808" s="230"/>
      <c r="N808" s="230"/>
      <c r="O808" s="230"/>
      <c r="P808" s="230"/>
      <c r="Q808" s="230"/>
      <c r="R808" s="230"/>
      <c r="S808" s="230"/>
      <c r="T808" s="230"/>
      <c r="U808" s="230"/>
      <c r="V808" s="230"/>
      <c r="W808" s="230"/>
      <c r="X808" s="230"/>
      <c r="Y808" s="230"/>
      <c r="Z808" s="230"/>
    </row>
    <row r="809" spans="1:26" ht="15.75" customHeight="1">
      <c r="A809" s="230"/>
      <c r="B809" s="230"/>
      <c r="C809" s="230"/>
      <c r="D809" s="230"/>
      <c r="E809" s="230"/>
      <c r="F809" s="230"/>
      <c r="G809" s="230"/>
      <c r="H809" s="230"/>
      <c r="I809" s="230"/>
      <c r="J809" s="230"/>
      <c r="K809" s="230"/>
      <c r="L809" s="230"/>
      <c r="M809" s="230"/>
      <c r="N809" s="230"/>
      <c r="O809" s="230"/>
      <c r="P809" s="230"/>
      <c r="Q809" s="230"/>
      <c r="R809" s="230"/>
      <c r="S809" s="230"/>
      <c r="T809" s="230"/>
      <c r="U809" s="230"/>
      <c r="V809" s="230"/>
      <c r="W809" s="230"/>
      <c r="X809" s="230"/>
      <c r="Y809" s="230"/>
      <c r="Z809" s="230"/>
    </row>
    <row r="810" spans="1:26" ht="15.75" customHeight="1">
      <c r="A810" s="230"/>
      <c r="B810" s="230"/>
      <c r="C810" s="230"/>
      <c r="D810" s="230"/>
      <c r="E810" s="230"/>
      <c r="F810" s="230"/>
      <c r="G810" s="230"/>
      <c r="H810" s="230"/>
      <c r="I810" s="230"/>
      <c r="J810" s="230"/>
      <c r="K810" s="230"/>
      <c r="L810" s="230"/>
      <c r="M810" s="230"/>
      <c r="N810" s="230"/>
      <c r="O810" s="230"/>
      <c r="P810" s="230"/>
      <c r="Q810" s="230"/>
      <c r="R810" s="230"/>
      <c r="S810" s="230"/>
      <c r="T810" s="230"/>
      <c r="U810" s="230"/>
      <c r="V810" s="230"/>
      <c r="W810" s="230"/>
      <c r="X810" s="230"/>
      <c r="Y810" s="230"/>
      <c r="Z810" s="230"/>
    </row>
    <row r="811" spans="1:26" ht="15.75" customHeight="1">
      <c r="A811" s="230"/>
      <c r="B811" s="230"/>
      <c r="C811" s="230"/>
      <c r="D811" s="230"/>
      <c r="E811" s="230"/>
      <c r="F811" s="230"/>
      <c r="G811" s="230"/>
      <c r="H811" s="230"/>
      <c r="I811" s="230"/>
      <c r="J811" s="230"/>
      <c r="K811" s="230"/>
      <c r="L811" s="230"/>
      <c r="M811" s="230"/>
      <c r="N811" s="230"/>
      <c r="O811" s="230"/>
      <c r="P811" s="230"/>
      <c r="Q811" s="230"/>
      <c r="R811" s="230"/>
      <c r="S811" s="230"/>
      <c r="T811" s="230"/>
      <c r="U811" s="230"/>
      <c r="V811" s="230"/>
      <c r="W811" s="230"/>
      <c r="X811" s="230"/>
      <c r="Y811" s="230"/>
      <c r="Z811" s="230"/>
    </row>
    <row r="812" spans="1:26" ht="15.75" customHeight="1">
      <c r="A812" s="230"/>
      <c r="B812" s="230"/>
      <c r="C812" s="230"/>
      <c r="D812" s="230"/>
      <c r="E812" s="230"/>
      <c r="F812" s="230"/>
      <c r="G812" s="230"/>
      <c r="H812" s="230"/>
      <c r="I812" s="230"/>
      <c r="J812" s="230"/>
      <c r="K812" s="230"/>
      <c r="L812" s="230"/>
      <c r="M812" s="230"/>
      <c r="N812" s="230"/>
      <c r="O812" s="230"/>
      <c r="P812" s="230"/>
      <c r="Q812" s="230"/>
      <c r="R812" s="230"/>
      <c r="S812" s="230"/>
      <c r="T812" s="230"/>
      <c r="U812" s="230"/>
      <c r="V812" s="230"/>
      <c r="W812" s="230"/>
      <c r="X812" s="230"/>
      <c r="Y812" s="230"/>
      <c r="Z812" s="230"/>
    </row>
    <row r="813" spans="1:26" ht="15.75" customHeight="1">
      <c r="A813" s="230"/>
      <c r="B813" s="230"/>
      <c r="C813" s="230"/>
      <c r="D813" s="230"/>
      <c r="E813" s="230"/>
      <c r="F813" s="230"/>
      <c r="G813" s="230"/>
      <c r="H813" s="230"/>
      <c r="I813" s="230"/>
      <c r="J813" s="230"/>
      <c r="K813" s="230"/>
      <c r="L813" s="230"/>
      <c r="M813" s="230"/>
      <c r="N813" s="230"/>
      <c r="O813" s="230"/>
      <c r="P813" s="230"/>
      <c r="Q813" s="230"/>
      <c r="R813" s="230"/>
      <c r="S813" s="230"/>
      <c r="T813" s="230"/>
      <c r="U813" s="230"/>
      <c r="V813" s="230"/>
      <c r="W813" s="230"/>
      <c r="X813" s="230"/>
      <c r="Y813" s="230"/>
      <c r="Z813" s="230"/>
    </row>
    <row r="814" spans="1:26" ht="15.75" customHeight="1">
      <c r="A814" s="230"/>
      <c r="B814" s="230"/>
      <c r="C814" s="230"/>
      <c r="D814" s="230"/>
      <c r="E814" s="230"/>
      <c r="F814" s="230"/>
      <c r="G814" s="230"/>
      <c r="H814" s="230"/>
      <c r="I814" s="230"/>
      <c r="J814" s="230"/>
      <c r="K814" s="230"/>
      <c r="L814" s="230"/>
      <c r="M814" s="230"/>
      <c r="N814" s="230"/>
      <c r="O814" s="230"/>
      <c r="P814" s="230"/>
      <c r="Q814" s="230"/>
      <c r="R814" s="230"/>
      <c r="S814" s="230"/>
      <c r="T814" s="230"/>
      <c r="U814" s="230"/>
      <c r="V814" s="230"/>
      <c r="W814" s="230"/>
      <c r="X814" s="230"/>
      <c r="Y814" s="230"/>
      <c r="Z814" s="230"/>
    </row>
    <row r="815" spans="1:26" ht="15.75" customHeight="1">
      <c r="A815" s="230"/>
      <c r="B815" s="230"/>
      <c r="C815" s="230"/>
      <c r="D815" s="230"/>
      <c r="E815" s="230"/>
      <c r="F815" s="230"/>
      <c r="G815" s="230"/>
      <c r="H815" s="230"/>
      <c r="I815" s="230"/>
      <c r="J815" s="230"/>
      <c r="K815" s="230"/>
      <c r="L815" s="230"/>
      <c r="M815" s="230"/>
      <c r="N815" s="230"/>
      <c r="O815" s="230"/>
      <c r="P815" s="230"/>
      <c r="Q815" s="230"/>
      <c r="R815" s="230"/>
      <c r="S815" s="230"/>
      <c r="T815" s="230"/>
      <c r="U815" s="230"/>
      <c r="V815" s="230"/>
      <c r="W815" s="230"/>
      <c r="X815" s="230"/>
      <c r="Y815" s="230"/>
      <c r="Z815" s="230"/>
    </row>
    <row r="816" spans="1:26" ht="15.75" customHeight="1">
      <c r="A816" s="230"/>
      <c r="B816" s="230"/>
      <c r="C816" s="230"/>
      <c r="D816" s="230"/>
      <c r="E816" s="230"/>
      <c r="F816" s="230"/>
      <c r="G816" s="230"/>
      <c r="H816" s="230"/>
      <c r="I816" s="230"/>
      <c r="J816" s="230"/>
      <c r="K816" s="230"/>
      <c r="L816" s="230"/>
      <c r="M816" s="230"/>
      <c r="N816" s="230"/>
      <c r="O816" s="230"/>
      <c r="P816" s="230"/>
      <c r="Q816" s="230"/>
      <c r="R816" s="230"/>
      <c r="S816" s="230"/>
      <c r="T816" s="230"/>
      <c r="U816" s="230"/>
      <c r="V816" s="230"/>
      <c r="W816" s="230"/>
      <c r="X816" s="230"/>
      <c r="Y816" s="230"/>
      <c r="Z816" s="230"/>
    </row>
    <row r="817" spans="1:26" ht="15.75" customHeight="1">
      <c r="A817" s="230"/>
      <c r="B817" s="230"/>
      <c r="C817" s="230"/>
      <c r="D817" s="230"/>
      <c r="E817" s="230"/>
      <c r="F817" s="230"/>
      <c r="G817" s="230"/>
      <c r="H817" s="230"/>
      <c r="I817" s="230"/>
      <c r="J817" s="230"/>
      <c r="K817" s="230"/>
      <c r="L817" s="230"/>
      <c r="M817" s="230"/>
      <c r="N817" s="230"/>
      <c r="O817" s="230"/>
      <c r="P817" s="230"/>
      <c r="Q817" s="230"/>
      <c r="R817" s="230"/>
      <c r="S817" s="230"/>
      <c r="T817" s="230"/>
      <c r="U817" s="230"/>
      <c r="V817" s="230"/>
      <c r="W817" s="230"/>
      <c r="X817" s="230"/>
      <c r="Y817" s="230"/>
      <c r="Z817" s="230"/>
    </row>
    <row r="818" spans="1:26" ht="15.75" customHeight="1">
      <c r="A818" s="230"/>
      <c r="B818" s="230"/>
      <c r="C818" s="230"/>
      <c r="D818" s="230"/>
      <c r="E818" s="230"/>
      <c r="F818" s="230"/>
      <c r="G818" s="230"/>
      <c r="H818" s="230"/>
      <c r="I818" s="230"/>
      <c r="J818" s="230"/>
      <c r="K818" s="230"/>
      <c r="L818" s="230"/>
      <c r="M818" s="230"/>
      <c r="N818" s="230"/>
      <c r="O818" s="230"/>
      <c r="P818" s="230"/>
      <c r="Q818" s="230"/>
      <c r="R818" s="230"/>
      <c r="S818" s="230"/>
      <c r="T818" s="230"/>
      <c r="U818" s="230"/>
      <c r="V818" s="230"/>
      <c r="W818" s="230"/>
      <c r="X818" s="230"/>
      <c r="Y818" s="230"/>
      <c r="Z818" s="230"/>
    </row>
    <row r="819" spans="1:26" ht="15.75" customHeight="1">
      <c r="A819" s="230"/>
      <c r="B819" s="230"/>
      <c r="C819" s="230"/>
      <c r="D819" s="230"/>
      <c r="E819" s="230"/>
      <c r="F819" s="230"/>
      <c r="G819" s="230"/>
      <c r="H819" s="230"/>
      <c r="I819" s="230"/>
      <c r="J819" s="230"/>
      <c r="K819" s="230"/>
      <c r="L819" s="230"/>
      <c r="M819" s="230"/>
      <c r="N819" s="230"/>
      <c r="O819" s="230"/>
      <c r="P819" s="230"/>
      <c r="Q819" s="230"/>
      <c r="R819" s="230"/>
      <c r="S819" s="230"/>
      <c r="T819" s="230"/>
      <c r="U819" s="230"/>
      <c r="V819" s="230"/>
      <c r="W819" s="230"/>
      <c r="X819" s="230"/>
      <c r="Y819" s="230"/>
      <c r="Z819" s="230"/>
    </row>
    <row r="820" spans="1:26" ht="15.75" customHeight="1">
      <c r="A820" s="230"/>
      <c r="B820" s="230"/>
      <c r="C820" s="230"/>
      <c r="D820" s="230"/>
      <c r="E820" s="230"/>
      <c r="F820" s="230"/>
      <c r="G820" s="230"/>
      <c r="H820" s="230"/>
      <c r="I820" s="230"/>
      <c r="J820" s="230"/>
      <c r="K820" s="230"/>
      <c r="L820" s="230"/>
      <c r="M820" s="230"/>
      <c r="N820" s="230"/>
      <c r="O820" s="230"/>
      <c r="P820" s="230"/>
      <c r="Q820" s="230"/>
      <c r="R820" s="230"/>
      <c r="S820" s="230"/>
      <c r="T820" s="230"/>
      <c r="U820" s="230"/>
      <c r="V820" s="230"/>
      <c r="W820" s="230"/>
      <c r="X820" s="230"/>
      <c r="Y820" s="230"/>
      <c r="Z820" s="230"/>
    </row>
    <row r="821" spans="1:26" ht="15.75" customHeight="1">
      <c r="A821" s="230"/>
      <c r="B821" s="230"/>
      <c r="C821" s="230"/>
      <c r="D821" s="230"/>
      <c r="E821" s="230"/>
      <c r="F821" s="230"/>
      <c r="G821" s="230"/>
      <c r="H821" s="230"/>
      <c r="I821" s="230"/>
      <c r="J821" s="230"/>
      <c r="K821" s="230"/>
      <c r="L821" s="230"/>
      <c r="M821" s="230"/>
      <c r="N821" s="230"/>
      <c r="O821" s="230"/>
      <c r="P821" s="230"/>
      <c r="Q821" s="230"/>
      <c r="R821" s="230"/>
      <c r="S821" s="230"/>
      <c r="T821" s="230"/>
      <c r="U821" s="230"/>
      <c r="V821" s="230"/>
      <c r="W821" s="230"/>
      <c r="X821" s="230"/>
      <c r="Y821" s="230"/>
      <c r="Z821" s="230"/>
    </row>
    <row r="822" spans="1:26" ht="15.75" customHeight="1">
      <c r="A822" s="230"/>
      <c r="B822" s="230"/>
      <c r="C822" s="230"/>
      <c r="D822" s="230"/>
      <c r="E822" s="230"/>
      <c r="F822" s="230"/>
      <c r="G822" s="230"/>
      <c r="H822" s="230"/>
      <c r="I822" s="230"/>
      <c r="J822" s="230"/>
      <c r="K822" s="230"/>
      <c r="L822" s="230"/>
      <c r="M822" s="230"/>
      <c r="N822" s="230"/>
      <c r="O822" s="230"/>
      <c r="P822" s="230"/>
      <c r="Q822" s="230"/>
      <c r="R822" s="230"/>
      <c r="S822" s="230"/>
      <c r="T822" s="230"/>
      <c r="U822" s="230"/>
      <c r="V822" s="230"/>
      <c r="W822" s="230"/>
      <c r="X822" s="230"/>
      <c r="Y822" s="230"/>
      <c r="Z822" s="230"/>
    </row>
    <row r="823" spans="1:26" ht="15.75" customHeight="1">
      <c r="A823" s="230"/>
      <c r="B823" s="230"/>
      <c r="C823" s="230"/>
      <c r="D823" s="230"/>
      <c r="E823" s="230"/>
      <c r="F823" s="230"/>
      <c r="G823" s="230"/>
      <c r="H823" s="230"/>
      <c r="I823" s="230"/>
      <c r="J823" s="230"/>
      <c r="K823" s="230"/>
      <c r="L823" s="230"/>
      <c r="M823" s="230"/>
      <c r="N823" s="230"/>
      <c r="O823" s="230"/>
      <c r="P823" s="230"/>
      <c r="Q823" s="230"/>
      <c r="R823" s="230"/>
      <c r="S823" s="230"/>
      <c r="T823" s="230"/>
      <c r="U823" s="230"/>
      <c r="V823" s="230"/>
      <c r="W823" s="230"/>
      <c r="X823" s="230"/>
      <c r="Y823" s="230"/>
      <c r="Z823" s="230"/>
    </row>
    <row r="824" spans="1:26" ht="15.75" customHeight="1">
      <c r="A824" s="230"/>
      <c r="B824" s="230"/>
      <c r="C824" s="230"/>
      <c r="D824" s="230"/>
      <c r="E824" s="230"/>
      <c r="F824" s="230"/>
      <c r="G824" s="230"/>
      <c r="H824" s="230"/>
      <c r="I824" s="230"/>
      <c r="J824" s="230"/>
      <c r="K824" s="230"/>
      <c r="L824" s="230"/>
      <c r="M824" s="230"/>
      <c r="N824" s="230"/>
      <c r="O824" s="230"/>
      <c r="P824" s="230"/>
      <c r="Q824" s="230"/>
      <c r="R824" s="230"/>
      <c r="S824" s="230"/>
      <c r="T824" s="230"/>
      <c r="U824" s="230"/>
      <c r="V824" s="230"/>
      <c r="W824" s="230"/>
      <c r="X824" s="230"/>
      <c r="Y824" s="230"/>
      <c r="Z824" s="230"/>
    </row>
    <row r="825" spans="1:26" ht="15.75" customHeight="1">
      <c r="A825" s="230"/>
      <c r="B825" s="230"/>
      <c r="C825" s="230"/>
      <c r="D825" s="230"/>
      <c r="E825" s="230"/>
      <c r="F825" s="230"/>
      <c r="G825" s="230"/>
      <c r="H825" s="230"/>
      <c r="I825" s="230"/>
      <c r="J825" s="230"/>
      <c r="K825" s="230"/>
      <c r="L825" s="230"/>
      <c r="M825" s="230"/>
      <c r="N825" s="230"/>
      <c r="O825" s="230"/>
      <c r="P825" s="230"/>
      <c r="Q825" s="230"/>
      <c r="R825" s="230"/>
      <c r="S825" s="230"/>
      <c r="T825" s="230"/>
      <c r="U825" s="230"/>
      <c r="V825" s="230"/>
      <c r="W825" s="230"/>
      <c r="X825" s="230"/>
      <c r="Y825" s="230"/>
      <c r="Z825" s="230"/>
    </row>
    <row r="826" spans="1:26" ht="15.75" customHeight="1">
      <c r="A826" s="230"/>
      <c r="B826" s="230"/>
      <c r="C826" s="230"/>
      <c r="D826" s="230"/>
      <c r="E826" s="230"/>
      <c r="F826" s="230"/>
      <c r="G826" s="230"/>
      <c r="H826" s="230"/>
      <c r="I826" s="230"/>
      <c r="J826" s="230"/>
      <c r="K826" s="230"/>
      <c r="L826" s="230"/>
      <c r="M826" s="230"/>
      <c r="N826" s="230"/>
      <c r="O826" s="230"/>
      <c r="P826" s="230"/>
      <c r="Q826" s="230"/>
      <c r="R826" s="230"/>
      <c r="S826" s="230"/>
      <c r="T826" s="230"/>
      <c r="U826" s="230"/>
      <c r="V826" s="230"/>
      <c r="W826" s="230"/>
      <c r="X826" s="230"/>
      <c r="Y826" s="230"/>
      <c r="Z826" s="230"/>
    </row>
    <row r="827" spans="1:26" ht="15.75" customHeight="1">
      <c r="A827" s="230"/>
      <c r="B827" s="230"/>
      <c r="C827" s="230"/>
      <c r="D827" s="230"/>
      <c r="E827" s="230"/>
      <c r="F827" s="230"/>
      <c r="G827" s="230"/>
      <c r="H827" s="230"/>
      <c r="I827" s="230"/>
      <c r="J827" s="230"/>
      <c r="K827" s="230"/>
      <c r="L827" s="230"/>
      <c r="M827" s="230"/>
      <c r="N827" s="230"/>
      <c r="O827" s="230"/>
      <c r="P827" s="230"/>
      <c r="Q827" s="230"/>
      <c r="R827" s="230"/>
      <c r="S827" s="230"/>
      <c r="T827" s="230"/>
      <c r="U827" s="230"/>
      <c r="V827" s="230"/>
      <c r="W827" s="230"/>
      <c r="X827" s="230"/>
      <c r="Y827" s="230"/>
      <c r="Z827" s="230"/>
    </row>
    <row r="828" spans="1:26" ht="15.75" customHeight="1">
      <c r="A828" s="230"/>
      <c r="B828" s="230"/>
      <c r="C828" s="230"/>
      <c r="D828" s="230"/>
      <c r="E828" s="230"/>
      <c r="F828" s="230"/>
      <c r="G828" s="230"/>
      <c r="H828" s="230"/>
      <c r="I828" s="230"/>
      <c r="J828" s="230"/>
      <c r="K828" s="230"/>
      <c r="L828" s="230"/>
      <c r="M828" s="230"/>
      <c r="N828" s="230"/>
      <c r="O828" s="230"/>
      <c r="P828" s="230"/>
      <c r="Q828" s="230"/>
      <c r="R828" s="230"/>
      <c r="S828" s="230"/>
      <c r="T828" s="230"/>
      <c r="U828" s="230"/>
      <c r="V828" s="230"/>
      <c r="W828" s="230"/>
      <c r="X828" s="230"/>
      <c r="Y828" s="230"/>
      <c r="Z828" s="230"/>
    </row>
    <row r="829" spans="1:26" ht="15.75" customHeight="1">
      <c r="A829" s="230"/>
      <c r="B829" s="230"/>
      <c r="C829" s="230"/>
      <c r="D829" s="230"/>
      <c r="E829" s="230"/>
      <c r="F829" s="230"/>
      <c r="G829" s="230"/>
      <c r="H829" s="230"/>
      <c r="I829" s="230"/>
      <c r="J829" s="230"/>
      <c r="K829" s="230"/>
      <c r="L829" s="230"/>
      <c r="M829" s="230"/>
      <c r="N829" s="230"/>
      <c r="O829" s="230"/>
      <c r="P829" s="230"/>
      <c r="Q829" s="230"/>
      <c r="R829" s="230"/>
      <c r="S829" s="230"/>
      <c r="T829" s="230"/>
      <c r="U829" s="230"/>
      <c r="V829" s="230"/>
      <c r="W829" s="230"/>
      <c r="X829" s="230"/>
      <c r="Y829" s="230"/>
      <c r="Z829" s="230"/>
    </row>
    <row r="830" spans="1:26" ht="15.75" customHeight="1">
      <c r="A830" s="230"/>
      <c r="B830" s="230"/>
      <c r="C830" s="230"/>
      <c r="D830" s="230"/>
      <c r="E830" s="230"/>
      <c r="F830" s="230"/>
      <c r="G830" s="230"/>
      <c r="H830" s="230"/>
      <c r="I830" s="230"/>
      <c r="J830" s="230"/>
      <c r="K830" s="230"/>
      <c r="L830" s="230"/>
      <c r="M830" s="230"/>
      <c r="N830" s="230"/>
      <c r="O830" s="230"/>
      <c r="P830" s="230"/>
      <c r="Q830" s="230"/>
      <c r="R830" s="230"/>
      <c r="S830" s="230"/>
      <c r="T830" s="230"/>
      <c r="U830" s="230"/>
      <c r="V830" s="230"/>
      <c r="W830" s="230"/>
      <c r="X830" s="230"/>
      <c r="Y830" s="230"/>
      <c r="Z830" s="230"/>
    </row>
    <row r="831" spans="1:26" ht="15.75" customHeight="1">
      <c r="A831" s="230"/>
      <c r="B831" s="230"/>
      <c r="C831" s="230"/>
      <c r="D831" s="230"/>
      <c r="E831" s="230"/>
      <c r="F831" s="230"/>
      <c r="G831" s="230"/>
      <c r="H831" s="230"/>
      <c r="I831" s="230"/>
      <c r="J831" s="230"/>
      <c r="K831" s="230"/>
      <c r="L831" s="230"/>
      <c r="M831" s="230"/>
      <c r="N831" s="230"/>
      <c r="O831" s="230"/>
      <c r="P831" s="230"/>
      <c r="Q831" s="230"/>
      <c r="R831" s="230"/>
      <c r="S831" s="230"/>
      <c r="T831" s="230"/>
      <c r="U831" s="230"/>
      <c r="V831" s="230"/>
      <c r="W831" s="230"/>
      <c r="X831" s="230"/>
      <c r="Y831" s="230"/>
      <c r="Z831" s="230"/>
    </row>
    <row r="832" spans="1:26" ht="15.75" customHeight="1">
      <c r="A832" s="230"/>
      <c r="B832" s="230"/>
      <c r="C832" s="230"/>
      <c r="D832" s="230"/>
      <c r="E832" s="230"/>
      <c r="F832" s="230"/>
      <c r="G832" s="230"/>
      <c r="H832" s="230"/>
      <c r="I832" s="230"/>
      <c r="J832" s="230"/>
      <c r="K832" s="230"/>
      <c r="L832" s="230"/>
      <c r="M832" s="230"/>
      <c r="N832" s="230"/>
      <c r="O832" s="230"/>
      <c r="P832" s="230"/>
      <c r="Q832" s="230"/>
      <c r="R832" s="230"/>
      <c r="S832" s="230"/>
      <c r="T832" s="230"/>
      <c r="U832" s="230"/>
      <c r="V832" s="230"/>
      <c r="W832" s="230"/>
      <c r="X832" s="230"/>
      <c r="Y832" s="230"/>
      <c r="Z832" s="230"/>
    </row>
    <row r="833" spans="1:26" ht="15.75" customHeight="1">
      <c r="A833" s="230"/>
      <c r="B833" s="230"/>
      <c r="C833" s="230"/>
      <c r="D833" s="230"/>
      <c r="E833" s="230"/>
      <c r="F833" s="230"/>
      <c r="G833" s="230"/>
      <c r="H833" s="230"/>
      <c r="I833" s="230"/>
      <c r="J833" s="230"/>
      <c r="K833" s="230"/>
      <c r="L833" s="230"/>
      <c r="M833" s="230"/>
      <c r="N833" s="230"/>
      <c r="O833" s="230"/>
      <c r="P833" s="230"/>
      <c r="Q833" s="230"/>
      <c r="R833" s="230"/>
      <c r="S833" s="230"/>
      <c r="T833" s="230"/>
      <c r="U833" s="230"/>
      <c r="V833" s="230"/>
      <c r="W833" s="230"/>
      <c r="X833" s="230"/>
      <c r="Y833" s="230"/>
      <c r="Z833" s="230"/>
    </row>
    <row r="834" spans="1:26" ht="15.75" customHeight="1">
      <c r="A834" s="230"/>
      <c r="B834" s="230"/>
      <c r="C834" s="230"/>
      <c r="D834" s="230"/>
      <c r="E834" s="230"/>
      <c r="F834" s="230"/>
      <c r="G834" s="230"/>
      <c r="H834" s="230"/>
      <c r="I834" s="230"/>
      <c r="J834" s="230"/>
      <c r="K834" s="230"/>
      <c r="L834" s="230"/>
      <c r="M834" s="230"/>
      <c r="N834" s="230"/>
      <c r="O834" s="230"/>
      <c r="P834" s="230"/>
      <c r="Q834" s="230"/>
      <c r="R834" s="230"/>
      <c r="S834" s="230"/>
      <c r="T834" s="230"/>
      <c r="U834" s="230"/>
      <c r="V834" s="230"/>
      <c r="W834" s="230"/>
      <c r="X834" s="230"/>
      <c r="Y834" s="230"/>
      <c r="Z834" s="230"/>
    </row>
    <row r="835" spans="1:26" ht="15.75" customHeight="1">
      <c r="A835" s="230"/>
      <c r="B835" s="230"/>
      <c r="C835" s="230"/>
      <c r="D835" s="230"/>
      <c r="E835" s="230"/>
      <c r="F835" s="230"/>
      <c r="G835" s="230"/>
      <c r="H835" s="230"/>
      <c r="I835" s="230"/>
      <c r="J835" s="230"/>
      <c r="K835" s="230"/>
      <c r="L835" s="230"/>
      <c r="M835" s="230"/>
      <c r="N835" s="230"/>
      <c r="O835" s="230"/>
      <c r="P835" s="230"/>
      <c r="Q835" s="230"/>
      <c r="R835" s="230"/>
      <c r="S835" s="230"/>
      <c r="T835" s="230"/>
      <c r="U835" s="230"/>
      <c r="V835" s="230"/>
      <c r="W835" s="230"/>
      <c r="X835" s="230"/>
      <c r="Y835" s="230"/>
      <c r="Z835" s="230"/>
    </row>
    <row r="836" spans="1:26" ht="15.75" customHeight="1">
      <c r="A836" s="230"/>
      <c r="B836" s="230"/>
      <c r="C836" s="230"/>
      <c r="D836" s="230"/>
      <c r="E836" s="230"/>
      <c r="F836" s="230"/>
      <c r="G836" s="230"/>
      <c r="H836" s="230"/>
      <c r="I836" s="230"/>
      <c r="J836" s="230"/>
      <c r="K836" s="230"/>
      <c r="L836" s="230"/>
      <c r="M836" s="230"/>
      <c r="N836" s="230"/>
      <c r="O836" s="230"/>
      <c r="P836" s="230"/>
      <c r="Q836" s="230"/>
      <c r="R836" s="230"/>
      <c r="S836" s="230"/>
      <c r="T836" s="230"/>
      <c r="U836" s="230"/>
      <c r="V836" s="230"/>
      <c r="W836" s="230"/>
      <c r="X836" s="230"/>
      <c r="Y836" s="230"/>
      <c r="Z836" s="230"/>
    </row>
    <row r="837" spans="1:26" ht="15.75" customHeight="1">
      <c r="A837" s="230"/>
      <c r="B837" s="230"/>
      <c r="C837" s="230"/>
      <c r="D837" s="230"/>
      <c r="E837" s="230"/>
      <c r="F837" s="230"/>
      <c r="G837" s="230"/>
      <c r="H837" s="230"/>
      <c r="I837" s="230"/>
      <c r="J837" s="230"/>
      <c r="K837" s="230"/>
      <c r="L837" s="230"/>
      <c r="M837" s="230"/>
      <c r="N837" s="230"/>
      <c r="O837" s="230"/>
      <c r="P837" s="230"/>
      <c r="Q837" s="230"/>
      <c r="R837" s="230"/>
      <c r="S837" s="230"/>
      <c r="T837" s="230"/>
      <c r="U837" s="230"/>
      <c r="V837" s="230"/>
      <c r="W837" s="230"/>
      <c r="X837" s="230"/>
      <c r="Y837" s="230"/>
      <c r="Z837" s="230"/>
    </row>
    <row r="838" spans="1:26" ht="15.75" customHeight="1">
      <c r="A838" s="230"/>
      <c r="B838" s="230"/>
      <c r="C838" s="230"/>
      <c r="D838" s="230"/>
      <c r="E838" s="230"/>
      <c r="F838" s="230"/>
      <c r="G838" s="230"/>
      <c r="H838" s="230"/>
      <c r="I838" s="230"/>
      <c r="J838" s="230"/>
      <c r="K838" s="230"/>
      <c r="L838" s="230"/>
      <c r="M838" s="230"/>
      <c r="N838" s="230"/>
      <c r="O838" s="230"/>
      <c r="P838" s="230"/>
      <c r="Q838" s="230"/>
      <c r="R838" s="230"/>
      <c r="S838" s="230"/>
      <c r="T838" s="230"/>
      <c r="U838" s="230"/>
      <c r="V838" s="230"/>
      <c r="W838" s="230"/>
      <c r="X838" s="230"/>
      <c r="Y838" s="230"/>
      <c r="Z838" s="230"/>
    </row>
    <row r="839" spans="1:26" ht="15.75" customHeight="1">
      <c r="A839" s="230"/>
      <c r="B839" s="230"/>
      <c r="C839" s="230"/>
      <c r="D839" s="230"/>
      <c r="E839" s="230"/>
      <c r="F839" s="230"/>
      <c r="G839" s="230"/>
      <c r="H839" s="230"/>
      <c r="I839" s="230"/>
      <c r="J839" s="230"/>
      <c r="K839" s="230"/>
      <c r="L839" s="230"/>
      <c r="M839" s="230"/>
      <c r="N839" s="230"/>
      <c r="O839" s="230"/>
      <c r="P839" s="230"/>
      <c r="Q839" s="230"/>
      <c r="R839" s="230"/>
      <c r="S839" s="230"/>
      <c r="T839" s="230"/>
      <c r="U839" s="230"/>
      <c r="V839" s="230"/>
      <c r="W839" s="230"/>
      <c r="X839" s="230"/>
      <c r="Y839" s="230"/>
      <c r="Z839" s="230"/>
    </row>
    <row r="840" spans="1:26" ht="15.75" customHeight="1">
      <c r="A840" s="230"/>
      <c r="B840" s="230"/>
      <c r="C840" s="230"/>
      <c r="D840" s="230"/>
      <c r="E840" s="230"/>
      <c r="F840" s="230"/>
      <c r="G840" s="230"/>
      <c r="H840" s="230"/>
      <c r="I840" s="230"/>
      <c r="J840" s="230"/>
      <c r="K840" s="230"/>
      <c r="L840" s="230"/>
      <c r="M840" s="230"/>
      <c r="N840" s="230"/>
      <c r="O840" s="230"/>
      <c r="P840" s="230"/>
      <c r="Q840" s="230"/>
      <c r="R840" s="230"/>
      <c r="S840" s="230"/>
      <c r="T840" s="230"/>
      <c r="U840" s="230"/>
      <c r="V840" s="230"/>
      <c r="W840" s="230"/>
      <c r="X840" s="230"/>
      <c r="Y840" s="230"/>
      <c r="Z840" s="230"/>
    </row>
    <row r="841" spans="1:26" ht="15.75" customHeight="1">
      <c r="A841" s="230"/>
      <c r="B841" s="230"/>
      <c r="C841" s="230"/>
      <c r="D841" s="230"/>
      <c r="E841" s="230"/>
      <c r="F841" s="230"/>
      <c r="G841" s="230"/>
      <c r="H841" s="230"/>
      <c r="I841" s="230"/>
      <c r="J841" s="230"/>
      <c r="K841" s="230"/>
      <c r="L841" s="230"/>
      <c r="M841" s="230"/>
      <c r="N841" s="230"/>
      <c r="O841" s="230"/>
      <c r="P841" s="230"/>
      <c r="Q841" s="230"/>
      <c r="R841" s="230"/>
      <c r="S841" s="230"/>
      <c r="T841" s="230"/>
      <c r="U841" s="230"/>
      <c r="V841" s="230"/>
      <c r="W841" s="230"/>
      <c r="X841" s="230"/>
      <c r="Y841" s="230"/>
      <c r="Z841" s="230"/>
    </row>
    <row r="842" spans="1:26" ht="15.75" customHeight="1">
      <c r="A842" s="230"/>
      <c r="B842" s="230"/>
      <c r="C842" s="230"/>
      <c r="D842" s="230"/>
      <c r="E842" s="230"/>
      <c r="F842" s="230"/>
      <c r="G842" s="230"/>
      <c r="H842" s="230"/>
      <c r="I842" s="230"/>
      <c r="J842" s="230"/>
      <c r="K842" s="230"/>
      <c r="L842" s="230"/>
      <c r="M842" s="230"/>
      <c r="N842" s="230"/>
      <c r="O842" s="230"/>
      <c r="P842" s="230"/>
      <c r="Q842" s="230"/>
      <c r="R842" s="230"/>
      <c r="S842" s="230"/>
      <c r="T842" s="230"/>
      <c r="U842" s="230"/>
      <c r="V842" s="230"/>
      <c r="W842" s="230"/>
      <c r="X842" s="230"/>
      <c r="Y842" s="230"/>
      <c r="Z842" s="230"/>
    </row>
    <row r="843" spans="1:26" ht="15.75" customHeight="1">
      <c r="A843" s="230"/>
      <c r="B843" s="230"/>
      <c r="C843" s="230"/>
      <c r="D843" s="230"/>
      <c r="E843" s="230"/>
      <c r="F843" s="230"/>
      <c r="G843" s="230"/>
      <c r="H843" s="230"/>
      <c r="I843" s="230"/>
      <c r="J843" s="230"/>
      <c r="K843" s="230"/>
      <c r="L843" s="230"/>
      <c r="M843" s="230"/>
      <c r="N843" s="230"/>
      <c r="O843" s="230"/>
      <c r="P843" s="230"/>
      <c r="Q843" s="230"/>
      <c r="R843" s="230"/>
      <c r="S843" s="230"/>
      <c r="T843" s="230"/>
      <c r="U843" s="230"/>
      <c r="V843" s="230"/>
      <c r="W843" s="230"/>
      <c r="X843" s="230"/>
      <c r="Y843" s="230"/>
      <c r="Z843" s="230"/>
    </row>
    <row r="844" spans="1:26" ht="15.75" customHeight="1">
      <c r="A844" s="230"/>
      <c r="B844" s="230"/>
      <c r="C844" s="230"/>
      <c r="D844" s="230"/>
      <c r="E844" s="230"/>
      <c r="F844" s="230"/>
      <c r="G844" s="230"/>
      <c r="H844" s="230"/>
      <c r="I844" s="230"/>
      <c r="J844" s="230"/>
      <c r="K844" s="230"/>
      <c r="L844" s="230"/>
      <c r="M844" s="230"/>
      <c r="N844" s="230"/>
      <c r="O844" s="230"/>
      <c r="P844" s="230"/>
      <c r="Q844" s="230"/>
      <c r="R844" s="230"/>
      <c r="S844" s="230"/>
      <c r="T844" s="230"/>
      <c r="U844" s="230"/>
      <c r="V844" s="230"/>
      <c r="W844" s="230"/>
      <c r="X844" s="230"/>
      <c r="Y844" s="230"/>
      <c r="Z844" s="230"/>
    </row>
    <row r="845" spans="1:26" ht="15.75" customHeight="1">
      <c r="A845" s="230"/>
      <c r="B845" s="230"/>
      <c r="C845" s="230"/>
      <c r="D845" s="230"/>
      <c r="E845" s="230"/>
      <c r="F845" s="230"/>
      <c r="G845" s="230"/>
      <c r="H845" s="230"/>
      <c r="I845" s="230"/>
      <c r="J845" s="230"/>
      <c r="K845" s="230"/>
      <c r="L845" s="230"/>
      <c r="M845" s="230"/>
      <c r="N845" s="230"/>
      <c r="O845" s="230"/>
      <c r="P845" s="230"/>
      <c r="Q845" s="230"/>
      <c r="R845" s="230"/>
      <c r="S845" s="230"/>
      <c r="T845" s="230"/>
      <c r="U845" s="230"/>
      <c r="V845" s="230"/>
      <c r="W845" s="230"/>
      <c r="X845" s="230"/>
      <c r="Y845" s="230"/>
      <c r="Z845" s="230"/>
    </row>
    <row r="846" spans="1:26" ht="15.75" customHeight="1">
      <c r="A846" s="230"/>
      <c r="B846" s="230"/>
      <c r="C846" s="230"/>
      <c r="D846" s="230"/>
      <c r="E846" s="230"/>
      <c r="F846" s="230"/>
      <c r="G846" s="230"/>
      <c r="H846" s="230"/>
      <c r="I846" s="230"/>
      <c r="J846" s="230"/>
      <c r="K846" s="230"/>
      <c r="L846" s="230"/>
      <c r="M846" s="230"/>
      <c r="N846" s="230"/>
      <c r="O846" s="230"/>
      <c r="P846" s="230"/>
      <c r="Q846" s="230"/>
      <c r="R846" s="230"/>
      <c r="S846" s="230"/>
      <c r="T846" s="230"/>
      <c r="U846" s="230"/>
      <c r="V846" s="230"/>
      <c r="W846" s="230"/>
      <c r="X846" s="230"/>
      <c r="Y846" s="230"/>
      <c r="Z846" s="230"/>
    </row>
    <row r="847" spans="1:26" ht="15.75" customHeight="1">
      <c r="A847" s="230"/>
      <c r="B847" s="230"/>
      <c r="C847" s="230"/>
      <c r="D847" s="230"/>
      <c r="E847" s="230"/>
      <c r="F847" s="230"/>
      <c r="G847" s="230"/>
      <c r="H847" s="230"/>
      <c r="I847" s="230"/>
      <c r="J847" s="230"/>
      <c r="K847" s="230"/>
      <c r="L847" s="230"/>
      <c r="M847" s="230"/>
      <c r="N847" s="230"/>
      <c r="O847" s="230"/>
      <c r="P847" s="230"/>
      <c r="Q847" s="230"/>
      <c r="R847" s="230"/>
      <c r="S847" s="230"/>
      <c r="T847" s="230"/>
      <c r="U847" s="230"/>
      <c r="V847" s="230"/>
      <c r="W847" s="230"/>
      <c r="X847" s="230"/>
      <c r="Y847" s="230"/>
      <c r="Z847" s="230"/>
    </row>
    <row r="848" spans="1:26" ht="15.75" customHeight="1">
      <c r="A848" s="230"/>
      <c r="B848" s="230"/>
      <c r="C848" s="230"/>
      <c r="D848" s="230"/>
      <c r="E848" s="230"/>
      <c r="F848" s="230"/>
      <c r="G848" s="230"/>
      <c r="H848" s="230"/>
      <c r="I848" s="230"/>
      <c r="J848" s="230"/>
      <c r="K848" s="230"/>
      <c r="L848" s="230"/>
      <c r="M848" s="230"/>
      <c r="N848" s="230"/>
      <c r="O848" s="230"/>
      <c r="P848" s="230"/>
      <c r="Q848" s="230"/>
      <c r="R848" s="230"/>
      <c r="S848" s="230"/>
      <c r="T848" s="230"/>
      <c r="U848" s="230"/>
      <c r="V848" s="230"/>
      <c r="W848" s="230"/>
      <c r="X848" s="230"/>
      <c r="Y848" s="230"/>
      <c r="Z848" s="230"/>
    </row>
    <row r="849" spans="1:26" ht="15.75" customHeight="1">
      <c r="A849" s="230"/>
      <c r="B849" s="230"/>
      <c r="C849" s="230"/>
      <c r="D849" s="230"/>
      <c r="E849" s="230"/>
      <c r="F849" s="230"/>
      <c r="G849" s="230"/>
      <c r="H849" s="230"/>
      <c r="I849" s="230"/>
      <c r="J849" s="230"/>
      <c r="K849" s="230"/>
      <c r="L849" s="230"/>
      <c r="M849" s="230"/>
      <c r="N849" s="230"/>
      <c r="O849" s="230"/>
      <c r="P849" s="230"/>
      <c r="Q849" s="230"/>
      <c r="R849" s="230"/>
      <c r="S849" s="230"/>
      <c r="T849" s="230"/>
      <c r="U849" s="230"/>
      <c r="V849" s="230"/>
      <c r="W849" s="230"/>
      <c r="X849" s="230"/>
      <c r="Y849" s="230"/>
      <c r="Z849" s="230"/>
    </row>
    <row r="850" spans="1:26" ht="15.75" customHeight="1">
      <c r="A850" s="230"/>
      <c r="B850" s="230"/>
      <c r="C850" s="230"/>
      <c r="D850" s="230"/>
      <c r="E850" s="230"/>
      <c r="F850" s="230"/>
      <c r="G850" s="230"/>
      <c r="H850" s="230"/>
      <c r="I850" s="230"/>
      <c r="J850" s="230"/>
      <c r="K850" s="230"/>
      <c r="L850" s="230"/>
      <c r="M850" s="230"/>
      <c r="N850" s="230"/>
      <c r="O850" s="230"/>
      <c r="P850" s="230"/>
      <c r="Q850" s="230"/>
      <c r="R850" s="230"/>
      <c r="S850" s="230"/>
      <c r="T850" s="230"/>
      <c r="U850" s="230"/>
      <c r="V850" s="230"/>
      <c r="W850" s="230"/>
      <c r="X850" s="230"/>
      <c r="Y850" s="230"/>
      <c r="Z850" s="230"/>
    </row>
    <row r="851" spans="1:26" ht="15.75" customHeight="1">
      <c r="A851" s="230"/>
      <c r="B851" s="230"/>
      <c r="C851" s="230"/>
      <c r="D851" s="230"/>
      <c r="E851" s="230"/>
      <c r="F851" s="230"/>
      <c r="G851" s="230"/>
      <c r="H851" s="230"/>
      <c r="I851" s="230"/>
      <c r="J851" s="230"/>
      <c r="K851" s="230"/>
      <c r="L851" s="230"/>
      <c r="M851" s="230"/>
      <c r="N851" s="230"/>
      <c r="O851" s="230"/>
      <c r="P851" s="230"/>
      <c r="Q851" s="230"/>
      <c r="R851" s="230"/>
      <c r="S851" s="230"/>
      <c r="T851" s="230"/>
      <c r="U851" s="230"/>
      <c r="V851" s="230"/>
      <c r="W851" s="230"/>
      <c r="X851" s="230"/>
      <c r="Y851" s="230"/>
      <c r="Z851" s="230"/>
    </row>
    <row r="852" spans="1:26" ht="15.75" customHeight="1">
      <c r="A852" s="230"/>
      <c r="B852" s="230"/>
      <c r="C852" s="230"/>
      <c r="D852" s="230"/>
      <c r="E852" s="230"/>
      <c r="F852" s="230"/>
      <c r="G852" s="230"/>
      <c r="H852" s="230"/>
      <c r="I852" s="230"/>
      <c r="J852" s="230"/>
      <c r="K852" s="230"/>
      <c r="L852" s="230"/>
      <c r="M852" s="230"/>
      <c r="N852" s="230"/>
      <c r="O852" s="230"/>
      <c r="P852" s="230"/>
      <c r="Q852" s="230"/>
      <c r="R852" s="230"/>
      <c r="S852" s="230"/>
      <c r="T852" s="230"/>
      <c r="U852" s="230"/>
      <c r="V852" s="230"/>
      <c r="W852" s="230"/>
      <c r="X852" s="230"/>
      <c r="Y852" s="230"/>
      <c r="Z852" s="230"/>
    </row>
    <row r="853" spans="1:26" ht="15.75" customHeight="1">
      <c r="A853" s="230"/>
      <c r="B853" s="230"/>
      <c r="C853" s="230"/>
      <c r="D853" s="230"/>
      <c r="E853" s="230"/>
      <c r="F853" s="230"/>
      <c r="G853" s="230"/>
      <c r="H853" s="230"/>
      <c r="I853" s="230"/>
      <c r="J853" s="230"/>
      <c r="K853" s="230"/>
      <c r="L853" s="230"/>
      <c r="M853" s="230"/>
      <c r="N853" s="230"/>
      <c r="O853" s="230"/>
      <c r="P853" s="230"/>
      <c r="Q853" s="230"/>
      <c r="R853" s="230"/>
      <c r="S853" s="230"/>
      <c r="T853" s="230"/>
      <c r="U853" s="230"/>
      <c r="V853" s="230"/>
      <c r="W853" s="230"/>
      <c r="X853" s="230"/>
      <c r="Y853" s="230"/>
      <c r="Z853" s="230"/>
    </row>
    <row r="854" spans="1:26" ht="15.75" customHeight="1">
      <c r="A854" s="230"/>
      <c r="B854" s="230"/>
      <c r="C854" s="230"/>
      <c r="D854" s="230"/>
      <c r="E854" s="230"/>
      <c r="F854" s="230"/>
      <c r="G854" s="230"/>
      <c r="H854" s="230"/>
      <c r="I854" s="230"/>
      <c r="J854" s="230"/>
      <c r="K854" s="230"/>
      <c r="L854" s="230"/>
      <c r="M854" s="230"/>
      <c r="N854" s="230"/>
      <c r="O854" s="230"/>
      <c r="P854" s="230"/>
      <c r="Q854" s="230"/>
      <c r="R854" s="230"/>
      <c r="S854" s="230"/>
      <c r="T854" s="230"/>
      <c r="U854" s="230"/>
      <c r="V854" s="230"/>
      <c r="W854" s="230"/>
      <c r="X854" s="230"/>
      <c r="Y854" s="230"/>
      <c r="Z854" s="230"/>
    </row>
    <row r="855" spans="1:26" ht="15.75" customHeight="1">
      <c r="A855" s="230"/>
      <c r="B855" s="230"/>
      <c r="C855" s="230"/>
      <c r="D855" s="230"/>
      <c r="E855" s="230"/>
      <c r="F855" s="230"/>
      <c r="G855" s="230"/>
      <c r="H855" s="230"/>
      <c r="I855" s="230"/>
      <c r="J855" s="230"/>
      <c r="K855" s="230"/>
      <c r="L855" s="230"/>
      <c r="M855" s="230"/>
      <c r="N855" s="230"/>
      <c r="O855" s="230"/>
      <c r="P855" s="230"/>
      <c r="Q855" s="230"/>
      <c r="R855" s="230"/>
      <c r="S855" s="230"/>
      <c r="T855" s="230"/>
      <c r="U855" s="230"/>
      <c r="V855" s="230"/>
      <c r="W855" s="230"/>
      <c r="X855" s="230"/>
      <c r="Y855" s="230"/>
      <c r="Z855" s="230"/>
    </row>
    <row r="856" spans="1:26" ht="15.75" customHeight="1">
      <c r="A856" s="230"/>
      <c r="B856" s="230"/>
      <c r="C856" s="230"/>
      <c r="D856" s="230"/>
      <c r="E856" s="230"/>
      <c r="F856" s="230"/>
      <c r="G856" s="230"/>
      <c r="H856" s="230"/>
      <c r="I856" s="230"/>
      <c r="J856" s="230"/>
      <c r="K856" s="230"/>
      <c r="L856" s="230"/>
      <c r="M856" s="230"/>
      <c r="N856" s="230"/>
      <c r="O856" s="230"/>
      <c r="P856" s="230"/>
      <c r="Q856" s="230"/>
      <c r="R856" s="230"/>
      <c r="S856" s="230"/>
      <c r="T856" s="230"/>
      <c r="U856" s="230"/>
      <c r="V856" s="230"/>
      <c r="W856" s="230"/>
      <c r="X856" s="230"/>
      <c r="Y856" s="230"/>
      <c r="Z856" s="230"/>
    </row>
    <row r="857" spans="1:26" ht="15.75" customHeight="1">
      <c r="A857" s="230"/>
      <c r="B857" s="230"/>
      <c r="C857" s="230"/>
      <c r="D857" s="230"/>
      <c r="E857" s="230"/>
      <c r="F857" s="230"/>
      <c r="G857" s="230"/>
      <c r="H857" s="230"/>
      <c r="I857" s="230"/>
      <c r="J857" s="230"/>
      <c r="K857" s="230"/>
      <c r="L857" s="230"/>
      <c r="M857" s="230"/>
      <c r="N857" s="230"/>
      <c r="O857" s="230"/>
      <c r="P857" s="230"/>
      <c r="Q857" s="230"/>
      <c r="R857" s="230"/>
      <c r="S857" s="230"/>
      <c r="T857" s="230"/>
      <c r="U857" s="230"/>
      <c r="V857" s="230"/>
      <c r="W857" s="230"/>
      <c r="X857" s="230"/>
      <c r="Y857" s="230"/>
      <c r="Z857" s="230"/>
    </row>
    <row r="858" spans="1:26" ht="15.75" customHeight="1">
      <c r="A858" s="230"/>
      <c r="B858" s="230"/>
      <c r="C858" s="230"/>
      <c r="D858" s="230"/>
      <c r="E858" s="230"/>
      <c r="F858" s="230"/>
      <c r="G858" s="230"/>
      <c r="H858" s="230"/>
      <c r="I858" s="230"/>
      <c r="J858" s="230"/>
      <c r="K858" s="230"/>
      <c r="L858" s="230"/>
      <c r="M858" s="230"/>
      <c r="N858" s="230"/>
      <c r="O858" s="230"/>
      <c r="P858" s="230"/>
      <c r="Q858" s="230"/>
      <c r="R858" s="230"/>
      <c r="S858" s="230"/>
      <c r="T858" s="230"/>
      <c r="U858" s="230"/>
      <c r="V858" s="230"/>
      <c r="W858" s="230"/>
      <c r="X858" s="230"/>
      <c r="Y858" s="230"/>
      <c r="Z858" s="230"/>
    </row>
    <row r="859" spans="1:26" ht="15.75" customHeight="1">
      <c r="A859" s="230"/>
      <c r="B859" s="230"/>
      <c r="C859" s="230"/>
      <c r="D859" s="230"/>
      <c r="E859" s="230"/>
      <c r="F859" s="230"/>
      <c r="G859" s="230"/>
      <c r="H859" s="230"/>
      <c r="I859" s="230"/>
      <c r="J859" s="230"/>
      <c r="K859" s="230"/>
      <c r="L859" s="230"/>
      <c r="M859" s="230"/>
      <c r="N859" s="230"/>
      <c r="O859" s="230"/>
      <c r="P859" s="230"/>
      <c r="Q859" s="230"/>
      <c r="R859" s="230"/>
      <c r="S859" s="230"/>
      <c r="T859" s="230"/>
      <c r="U859" s="230"/>
      <c r="V859" s="230"/>
      <c r="W859" s="230"/>
      <c r="X859" s="230"/>
      <c r="Y859" s="230"/>
      <c r="Z859" s="230"/>
    </row>
    <row r="860" spans="1:26" ht="15.75" customHeight="1">
      <c r="A860" s="230"/>
      <c r="B860" s="230"/>
      <c r="C860" s="230"/>
      <c r="D860" s="230"/>
      <c r="E860" s="230"/>
      <c r="F860" s="230"/>
      <c r="G860" s="230"/>
      <c r="H860" s="230"/>
      <c r="I860" s="230"/>
      <c r="J860" s="230"/>
      <c r="K860" s="230"/>
      <c r="L860" s="230"/>
      <c r="M860" s="230"/>
      <c r="N860" s="230"/>
      <c r="O860" s="230"/>
      <c r="P860" s="230"/>
      <c r="Q860" s="230"/>
      <c r="R860" s="230"/>
      <c r="S860" s="230"/>
      <c r="T860" s="230"/>
      <c r="U860" s="230"/>
      <c r="V860" s="230"/>
      <c r="W860" s="230"/>
      <c r="X860" s="230"/>
      <c r="Y860" s="230"/>
      <c r="Z860" s="230"/>
    </row>
    <row r="861" spans="1:26" ht="15.75" customHeight="1">
      <c r="A861" s="230"/>
      <c r="B861" s="230"/>
      <c r="C861" s="230"/>
      <c r="D861" s="230"/>
      <c r="E861" s="230"/>
      <c r="F861" s="230"/>
      <c r="G861" s="230"/>
      <c r="H861" s="230"/>
      <c r="I861" s="230"/>
      <c r="J861" s="230"/>
      <c r="K861" s="230"/>
      <c r="L861" s="230"/>
      <c r="M861" s="230"/>
      <c r="N861" s="230"/>
      <c r="O861" s="230"/>
      <c r="P861" s="230"/>
      <c r="Q861" s="230"/>
      <c r="R861" s="230"/>
      <c r="S861" s="230"/>
      <c r="T861" s="230"/>
      <c r="U861" s="230"/>
      <c r="V861" s="230"/>
      <c r="W861" s="230"/>
      <c r="X861" s="230"/>
      <c r="Y861" s="230"/>
      <c r="Z861" s="230"/>
    </row>
    <row r="862" spans="1:26" ht="15.75" customHeight="1">
      <c r="A862" s="230"/>
      <c r="B862" s="230"/>
      <c r="C862" s="230"/>
      <c r="D862" s="230"/>
      <c r="E862" s="230"/>
      <c r="F862" s="230"/>
      <c r="G862" s="230"/>
      <c r="H862" s="230"/>
      <c r="I862" s="230"/>
      <c r="J862" s="230"/>
      <c r="K862" s="230"/>
      <c r="L862" s="230"/>
      <c r="M862" s="230"/>
      <c r="N862" s="230"/>
      <c r="O862" s="230"/>
      <c r="P862" s="230"/>
      <c r="Q862" s="230"/>
      <c r="R862" s="230"/>
      <c r="S862" s="230"/>
      <c r="T862" s="230"/>
      <c r="U862" s="230"/>
      <c r="V862" s="230"/>
      <c r="W862" s="230"/>
      <c r="X862" s="230"/>
      <c r="Y862" s="230"/>
      <c r="Z862" s="230"/>
    </row>
    <row r="863" spans="1:26" ht="15.75" customHeight="1">
      <c r="A863" s="230"/>
      <c r="B863" s="230"/>
      <c r="C863" s="230"/>
      <c r="D863" s="230"/>
      <c r="E863" s="230"/>
      <c r="F863" s="230"/>
      <c r="G863" s="230"/>
      <c r="H863" s="230"/>
      <c r="I863" s="230"/>
      <c r="J863" s="230"/>
      <c r="K863" s="230"/>
      <c r="L863" s="230"/>
      <c r="M863" s="230"/>
      <c r="N863" s="230"/>
      <c r="O863" s="230"/>
      <c r="P863" s="230"/>
      <c r="Q863" s="230"/>
      <c r="R863" s="230"/>
      <c r="S863" s="230"/>
      <c r="T863" s="230"/>
      <c r="U863" s="230"/>
      <c r="V863" s="230"/>
      <c r="W863" s="230"/>
      <c r="X863" s="230"/>
      <c r="Y863" s="230"/>
      <c r="Z863" s="230"/>
    </row>
    <row r="864" spans="1:26" ht="15.75" customHeight="1">
      <c r="A864" s="230"/>
      <c r="B864" s="230"/>
      <c r="C864" s="230"/>
      <c r="D864" s="230"/>
      <c r="E864" s="230"/>
      <c r="F864" s="230"/>
      <c r="G864" s="230"/>
      <c r="H864" s="230"/>
      <c r="I864" s="230"/>
      <c r="J864" s="230"/>
      <c r="K864" s="230"/>
      <c r="L864" s="230"/>
      <c r="M864" s="230"/>
      <c r="N864" s="230"/>
      <c r="O864" s="230"/>
      <c r="P864" s="230"/>
      <c r="Q864" s="230"/>
      <c r="R864" s="230"/>
      <c r="S864" s="230"/>
      <c r="T864" s="230"/>
      <c r="U864" s="230"/>
      <c r="V864" s="230"/>
      <c r="W864" s="230"/>
      <c r="X864" s="230"/>
      <c r="Y864" s="230"/>
      <c r="Z864" s="230"/>
    </row>
    <row r="865" spans="1:26" ht="15.75" customHeight="1">
      <c r="A865" s="230"/>
      <c r="B865" s="230"/>
      <c r="C865" s="230"/>
      <c r="D865" s="230"/>
      <c r="E865" s="230"/>
      <c r="F865" s="230"/>
      <c r="G865" s="230"/>
      <c r="H865" s="230"/>
      <c r="I865" s="230"/>
      <c r="J865" s="230"/>
      <c r="K865" s="230"/>
      <c r="L865" s="230"/>
      <c r="M865" s="230"/>
      <c r="N865" s="230"/>
      <c r="O865" s="230"/>
      <c r="P865" s="230"/>
      <c r="Q865" s="230"/>
      <c r="R865" s="230"/>
      <c r="S865" s="230"/>
      <c r="T865" s="230"/>
      <c r="U865" s="230"/>
      <c r="V865" s="230"/>
      <c r="W865" s="230"/>
      <c r="X865" s="230"/>
      <c r="Y865" s="230"/>
      <c r="Z865" s="230"/>
    </row>
    <row r="866" spans="1:26" ht="15.75" customHeight="1">
      <c r="A866" s="230"/>
      <c r="B866" s="230"/>
      <c r="C866" s="230"/>
      <c r="D866" s="230"/>
      <c r="E866" s="230"/>
      <c r="F866" s="230"/>
      <c r="G866" s="230"/>
      <c r="H866" s="230"/>
      <c r="I866" s="230"/>
      <c r="J866" s="230"/>
      <c r="K866" s="230"/>
      <c r="L866" s="230"/>
      <c r="M866" s="230"/>
      <c r="N866" s="230"/>
      <c r="O866" s="230"/>
      <c r="P866" s="230"/>
      <c r="Q866" s="230"/>
      <c r="R866" s="230"/>
      <c r="S866" s="230"/>
      <c r="T866" s="230"/>
      <c r="U866" s="230"/>
      <c r="V866" s="230"/>
      <c r="W866" s="230"/>
      <c r="X866" s="230"/>
      <c r="Y866" s="230"/>
      <c r="Z866" s="230"/>
    </row>
    <row r="867" spans="1:26" ht="15.75" customHeight="1">
      <c r="A867" s="230"/>
      <c r="B867" s="230"/>
      <c r="C867" s="230"/>
      <c r="D867" s="230"/>
      <c r="E867" s="230"/>
      <c r="F867" s="230"/>
      <c r="G867" s="230"/>
      <c r="H867" s="230"/>
      <c r="I867" s="230"/>
      <c r="J867" s="230"/>
      <c r="K867" s="230"/>
      <c r="L867" s="230"/>
      <c r="M867" s="230"/>
      <c r="N867" s="230"/>
      <c r="O867" s="230"/>
      <c r="P867" s="230"/>
      <c r="Q867" s="230"/>
      <c r="R867" s="230"/>
      <c r="S867" s="230"/>
      <c r="T867" s="230"/>
      <c r="U867" s="230"/>
      <c r="V867" s="230"/>
      <c r="W867" s="230"/>
      <c r="X867" s="230"/>
      <c r="Y867" s="230"/>
      <c r="Z867" s="230"/>
    </row>
    <row r="868" spans="1:26" ht="15.75" customHeight="1">
      <c r="A868" s="230"/>
      <c r="B868" s="230"/>
      <c r="C868" s="230"/>
      <c r="D868" s="230"/>
      <c r="E868" s="230"/>
      <c r="F868" s="230"/>
      <c r="G868" s="230"/>
      <c r="H868" s="230"/>
      <c r="I868" s="230"/>
      <c r="J868" s="230"/>
      <c r="K868" s="230"/>
      <c r="L868" s="230"/>
      <c r="M868" s="230"/>
      <c r="N868" s="230"/>
      <c r="O868" s="230"/>
      <c r="P868" s="230"/>
      <c r="Q868" s="230"/>
      <c r="R868" s="230"/>
      <c r="S868" s="230"/>
      <c r="T868" s="230"/>
      <c r="U868" s="230"/>
      <c r="V868" s="230"/>
      <c r="W868" s="230"/>
      <c r="X868" s="230"/>
      <c r="Y868" s="230"/>
      <c r="Z868" s="230"/>
    </row>
    <row r="869" spans="1:26" ht="15.75" customHeight="1">
      <c r="A869" s="230"/>
      <c r="B869" s="230"/>
      <c r="C869" s="230"/>
      <c r="D869" s="230"/>
      <c r="E869" s="230"/>
      <c r="F869" s="230"/>
      <c r="G869" s="230"/>
      <c r="H869" s="230"/>
      <c r="I869" s="230"/>
      <c r="J869" s="230"/>
      <c r="K869" s="230"/>
      <c r="L869" s="230"/>
      <c r="M869" s="230"/>
      <c r="N869" s="230"/>
      <c r="O869" s="230"/>
      <c r="P869" s="230"/>
      <c r="Q869" s="230"/>
      <c r="R869" s="230"/>
      <c r="S869" s="230"/>
      <c r="T869" s="230"/>
      <c r="U869" s="230"/>
      <c r="V869" s="230"/>
      <c r="W869" s="230"/>
      <c r="X869" s="230"/>
      <c r="Y869" s="230"/>
      <c r="Z869" s="230"/>
    </row>
    <row r="870" spans="1:26" ht="15.75" customHeight="1">
      <c r="A870" s="230"/>
      <c r="B870" s="230"/>
      <c r="C870" s="230"/>
      <c r="D870" s="230"/>
      <c r="E870" s="230"/>
      <c r="F870" s="230"/>
      <c r="G870" s="230"/>
      <c r="H870" s="230"/>
      <c r="I870" s="230"/>
      <c r="J870" s="230"/>
      <c r="K870" s="230"/>
      <c r="L870" s="230"/>
      <c r="M870" s="230"/>
      <c r="N870" s="230"/>
      <c r="O870" s="230"/>
      <c r="P870" s="230"/>
      <c r="Q870" s="230"/>
      <c r="R870" s="230"/>
      <c r="S870" s="230"/>
      <c r="T870" s="230"/>
      <c r="U870" s="230"/>
      <c r="V870" s="230"/>
      <c r="W870" s="230"/>
      <c r="X870" s="230"/>
      <c r="Y870" s="230"/>
      <c r="Z870" s="230"/>
    </row>
    <row r="871" spans="1:26" ht="15.75" customHeight="1">
      <c r="A871" s="230"/>
      <c r="B871" s="230"/>
      <c r="C871" s="230"/>
      <c r="D871" s="230"/>
      <c r="E871" s="230"/>
      <c r="F871" s="230"/>
      <c r="G871" s="230"/>
      <c r="H871" s="230"/>
      <c r="I871" s="230"/>
      <c r="J871" s="230"/>
      <c r="K871" s="230"/>
      <c r="L871" s="230"/>
      <c r="M871" s="230"/>
      <c r="N871" s="230"/>
      <c r="O871" s="230"/>
      <c r="P871" s="230"/>
      <c r="Q871" s="230"/>
      <c r="R871" s="230"/>
      <c r="S871" s="230"/>
      <c r="T871" s="230"/>
      <c r="U871" s="230"/>
      <c r="V871" s="230"/>
      <c r="W871" s="230"/>
      <c r="X871" s="230"/>
      <c r="Y871" s="230"/>
      <c r="Z871" s="230"/>
    </row>
    <row r="872" spans="1:26" ht="15.75" customHeight="1">
      <c r="A872" s="230"/>
      <c r="B872" s="230"/>
      <c r="C872" s="230"/>
      <c r="D872" s="230"/>
      <c r="E872" s="230"/>
      <c r="F872" s="230"/>
      <c r="G872" s="230"/>
      <c r="H872" s="230"/>
      <c r="I872" s="230"/>
      <c r="J872" s="230"/>
      <c r="K872" s="230"/>
      <c r="L872" s="230"/>
      <c r="M872" s="230"/>
      <c r="N872" s="230"/>
      <c r="O872" s="230"/>
      <c r="P872" s="230"/>
      <c r="Q872" s="230"/>
      <c r="R872" s="230"/>
      <c r="S872" s="230"/>
      <c r="T872" s="230"/>
      <c r="U872" s="230"/>
      <c r="V872" s="230"/>
      <c r="W872" s="230"/>
      <c r="X872" s="230"/>
      <c r="Y872" s="230"/>
      <c r="Z872" s="230"/>
    </row>
    <row r="873" spans="1:26" ht="15.75" customHeight="1">
      <c r="A873" s="230"/>
      <c r="B873" s="230"/>
      <c r="C873" s="230"/>
      <c r="D873" s="230"/>
      <c r="E873" s="230"/>
      <c r="F873" s="230"/>
      <c r="G873" s="230"/>
      <c r="H873" s="230"/>
      <c r="I873" s="230"/>
      <c r="J873" s="230"/>
      <c r="K873" s="230"/>
      <c r="L873" s="230"/>
      <c r="M873" s="230"/>
      <c r="N873" s="230"/>
      <c r="O873" s="230"/>
      <c r="P873" s="230"/>
      <c r="Q873" s="230"/>
      <c r="R873" s="230"/>
      <c r="S873" s="230"/>
      <c r="T873" s="230"/>
      <c r="U873" s="230"/>
      <c r="V873" s="230"/>
      <c r="W873" s="230"/>
      <c r="X873" s="230"/>
      <c r="Y873" s="230"/>
      <c r="Z873" s="230"/>
    </row>
    <row r="874" spans="1:26" ht="15.75" customHeight="1">
      <c r="A874" s="230"/>
      <c r="B874" s="230"/>
      <c r="C874" s="230"/>
      <c r="D874" s="230"/>
      <c r="E874" s="230"/>
      <c r="F874" s="230"/>
      <c r="G874" s="230"/>
      <c r="H874" s="230"/>
      <c r="I874" s="230"/>
      <c r="J874" s="230"/>
      <c r="K874" s="230"/>
      <c r="L874" s="230"/>
      <c r="M874" s="230"/>
      <c r="N874" s="230"/>
      <c r="O874" s="230"/>
      <c r="P874" s="230"/>
      <c r="Q874" s="230"/>
      <c r="R874" s="230"/>
      <c r="S874" s="230"/>
      <c r="T874" s="230"/>
      <c r="U874" s="230"/>
      <c r="V874" s="230"/>
      <c r="W874" s="230"/>
      <c r="X874" s="230"/>
      <c r="Y874" s="230"/>
      <c r="Z874" s="230"/>
    </row>
    <row r="875" spans="1:26" ht="15.75" customHeight="1">
      <c r="A875" s="230"/>
      <c r="B875" s="230"/>
      <c r="C875" s="230"/>
      <c r="D875" s="230"/>
      <c r="E875" s="230"/>
      <c r="F875" s="230"/>
      <c r="G875" s="230"/>
      <c r="H875" s="230"/>
      <c r="I875" s="230"/>
      <c r="J875" s="230"/>
      <c r="K875" s="230"/>
      <c r="L875" s="230"/>
      <c r="M875" s="230"/>
      <c r="N875" s="230"/>
      <c r="O875" s="230"/>
      <c r="P875" s="230"/>
      <c r="Q875" s="230"/>
      <c r="R875" s="230"/>
      <c r="S875" s="230"/>
      <c r="T875" s="230"/>
      <c r="U875" s="230"/>
      <c r="V875" s="230"/>
      <c r="W875" s="230"/>
      <c r="X875" s="230"/>
      <c r="Y875" s="230"/>
      <c r="Z875" s="230"/>
    </row>
    <row r="876" spans="1:26" ht="15.75" customHeight="1">
      <c r="A876" s="230"/>
      <c r="B876" s="230"/>
      <c r="C876" s="230"/>
      <c r="D876" s="230"/>
      <c r="E876" s="230"/>
      <c r="F876" s="230"/>
      <c r="G876" s="230"/>
      <c r="H876" s="230"/>
      <c r="I876" s="230"/>
      <c r="J876" s="230"/>
      <c r="K876" s="230"/>
      <c r="L876" s="230"/>
      <c r="M876" s="230"/>
      <c r="N876" s="230"/>
      <c r="O876" s="230"/>
      <c r="P876" s="230"/>
      <c r="Q876" s="230"/>
      <c r="R876" s="230"/>
      <c r="S876" s="230"/>
      <c r="T876" s="230"/>
      <c r="U876" s="230"/>
      <c r="V876" s="230"/>
      <c r="W876" s="230"/>
      <c r="X876" s="230"/>
      <c r="Y876" s="230"/>
      <c r="Z876" s="230"/>
    </row>
    <row r="877" spans="1:26" ht="15.75" customHeight="1">
      <c r="A877" s="230"/>
      <c r="B877" s="230"/>
      <c r="C877" s="230"/>
      <c r="D877" s="230"/>
      <c r="E877" s="230"/>
      <c r="F877" s="230"/>
      <c r="G877" s="230"/>
      <c r="H877" s="230"/>
      <c r="I877" s="230"/>
      <c r="J877" s="230"/>
      <c r="K877" s="230"/>
      <c r="L877" s="230"/>
      <c r="M877" s="230"/>
      <c r="N877" s="230"/>
      <c r="O877" s="230"/>
      <c r="P877" s="230"/>
      <c r="Q877" s="230"/>
      <c r="R877" s="230"/>
      <c r="S877" s="230"/>
      <c r="T877" s="230"/>
      <c r="U877" s="230"/>
      <c r="V877" s="230"/>
      <c r="W877" s="230"/>
      <c r="X877" s="230"/>
      <c r="Y877" s="230"/>
      <c r="Z877" s="230"/>
    </row>
    <row r="878" spans="1:26" ht="15.75" customHeight="1">
      <c r="A878" s="230"/>
      <c r="B878" s="230"/>
      <c r="C878" s="230"/>
      <c r="D878" s="230"/>
      <c r="E878" s="230"/>
      <c r="F878" s="230"/>
      <c r="G878" s="230"/>
      <c r="H878" s="230"/>
      <c r="I878" s="230"/>
      <c r="J878" s="230"/>
      <c r="K878" s="230"/>
      <c r="L878" s="230"/>
      <c r="M878" s="230"/>
      <c r="N878" s="230"/>
      <c r="O878" s="230"/>
      <c r="P878" s="230"/>
      <c r="Q878" s="230"/>
      <c r="R878" s="230"/>
      <c r="S878" s="230"/>
      <c r="T878" s="230"/>
      <c r="U878" s="230"/>
      <c r="V878" s="230"/>
      <c r="W878" s="230"/>
      <c r="X878" s="230"/>
      <c r="Y878" s="230"/>
      <c r="Z878" s="230"/>
    </row>
    <row r="879" spans="1:26" ht="15.75" customHeight="1">
      <c r="A879" s="230"/>
      <c r="B879" s="230"/>
      <c r="C879" s="230"/>
      <c r="D879" s="230"/>
      <c r="E879" s="230"/>
      <c r="F879" s="230"/>
      <c r="G879" s="230"/>
      <c r="H879" s="230"/>
      <c r="I879" s="230"/>
      <c r="J879" s="230"/>
      <c r="K879" s="230"/>
      <c r="L879" s="230"/>
      <c r="M879" s="230"/>
      <c r="N879" s="230"/>
      <c r="O879" s="230"/>
      <c r="P879" s="230"/>
      <c r="Q879" s="230"/>
      <c r="R879" s="230"/>
      <c r="S879" s="230"/>
      <c r="T879" s="230"/>
      <c r="U879" s="230"/>
      <c r="V879" s="230"/>
      <c r="W879" s="230"/>
      <c r="X879" s="230"/>
      <c r="Y879" s="230"/>
      <c r="Z879" s="230"/>
    </row>
    <row r="880" spans="1:26" ht="15.75" customHeight="1">
      <c r="A880" s="230"/>
      <c r="B880" s="230"/>
      <c r="C880" s="230"/>
      <c r="D880" s="230"/>
      <c r="E880" s="230"/>
      <c r="F880" s="230"/>
      <c r="G880" s="230"/>
      <c r="H880" s="230"/>
      <c r="I880" s="230"/>
      <c r="J880" s="230"/>
      <c r="K880" s="230"/>
      <c r="L880" s="230"/>
      <c r="M880" s="230"/>
      <c r="N880" s="230"/>
      <c r="O880" s="230"/>
      <c r="P880" s="230"/>
      <c r="Q880" s="230"/>
      <c r="R880" s="230"/>
      <c r="S880" s="230"/>
      <c r="T880" s="230"/>
      <c r="U880" s="230"/>
      <c r="V880" s="230"/>
      <c r="W880" s="230"/>
      <c r="X880" s="230"/>
      <c r="Y880" s="230"/>
      <c r="Z880" s="230"/>
    </row>
    <row r="881" spans="1:26" ht="15.75" customHeight="1">
      <c r="A881" s="230"/>
      <c r="B881" s="230"/>
      <c r="C881" s="230"/>
      <c r="D881" s="230"/>
      <c r="E881" s="230"/>
      <c r="F881" s="230"/>
      <c r="G881" s="230"/>
      <c r="H881" s="230"/>
      <c r="I881" s="230"/>
      <c r="J881" s="230"/>
      <c r="K881" s="230"/>
      <c r="L881" s="230"/>
      <c r="M881" s="230"/>
      <c r="N881" s="230"/>
      <c r="O881" s="230"/>
      <c r="P881" s="230"/>
      <c r="Q881" s="230"/>
      <c r="R881" s="230"/>
      <c r="S881" s="230"/>
      <c r="T881" s="230"/>
      <c r="U881" s="230"/>
      <c r="V881" s="230"/>
      <c r="W881" s="230"/>
      <c r="X881" s="230"/>
      <c r="Y881" s="230"/>
      <c r="Z881" s="230"/>
    </row>
    <row r="882" spans="1:26" ht="15.75" customHeight="1">
      <c r="A882" s="230"/>
      <c r="B882" s="230"/>
      <c r="C882" s="230"/>
      <c r="D882" s="230"/>
      <c r="E882" s="230"/>
      <c r="F882" s="230"/>
      <c r="G882" s="230"/>
      <c r="H882" s="230"/>
      <c r="I882" s="230"/>
      <c r="J882" s="230"/>
      <c r="K882" s="230"/>
      <c r="L882" s="230"/>
      <c r="M882" s="230"/>
      <c r="N882" s="230"/>
      <c r="O882" s="230"/>
      <c r="P882" s="230"/>
      <c r="Q882" s="230"/>
      <c r="R882" s="230"/>
      <c r="S882" s="230"/>
      <c r="T882" s="230"/>
      <c r="U882" s="230"/>
      <c r="V882" s="230"/>
      <c r="W882" s="230"/>
      <c r="X882" s="230"/>
      <c r="Y882" s="230"/>
      <c r="Z882" s="230"/>
    </row>
    <row r="883" spans="1:26" ht="15.75" customHeight="1">
      <c r="A883" s="230"/>
      <c r="B883" s="230"/>
      <c r="C883" s="230"/>
      <c r="D883" s="230"/>
      <c r="E883" s="230"/>
      <c r="F883" s="230"/>
      <c r="G883" s="230"/>
      <c r="H883" s="230"/>
      <c r="I883" s="230"/>
      <c r="J883" s="230"/>
      <c r="K883" s="230"/>
      <c r="L883" s="230"/>
      <c r="M883" s="230"/>
      <c r="N883" s="230"/>
      <c r="O883" s="230"/>
      <c r="P883" s="230"/>
      <c r="Q883" s="230"/>
      <c r="R883" s="230"/>
      <c r="S883" s="230"/>
      <c r="T883" s="230"/>
      <c r="U883" s="230"/>
      <c r="V883" s="230"/>
      <c r="W883" s="230"/>
      <c r="X883" s="230"/>
      <c r="Y883" s="230"/>
      <c r="Z883" s="230"/>
    </row>
    <row r="884" spans="1:26" ht="15.75" customHeight="1">
      <c r="A884" s="230"/>
      <c r="B884" s="230"/>
      <c r="C884" s="230"/>
      <c r="D884" s="230"/>
      <c r="E884" s="230"/>
      <c r="F884" s="230"/>
      <c r="G884" s="230"/>
      <c r="H884" s="230"/>
      <c r="I884" s="230"/>
      <c r="J884" s="230"/>
      <c r="K884" s="230"/>
      <c r="L884" s="230"/>
      <c r="M884" s="230"/>
      <c r="N884" s="230"/>
      <c r="O884" s="230"/>
      <c r="P884" s="230"/>
      <c r="Q884" s="230"/>
      <c r="R884" s="230"/>
      <c r="S884" s="230"/>
      <c r="T884" s="230"/>
      <c r="U884" s="230"/>
      <c r="V884" s="230"/>
      <c r="W884" s="230"/>
      <c r="X884" s="230"/>
      <c r="Y884" s="230"/>
      <c r="Z884" s="230"/>
    </row>
    <row r="885" spans="1:26" ht="15.75" customHeight="1">
      <c r="A885" s="230"/>
      <c r="B885" s="230"/>
      <c r="C885" s="230"/>
      <c r="D885" s="230"/>
      <c r="E885" s="230"/>
      <c r="F885" s="230"/>
      <c r="G885" s="230"/>
      <c r="H885" s="230"/>
      <c r="I885" s="230"/>
      <c r="J885" s="230"/>
      <c r="K885" s="230"/>
      <c r="L885" s="230"/>
      <c r="M885" s="230"/>
      <c r="N885" s="230"/>
      <c r="O885" s="230"/>
      <c r="P885" s="230"/>
      <c r="Q885" s="230"/>
      <c r="R885" s="230"/>
      <c r="S885" s="230"/>
      <c r="T885" s="230"/>
      <c r="U885" s="230"/>
      <c r="V885" s="230"/>
      <c r="W885" s="230"/>
      <c r="X885" s="230"/>
      <c r="Y885" s="230"/>
      <c r="Z885" s="230"/>
    </row>
    <row r="886" spans="1:26" ht="15.75" customHeight="1">
      <c r="A886" s="230"/>
      <c r="B886" s="230"/>
      <c r="C886" s="230"/>
      <c r="D886" s="230"/>
      <c r="E886" s="230"/>
      <c r="F886" s="230"/>
      <c r="G886" s="230"/>
      <c r="H886" s="230"/>
      <c r="I886" s="230"/>
      <c r="J886" s="230"/>
      <c r="K886" s="230"/>
      <c r="L886" s="230"/>
      <c r="M886" s="230"/>
      <c r="N886" s="230"/>
      <c r="O886" s="230"/>
      <c r="P886" s="230"/>
      <c r="Q886" s="230"/>
      <c r="R886" s="230"/>
      <c r="S886" s="230"/>
      <c r="T886" s="230"/>
      <c r="U886" s="230"/>
      <c r="V886" s="230"/>
      <c r="W886" s="230"/>
      <c r="X886" s="230"/>
      <c r="Y886" s="230"/>
      <c r="Z886" s="230"/>
    </row>
    <row r="887" spans="1:26" ht="15.75" customHeight="1">
      <c r="A887" s="230"/>
      <c r="B887" s="230"/>
      <c r="C887" s="230"/>
      <c r="D887" s="230"/>
      <c r="E887" s="230"/>
      <c r="F887" s="230"/>
      <c r="G887" s="230"/>
      <c r="H887" s="230"/>
      <c r="I887" s="230"/>
      <c r="J887" s="230"/>
      <c r="K887" s="230"/>
      <c r="L887" s="230"/>
      <c r="M887" s="230"/>
      <c r="N887" s="230"/>
      <c r="O887" s="230"/>
      <c r="P887" s="230"/>
      <c r="Q887" s="230"/>
      <c r="R887" s="230"/>
      <c r="S887" s="230"/>
      <c r="T887" s="230"/>
      <c r="U887" s="230"/>
      <c r="V887" s="230"/>
      <c r="W887" s="230"/>
      <c r="X887" s="230"/>
      <c r="Y887" s="230"/>
      <c r="Z887" s="230"/>
    </row>
    <row r="888" spans="1:26" ht="15.75" customHeight="1">
      <c r="A888" s="230"/>
      <c r="B888" s="230"/>
      <c r="C888" s="230"/>
      <c r="D888" s="230"/>
      <c r="E888" s="230"/>
      <c r="F888" s="230"/>
      <c r="G888" s="230"/>
      <c r="H888" s="230"/>
      <c r="I888" s="230"/>
      <c r="J888" s="230"/>
      <c r="K888" s="230"/>
      <c r="L888" s="230"/>
      <c r="M888" s="230"/>
      <c r="N888" s="230"/>
      <c r="O888" s="230"/>
      <c r="P888" s="230"/>
      <c r="Q888" s="230"/>
      <c r="R888" s="230"/>
      <c r="S888" s="230"/>
      <c r="T888" s="230"/>
      <c r="U888" s="230"/>
      <c r="V888" s="230"/>
      <c r="W888" s="230"/>
      <c r="X888" s="230"/>
      <c r="Y888" s="230"/>
      <c r="Z888" s="230"/>
    </row>
    <row r="889" spans="1:26" ht="15.75" customHeight="1">
      <c r="A889" s="230"/>
      <c r="B889" s="230"/>
      <c r="C889" s="230"/>
      <c r="D889" s="230"/>
      <c r="E889" s="230"/>
      <c r="F889" s="230"/>
      <c r="G889" s="230"/>
      <c r="H889" s="230"/>
      <c r="I889" s="230"/>
      <c r="J889" s="230"/>
      <c r="K889" s="230"/>
      <c r="L889" s="230"/>
      <c r="M889" s="230"/>
      <c r="N889" s="230"/>
      <c r="O889" s="230"/>
      <c r="P889" s="230"/>
      <c r="Q889" s="230"/>
      <c r="R889" s="230"/>
      <c r="S889" s="230"/>
      <c r="T889" s="230"/>
      <c r="U889" s="230"/>
      <c r="V889" s="230"/>
      <c r="W889" s="230"/>
      <c r="X889" s="230"/>
      <c r="Y889" s="230"/>
      <c r="Z889" s="230"/>
    </row>
    <row r="890" spans="1:26" ht="15.75" customHeight="1">
      <c r="A890" s="230"/>
      <c r="B890" s="230"/>
      <c r="C890" s="230"/>
      <c r="D890" s="230"/>
      <c r="E890" s="230"/>
      <c r="F890" s="230"/>
      <c r="G890" s="230"/>
      <c r="H890" s="230"/>
      <c r="I890" s="230"/>
      <c r="J890" s="230"/>
      <c r="K890" s="230"/>
      <c r="L890" s="230"/>
      <c r="M890" s="230"/>
      <c r="N890" s="230"/>
      <c r="O890" s="230"/>
      <c r="P890" s="230"/>
      <c r="Q890" s="230"/>
      <c r="R890" s="230"/>
      <c r="S890" s="230"/>
      <c r="T890" s="230"/>
      <c r="U890" s="230"/>
      <c r="V890" s="230"/>
      <c r="W890" s="230"/>
      <c r="X890" s="230"/>
      <c r="Y890" s="230"/>
      <c r="Z890" s="230"/>
    </row>
    <row r="891" spans="1:26" ht="15.75" customHeight="1">
      <c r="A891" s="230"/>
      <c r="B891" s="230"/>
      <c r="C891" s="230"/>
      <c r="D891" s="230"/>
      <c r="E891" s="230"/>
      <c r="F891" s="230"/>
      <c r="G891" s="230"/>
      <c r="H891" s="230"/>
      <c r="I891" s="230"/>
      <c r="J891" s="230"/>
      <c r="K891" s="230"/>
      <c r="L891" s="230"/>
      <c r="M891" s="230"/>
      <c r="N891" s="230"/>
      <c r="O891" s="230"/>
      <c r="P891" s="230"/>
      <c r="Q891" s="230"/>
      <c r="R891" s="230"/>
      <c r="S891" s="230"/>
      <c r="T891" s="230"/>
      <c r="U891" s="230"/>
      <c r="V891" s="230"/>
      <c r="W891" s="230"/>
      <c r="X891" s="230"/>
      <c r="Y891" s="230"/>
      <c r="Z891" s="230"/>
    </row>
    <row r="892" spans="1:26" ht="15.75" customHeight="1">
      <c r="A892" s="230"/>
      <c r="B892" s="230"/>
      <c r="C892" s="230"/>
      <c r="D892" s="230"/>
      <c r="E892" s="230"/>
      <c r="F892" s="230"/>
      <c r="G892" s="230"/>
      <c r="H892" s="230"/>
      <c r="I892" s="230"/>
      <c r="J892" s="230"/>
      <c r="K892" s="230"/>
      <c r="L892" s="230"/>
      <c r="M892" s="230"/>
      <c r="N892" s="230"/>
      <c r="O892" s="230"/>
      <c r="P892" s="230"/>
      <c r="Q892" s="230"/>
      <c r="R892" s="230"/>
      <c r="S892" s="230"/>
      <c r="T892" s="230"/>
      <c r="U892" s="230"/>
      <c r="V892" s="230"/>
      <c r="W892" s="230"/>
      <c r="X892" s="230"/>
      <c r="Y892" s="230"/>
      <c r="Z892" s="230"/>
    </row>
    <row r="893" spans="1:26" ht="15.75" customHeight="1">
      <c r="A893" s="230"/>
      <c r="B893" s="230"/>
      <c r="C893" s="230"/>
      <c r="D893" s="230"/>
      <c r="E893" s="230"/>
      <c r="F893" s="230"/>
      <c r="G893" s="230"/>
      <c r="H893" s="230"/>
      <c r="I893" s="230"/>
      <c r="J893" s="230"/>
      <c r="K893" s="230"/>
      <c r="L893" s="230"/>
      <c r="M893" s="230"/>
      <c r="N893" s="230"/>
      <c r="O893" s="230"/>
      <c r="P893" s="230"/>
      <c r="Q893" s="230"/>
      <c r="R893" s="230"/>
      <c r="S893" s="230"/>
      <c r="T893" s="230"/>
      <c r="U893" s="230"/>
      <c r="V893" s="230"/>
      <c r="W893" s="230"/>
      <c r="X893" s="230"/>
      <c r="Y893" s="230"/>
      <c r="Z893" s="230"/>
    </row>
    <row r="894" spans="1:26" ht="15.75" customHeight="1">
      <c r="A894" s="230"/>
      <c r="B894" s="230"/>
      <c r="C894" s="230"/>
      <c r="D894" s="230"/>
      <c r="E894" s="230"/>
      <c r="F894" s="230"/>
      <c r="G894" s="230"/>
      <c r="H894" s="230"/>
      <c r="I894" s="230"/>
      <c r="J894" s="230"/>
      <c r="K894" s="230"/>
      <c r="L894" s="230"/>
      <c r="M894" s="230"/>
      <c r="N894" s="230"/>
      <c r="O894" s="230"/>
      <c r="P894" s="230"/>
      <c r="Q894" s="230"/>
      <c r="R894" s="230"/>
      <c r="S894" s="230"/>
      <c r="T894" s="230"/>
      <c r="U894" s="230"/>
      <c r="V894" s="230"/>
      <c r="W894" s="230"/>
      <c r="X894" s="230"/>
      <c r="Y894" s="230"/>
      <c r="Z894" s="230"/>
    </row>
    <row r="895" spans="1:26" ht="15.75" customHeight="1">
      <c r="A895" s="230"/>
      <c r="B895" s="230"/>
      <c r="C895" s="230"/>
      <c r="D895" s="230"/>
      <c r="E895" s="230"/>
      <c r="F895" s="230"/>
      <c r="G895" s="230"/>
      <c r="H895" s="230"/>
      <c r="I895" s="230"/>
      <c r="J895" s="230"/>
      <c r="K895" s="230"/>
      <c r="L895" s="230"/>
      <c r="M895" s="230"/>
      <c r="N895" s="230"/>
      <c r="O895" s="230"/>
      <c r="P895" s="230"/>
      <c r="Q895" s="230"/>
      <c r="R895" s="230"/>
      <c r="S895" s="230"/>
      <c r="T895" s="230"/>
      <c r="U895" s="230"/>
      <c r="V895" s="230"/>
      <c r="W895" s="230"/>
      <c r="X895" s="230"/>
      <c r="Y895" s="230"/>
      <c r="Z895" s="230"/>
    </row>
    <row r="896" spans="1:26" ht="15.75" customHeight="1">
      <c r="A896" s="230"/>
      <c r="B896" s="230"/>
      <c r="C896" s="230"/>
      <c r="D896" s="230"/>
      <c r="E896" s="230"/>
      <c r="F896" s="230"/>
      <c r="G896" s="230"/>
      <c r="H896" s="230"/>
      <c r="I896" s="230"/>
      <c r="J896" s="230"/>
      <c r="K896" s="230"/>
      <c r="L896" s="230"/>
      <c r="M896" s="230"/>
      <c r="N896" s="230"/>
      <c r="O896" s="230"/>
      <c r="P896" s="230"/>
      <c r="Q896" s="230"/>
      <c r="R896" s="230"/>
      <c r="S896" s="230"/>
      <c r="T896" s="230"/>
      <c r="U896" s="230"/>
      <c r="V896" s="230"/>
      <c r="W896" s="230"/>
      <c r="X896" s="230"/>
      <c r="Y896" s="230"/>
      <c r="Z896" s="230"/>
    </row>
    <row r="897" spans="1:26" ht="15.75" customHeight="1">
      <c r="A897" s="230"/>
      <c r="B897" s="230"/>
      <c r="C897" s="230"/>
      <c r="D897" s="230"/>
      <c r="E897" s="230"/>
      <c r="F897" s="230"/>
      <c r="G897" s="230"/>
      <c r="H897" s="230"/>
      <c r="I897" s="230"/>
      <c r="J897" s="230"/>
      <c r="K897" s="230"/>
      <c r="L897" s="230"/>
      <c r="M897" s="230"/>
      <c r="N897" s="230"/>
      <c r="O897" s="230"/>
      <c r="P897" s="230"/>
      <c r="Q897" s="230"/>
      <c r="R897" s="230"/>
      <c r="S897" s="230"/>
      <c r="T897" s="230"/>
      <c r="U897" s="230"/>
      <c r="V897" s="230"/>
      <c r="W897" s="230"/>
      <c r="X897" s="230"/>
      <c r="Y897" s="230"/>
      <c r="Z897" s="230"/>
    </row>
    <row r="898" spans="1:26" ht="15.75" customHeight="1">
      <c r="A898" s="230"/>
      <c r="B898" s="230"/>
      <c r="C898" s="230"/>
      <c r="D898" s="230"/>
      <c r="E898" s="230"/>
      <c r="F898" s="230"/>
      <c r="G898" s="230"/>
      <c r="H898" s="230"/>
      <c r="I898" s="230"/>
      <c r="J898" s="230"/>
      <c r="K898" s="230"/>
      <c r="L898" s="230"/>
      <c r="M898" s="230"/>
      <c r="N898" s="230"/>
      <c r="O898" s="230"/>
      <c r="P898" s="230"/>
      <c r="Q898" s="230"/>
      <c r="R898" s="230"/>
      <c r="S898" s="230"/>
      <c r="T898" s="230"/>
      <c r="U898" s="230"/>
      <c r="V898" s="230"/>
      <c r="W898" s="230"/>
      <c r="X898" s="230"/>
      <c r="Y898" s="230"/>
      <c r="Z898" s="230"/>
    </row>
    <row r="899" spans="1:26" ht="15.75" customHeight="1">
      <c r="A899" s="230"/>
      <c r="B899" s="230"/>
      <c r="C899" s="230"/>
      <c r="D899" s="230"/>
      <c r="E899" s="230"/>
      <c r="F899" s="230"/>
      <c r="G899" s="230"/>
      <c r="H899" s="230"/>
      <c r="I899" s="230"/>
      <c r="J899" s="230"/>
      <c r="K899" s="230"/>
      <c r="L899" s="230"/>
      <c r="M899" s="230"/>
      <c r="N899" s="230"/>
      <c r="O899" s="230"/>
      <c r="P899" s="230"/>
      <c r="Q899" s="230"/>
      <c r="R899" s="230"/>
      <c r="S899" s="230"/>
      <c r="T899" s="230"/>
      <c r="U899" s="230"/>
      <c r="V899" s="230"/>
      <c r="W899" s="230"/>
      <c r="X899" s="230"/>
      <c r="Y899" s="230"/>
      <c r="Z899" s="230"/>
    </row>
    <row r="900" spans="1:26" ht="15.75" customHeight="1">
      <c r="A900" s="230"/>
      <c r="B900" s="230"/>
      <c r="C900" s="230"/>
      <c r="D900" s="230"/>
      <c r="E900" s="230"/>
      <c r="F900" s="230"/>
      <c r="G900" s="230"/>
      <c r="H900" s="230"/>
      <c r="I900" s="230"/>
      <c r="J900" s="230"/>
      <c r="K900" s="230"/>
      <c r="L900" s="230"/>
      <c r="M900" s="230"/>
      <c r="N900" s="230"/>
      <c r="O900" s="230"/>
      <c r="P900" s="230"/>
      <c r="Q900" s="230"/>
      <c r="R900" s="230"/>
      <c r="S900" s="230"/>
      <c r="T900" s="230"/>
      <c r="U900" s="230"/>
      <c r="V900" s="230"/>
      <c r="W900" s="230"/>
      <c r="X900" s="230"/>
      <c r="Y900" s="230"/>
      <c r="Z900" s="230"/>
    </row>
    <row r="901" spans="1:26" ht="15.75" customHeight="1">
      <c r="A901" s="230"/>
      <c r="B901" s="230"/>
      <c r="C901" s="230"/>
      <c r="D901" s="230"/>
      <c r="E901" s="230"/>
      <c r="F901" s="230"/>
      <c r="G901" s="230"/>
      <c r="H901" s="230"/>
      <c r="I901" s="230"/>
      <c r="J901" s="230"/>
      <c r="K901" s="230"/>
      <c r="L901" s="230"/>
      <c r="M901" s="230"/>
      <c r="N901" s="230"/>
      <c r="O901" s="230"/>
      <c r="P901" s="230"/>
      <c r="Q901" s="230"/>
      <c r="R901" s="230"/>
      <c r="S901" s="230"/>
      <c r="T901" s="230"/>
      <c r="U901" s="230"/>
      <c r="V901" s="230"/>
      <c r="W901" s="230"/>
      <c r="X901" s="230"/>
      <c r="Y901" s="230"/>
      <c r="Z901" s="230"/>
    </row>
    <row r="902" spans="1:26" ht="15.75" customHeight="1">
      <c r="A902" s="230"/>
      <c r="B902" s="230"/>
      <c r="C902" s="230"/>
      <c r="D902" s="230"/>
      <c r="E902" s="230"/>
      <c r="F902" s="230"/>
      <c r="G902" s="230"/>
      <c r="H902" s="230"/>
      <c r="I902" s="230"/>
      <c r="J902" s="230"/>
      <c r="K902" s="230"/>
      <c r="L902" s="230"/>
      <c r="M902" s="230"/>
      <c r="N902" s="230"/>
      <c r="O902" s="230"/>
      <c r="P902" s="230"/>
      <c r="Q902" s="230"/>
      <c r="R902" s="230"/>
      <c r="S902" s="230"/>
      <c r="T902" s="230"/>
      <c r="U902" s="230"/>
      <c r="V902" s="230"/>
      <c r="W902" s="230"/>
      <c r="X902" s="230"/>
      <c r="Y902" s="230"/>
      <c r="Z902" s="230"/>
    </row>
    <row r="903" spans="1:26" ht="15.75" customHeight="1">
      <c r="A903" s="230"/>
      <c r="B903" s="230"/>
      <c r="C903" s="230"/>
      <c r="D903" s="230"/>
      <c r="E903" s="230"/>
      <c r="F903" s="230"/>
      <c r="G903" s="230"/>
      <c r="H903" s="230"/>
      <c r="I903" s="230"/>
      <c r="J903" s="230"/>
      <c r="K903" s="230"/>
      <c r="L903" s="230"/>
      <c r="M903" s="230"/>
      <c r="N903" s="230"/>
      <c r="O903" s="230"/>
      <c r="P903" s="230"/>
      <c r="Q903" s="230"/>
      <c r="R903" s="230"/>
      <c r="S903" s="230"/>
      <c r="T903" s="230"/>
      <c r="U903" s="230"/>
      <c r="V903" s="230"/>
      <c r="W903" s="230"/>
      <c r="X903" s="230"/>
      <c r="Y903" s="230"/>
      <c r="Z903" s="230"/>
    </row>
    <row r="904" spans="1:26" ht="15.75" customHeight="1">
      <c r="A904" s="230"/>
      <c r="B904" s="230"/>
      <c r="C904" s="230"/>
      <c r="D904" s="230"/>
      <c r="E904" s="230"/>
      <c r="F904" s="230"/>
      <c r="G904" s="230"/>
      <c r="H904" s="230"/>
      <c r="I904" s="230"/>
      <c r="J904" s="230"/>
      <c r="K904" s="230"/>
      <c r="L904" s="230"/>
      <c r="M904" s="230"/>
      <c r="N904" s="230"/>
      <c r="O904" s="230"/>
      <c r="P904" s="230"/>
      <c r="Q904" s="230"/>
      <c r="R904" s="230"/>
      <c r="S904" s="230"/>
      <c r="T904" s="230"/>
      <c r="U904" s="230"/>
      <c r="V904" s="230"/>
      <c r="W904" s="230"/>
      <c r="X904" s="230"/>
      <c r="Y904" s="230"/>
      <c r="Z904" s="230"/>
    </row>
    <row r="905" spans="1:26" ht="15.75" customHeight="1">
      <c r="A905" s="230"/>
      <c r="B905" s="230"/>
      <c r="C905" s="230"/>
      <c r="D905" s="230"/>
      <c r="E905" s="230"/>
      <c r="F905" s="230"/>
      <c r="G905" s="230"/>
      <c r="H905" s="230"/>
      <c r="I905" s="230"/>
      <c r="J905" s="230"/>
      <c r="K905" s="230"/>
      <c r="L905" s="230"/>
      <c r="M905" s="230"/>
      <c r="N905" s="230"/>
      <c r="O905" s="230"/>
      <c r="P905" s="230"/>
      <c r="Q905" s="230"/>
      <c r="R905" s="230"/>
      <c r="S905" s="230"/>
      <c r="T905" s="230"/>
      <c r="U905" s="230"/>
      <c r="V905" s="230"/>
      <c r="W905" s="230"/>
      <c r="X905" s="230"/>
      <c r="Y905" s="230"/>
      <c r="Z905" s="230"/>
    </row>
    <row r="906" spans="1:26" ht="15.75" customHeight="1">
      <c r="A906" s="230"/>
      <c r="B906" s="230"/>
      <c r="C906" s="230"/>
      <c r="D906" s="230"/>
      <c r="E906" s="230"/>
      <c r="F906" s="230"/>
      <c r="G906" s="230"/>
      <c r="H906" s="230"/>
      <c r="I906" s="230"/>
      <c r="J906" s="230"/>
      <c r="K906" s="230"/>
      <c r="L906" s="230"/>
      <c r="M906" s="230"/>
      <c r="N906" s="230"/>
      <c r="O906" s="230"/>
      <c r="P906" s="230"/>
      <c r="Q906" s="230"/>
      <c r="R906" s="230"/>
      <c r="S906" s="230"/>
      <c r="T906" s="230"/>
      <c r="U906" s="230"/>
      <c r="V906" s="230"/>
      <c r="W906" s="230"/>
      <c r="X906" s="230"/>
      <c r="Y906" s="230"/>
      <c r="Z906" s="230"/>
    </row>
    <row r="907" spans="1:26" ht="15.75" customHeight="1">
      <c r="A907" s="230"/>
      <c r="B907" s="230"/>
      <c r="C907" s="230"/>
      <c r="D907" s="230"/>
      <c r="E907" s="230"/>
      <c r="F907" s="230"/>
      <c r="G907" s="230"/>
      <c r="H907" s="230"/>
      <c r="I907" s="230"/>
      <c r="J907" s="230"/>
      <c r="K907" s="230"/>
      <c r="L907" s="230"/>
      <c r="M907" s="230"/>
      <c r="N907" s="230"/>
      <c r="O907" s="230"/>
      <c r="P907" s="230"/>
      <c r="Q907" s="230"/>
      <c r="R907" s="230"/>
      <c r="S907" s="230"/>
      <c r="T907" s="230"/>
      <c r="U907" s="230"/>
      <c r="V907" s="230"/>
      <c r="W907" s="230"/>
      <c r="X907" s="230"/>
      <c r="Y907" s="230"/>
      <c r="Z907" s="230"/>
    </row>
    <row r="908" spans="1:26" ht="15.75" customHeight="1">
      <c r="A908" s="230"/>
      <c r="B908" s="230"/>
      <c r="C908" s="230"/>
      <c r="D908" s="230"/>
      <c r="E908" s="230"/>
      <c r="F908" s="230"/>
      <c r="G908" s="230"/>
      <c r="H908" s="230"/>
      <c r="I908" s="230"/>
      <c r="J908" s="230"/>
      <c r="K908" s="230"/>
      <c r="L908" s="230"/>
      <c r="M908" s="230"/>
      <c r="N908" s="230"/>
      <c r="O908" s="230"/>
      <c r="P908" s="230"/>
      <c r="Q908" s="230"/>
      <c r="R908" s="230"/>
      <c r="S908" s="230"/>
      <c r="T908" s="230"/>
      <c r="U908" s="230"/>
      <c r="V908" s="230"/>
      <c r="W908" s="230"/>
      <c r="X908" s="230"/>
      <c r="Y908" s="230"/>
      <c r="Z908" s="230"/>
    </row>
    <row r="909" spans="1:26" ht="15.75" customHeight="1">
      <c r="A909" s="230"/>
      <c r="B909" s="230"/>
      <c r="C909" s="230"/>
      <c r="D909" s="230"/>
      <c r="E909" s="230"/>
      <c r="F909" s="230"/>
      <c r="G909" s="230"/>
      <c r="H909" s="230"/>
      <c r="I909" s="230"/>
      <c r="J909" s="230"/>
      <c r="K909" s="230"/>
      <c r="L909" s="230"/>
      <c r="M909" s="230"/>
      <c r="N909" s="230"/>
      <c r="O909" s="230"/>
      <c r="P909" s="230"/>
      <c r="Q909" s="230"/>
      <c r="R909" s="230"/>
      <c r="S909" s="230"/>
      <c r="T909" s="230"/>
      <c r="U909" s="230"/>
      <c r="V909" s="230"/>
      <c r="W909" s="230"/>
      <c r="X909" s="230"/>
      <c r="Y909" s="230"/>
      <c r="Z909" s="230"/>
    </row>
    <row r="910" spans="1:26" ht="15.75" customHeight="1">
      <c r="A910" s="230"/>
      <c r="B910" s="230"/>
      <c r="C910" s="230"/>
      <c r="D910" s="230"/>
      <c r="E910" s="230"/>
      <c r="F910" s="230"/>
      <c r="G910" s="230"/>
      <c r="H910" s="230"/>
      <c r="I910" s="230"/>
      <c r="J910" s="230"/>
      <c r="K910" s="230"/>
      <c r="L910" s="230"/>
      <c r="M910" s="230"/>
      <c r="N910" s="230"/>
      <c r="O910" s="230"/>
      <c r="P910" s="230"/>
      <c r="Q910" s="230"/>
      <c r="R910" s="230"/>
      <c r="S910" s="230"/>
      <c r="T910" s="230"/>
      <c r="U910" s="230"/>
      <c r="V910" s="230"/>
      <c r="W910" s="230"/>
      <c r="X910" s="230"/>
      <c r="Y910" s="230"/>
      <c r="Z910" s="230"/>
    </row>
    <row r="911" spans="1:26" ht="15.75" customHeight="1">
      <c r="A911" s="230"/>
      <c r="B911" s="230"/>
      <c r="C911" s="230"/>
      <c r="D911" s="230"/>
      <c r="E911" s="230"/>
      <c r="F911" s="230"/>
      <c r="G911" s="230"/>
      <c r="H911" s="230"/>
      <c r="I911" s="230"/>
      <c r="J911" s="230"/>
      <c r="K911" s="230"/>
      <c r="L911" s="230"/>
      <c r="M911" s="230"/>
      <c r="N911" s="230"/>
      <c r="O911" s="230"/>
      <c r="P911" s="230"/>
      <c r="Q911" s="230"/>
      <c r="R911" s="230"/>
      <c r="S911" s="230"/>
      <c r="T911" s="230"/>
      <c r="U911" s="230"/>
      <c r="V911" s="230"/>
      <c r="W911" s="230"/>
      <c r="X911" s="230"/>
      <c r="Y911" s="230"/>
      <c r="Z911" s="230"/>
    </row>
    <row r="912" spans="1:26" ht="15.75" customHeight="1">
      <c r="A912" s="230"/>
      <c r="B912" s="230"/>
      <c r="C912" s="230"/>
      <c r="D912" s="230"/>
      <c r="E912" s="230"/>
      <c r="F912" s="230"/>
      <c r="G912" s="230"/>
      <c r="H912" s="230"/>
      <c r="I912" s="230"/>
      <c r="J912" s="230"/>
      <c r="K912" s="230"/>
      <c r="L912" s="230"/>
      <c r="M912" s="230"/>
      <c r="N912" s="230"/>
      <c r="O912" s="230"/>
      <c r="P912" s="230"/>
      <c r="Q912" s="230"/>
      <c r="R912" s="230"/>
      <c r="S912" s="230"/>
      <c r="T912" s="230"/>
      <c r="U912" s="230"/>
      <c r="V912" s="230"/>
      <c r="W912" s="230"/>
      <c r="X912" s="230"/>
      <c r="Y912" s="230"/>
      <c r="Z912" s="230"/>
    </row>
    <row r="913" spans="1:26" ht="15.75" customHeight="1">
      <c r="A913" s="230"/>
      <c r="B913" s="230"/>
      <c r="C913" s="230"/>
      <c r="D913" s="230"/>
      <c r="E913" s="230"/>
      <c r="F913" s="230"/>
      <c r="G913" s="230"/>
      <c r="H913" s="230"/>
      <c r="I913" s="230"/>
      <c r="J913" s="230"/>
      <c r="K913" s="230"/>
      <c r="L913" s="230"/>
      <c r="M913" s="230"/>
      <c r="N913" s="230"/>
      <c r="O913" s="230"/>
      <c r="P913" s="230"/>
      <c r="Q913" s="230"/>
      <c r="R913" s="230"/>
      <c r="S913" s="230"/>
      <c r="T913" s="230"/>
      <c r="U913" s="230"/>
      <c r="V913" s="230"/>
      <c r="W913" s="230"/>
      <c r="X913" s="230"/>
      <c r="Y913" s="230"/>
      <c r="Z913" s="230"/>
    </row>
    <row r="914" spans="1:26" ht="15.75" customHeight="1">
      <c r="A914" s="230"/>
      <c r="B914" s="230"/>
      <c r="C914" s="230"/>
      <c r="D914" s="230"/>
      <c r="E914" s="230"/>
      <c r="F914" s="230"/>
      <c r="G914" s="230"/>
      <c r="H914" s="230"/>
      <c r="I914" s="230"/>
      <c r="J914" s="230"/>
      <c r="K914" s="230"/>
      <c r="L914" s="230"/>
      <c r="M914" s="230"/>
      <c r="N914" s="230"/>
      <c r="O914" s="230"/>
      <c r="P914" s="230"/>
      <c r="Q914" s="230"/>
      <c r="R914" s="230"/>
      <c r="S914" s="230"/>
      <c r="T914" s="230"/>
      <c r="U914" s="230"/>
      <c r="V914" s="230"/>
      <c r="W914" s="230"/>
      <c r="X914" s="230"/>
      <c r="Y914" s="230"/>
      <c r="Z914" s="230"/>
    </row>
    <row r="915" spans="1:26" ht="15.75" customHeight="1">
      <c r="A915" s="230"/>
      <c r="B915" s="230"/>
      <c r="C915" s="230"/>
      <c r="D915" s="230"/>
      <c r="E915" s="230"/>
      <c r="F915" s="230"/>
      <c r="G915" s="230"/>
      <c r="H915" s="230"/>
      <c r="I915" s="230"/>
      <c r="J915" s="230"/>
      <c r="K915" s="230"/>
      <c r="L915" s="230"/>
      <c r="M915" s="230"/>
      <c r="N915" s="230"/>
      <c r="O915" s="230"/>
      <c r="P915" s="230"/>
      <c r="Q915" s="230"/>
      <c r="R915" s="230"/>
      <c r="S915" s="230"/>
      <c r="T915" s="230"/>
      <c r="U915" s="230"/>
      <c r="V915" s="230"/>
      <c r="W915" s="230"/>
      <c r="X915" s="230"/>
      <c r="Y915" s="230"/>
      <c r="Z915" s="230"/>
    </row>
    <row r="916" spans="1:26" ht="15.75" customHeight="1">
      <c r="A916" s="230"/>
      <c r="B916" s="230"/>
      <c r="C916" s="230"/>
      <c r="D916" s="230"/>
      <c r="E916" s="230"/>
      <c r="F916" s="230"/>
      <c r="G916" s="230"/>
      <c r="H916" s="230"/>
      <c r="I916" s="230"/>
      <c r="J916" s="230"/>
      <c r="K916" s="230"/>
      <c r="L916" s="230"/>
      <c r="M916" s="230"/>
      <c r="N916" s="230"/>
      <c r="O916" s="230"/>
      <c r="P916" s="230"/>
      <c r="Q916" s="230"/>
      <c r="R916" s="230"/>
      <c r="S916" s="230"/>
      <c r="T916" s="230"/>
      <c r="U916" s="230"/>
      <c r="V916" s="230"/>
      <c r="W916" s="230"/>
      <c r="X916" s="230"/>
      <c r="Y916" s="230"/>
      <c r="Z916" s="230"/>
    </row>
    <row r="917" spans="1:26" ht="15.75" customHeight="1">
      <c r="A917" s="230"/>
      <c r="B917" s="230"/>
      <c r="C917" s="230"/>
      <c r="D917" s="230"/>
      <c r="E917" s="230"/>
      <c r="F917" s="230"/>
      <c r="G917" s="230"/>
      <c r="H917" s="230"/>
      <c r="I917" s="230"/>
      <c r="J917" s="230"/>
      <c r="K917" s="230"/>
      <c r="L917" s="230"/>
      <c r="M917" s="230"/>
      <c r="N917" s="230"/>
      <c r="O917" s="230"/>
      <c r="P917" s="230"/>
      <c r="Q917" s="230"/>
      <c r="R917" s="230"/>
      <c r="S917" s="230"/>
      <c r="T917" s="230"/>
      <c r="U917" s="230"/>
      <c r="V917" s="230"/>
      <c r="W917" s="230"/>
      <c r="X917" s="230"/>
      <c r="Y917" s="230"/>
      <c r="Z917" s="230"/>
    </row>
    <row r="918" spans="1:26" ht="15.75" customHeight="1">
      <c r="A918" s="230"/>
      <c r="B918" s="230"/>
      <c r="C918" s="230"/>
      <c r="D918" s="230"/>
      <c r="E918" s="230"/>
      <c r="F918" s="230"/>
      <c r="G918" s="230"/>
      <c r="H918" s="230"/>
      <c r="I918" s="230"/>
      <c r="J918" s="230"/>
      <c r="K918" s="230"/>
      <c r="L918" s="230"/>
      <c r="M918" s="230"/>
      <c r="N918" s="230"/>
      <c r="O918" s="230"/>
      <c r="P918" s="230"/>
      <c r="Q918" s="230"/>
      <c r="R918" s="230"/>
      <c r="S918" s="230"/>
      <c r="T918" s="230"/>
      <c r="U918" s="230"/>
      <c r="V918" s="230"/>
      <c r="W918" s="230"/>
      <c r="X918" s="230"/>
      <c r="Y918" s="230"/>
      <c r="Z918" s="230"/>
    </row>
    <row r="919" spans="1:26" ht="15.75" customHeight="1">
      <c r="A919" s="230"/>
      <c r="B919" s="230"/>
      <c r="C919" s="230"/>
      <c r="D919" s="230"/>
      <c r="E919" s="230"/>
      <c r="F919" s="230"/>
      <c r="G919" s="230"/>
      <c r="H919" s="230"/>
      <c r="I919" s="230"/>
      <c r="J919" s="230"/>
      <c r="K919" s="230"/>
      <c r="L919" s="230"/>
      <c r="M919" s="230"/>
      <c r="N919" s="230"/>
      <c r="O919" s="230"/>
      <c r="P919" s="230"/>
      <c r="Q919" s="230"/>
      <c r="R919" s="230"/>
      <c r="S919" s="230"/>
      <c r="T919" s="230"/>
      <c r="U919" s="230"/>
      <c r="V919" s="230"/>
      <c r="W919" s="230"/>
      <c r="X919" s="230"/>
      <c r="Y919" s="230"/>
      <c r="Z919" s="230"/>
    </row>
    <row r="920" spans="1:26" ht="15.75" customHeight="1">
      <c r="A920" s="230"/>
      <c r="B920" s="230"/>
      <c r="C920" s="230"/>
      <c r="D920" s="230"/>
      <c r="E920" s="230"/>
      <c r="F920" s="230"/>
      <c r="G920" s="230"/>
      <c r="H920" s="230"/>
      <c r="I920" s="230"/>
      <c r="J920" s="230"/>
      <c r="K920" s="230"/>
      <c r="L920" s="230"/>
      <c r="M920" s="230"/>
      <c r="N920" s="230"/>
      <c r="O920" s="230"/>
      <c r="P920" s="230"/>
      <c r="Q920" s="230"/>
      <c r="R920" s="230"/>
      <c r="S920" s="230"/>
      <c r="T920" s="230"/>
      <c r="U920" s="230"/>
      <c r="V920" s="230"/>
      <c r="W920" s="230"/>
      <c r="X920" s="230"/>
      <c r="Y920" s="230"/>
      <c r="Z920" s="230"/>
    </row>
    <row r="921" spans="1:26" ht="15.75" customHeight="1">
      <c r="A921" s="230"/>
      <c r="B921" s="230"/>
      <c r="C921" s="230"/>
      <c r="D921" s="230"/>
      <c r="E921" s="230"/>
      <c r="F921" s="230"/>
      <c r="G921" s="230"/>
      <c r="H921" s="230"/>
      <c r="I921" s="230"/>
      <c r="J921" s="230"/>
      <c r="K921" s="230"/>
      <c r="L921" s="230"/>
      <c r="M921" s="230"/>
      <c r="N921" s="230"/>
      <c r="O921" s="230"/>
      <c r="P921" s="230"/>
      <c r="Q921" s="230"/>
      <c r="R921" s="230"/>
      <c r="S921" s="230"/>
      <c r="T921" s="230"/>
      <c r="U921" s="230"/>
      <c r="V921" s="230"/>
      <c r="W921" s="230"/>
      <c r="X921" s="230"/>
      <c r="Y921" s="230"/>
      <c r="Z921" s="230"/>
    </row>
    <row r="922" spans="1:26" ht="15.75" customHeight="1">
      <c r="A922" s="230"/>
      <c r="B922" s="230"/>
      <c r="C922" s="230"/>
      <c r="D922" s="230"/>
      <c r="E922" s="230"/>
      <c r="F922" s="230"/>
      <c r="G922" s="230"/>
      <c r="H922" s="230"/>
      <c r="I922" s="230"/>
      <c r="J922" s="230"/>
      <c r="K922" s="230"/>
      <c r="L922" s="230"/>
      <c r="M922" s="230"/>
      <c r="N922" s="230"/>
      <c r="O922" s="230"/>
      <c r="P922" s="230"/>
      <c r="Q922" s="230"/>
      <c r="R922" s="230"/>
      <c r="S922" s="230"/>
      <c r="T922" s="230"/>
      <c r="U922" s="230"/>
      <c r="V922" s="230"/>
      <c r="W922" s="230"/>
      <c r="X922" s="230"/>
      <c r="Y922" s="230"/>
      <c r="Z922" s="230"/>
    </row>
    <row r="923" spans="1:26" ht="15.75" customHeight="1">
      <c r="A923" s="230"/>
      <c r="B923" s="230"/>
      <c r="C923" s="230"/>
      <c r="D923" s="230"/>
      <c r="E923" s="230"/>
      <c r="F923" s="230"/>
      <c r="G923" s="230"/>
      <c r="H923" s="230"/>
      <c r="I923" s="230"/>
      <c r="J923" s="230"/>
      <c r="K923" s="230"/>
      <c r="L923" s="230"/>
      <c r="M923" s="230"/>
      <c r="N923" s="230"/>
      <c r="O923" s="230"/>
      <c r="P923" s="230"/>
      <c r="Q923" s="230"/>
      <c r="R923" s="230"/>
      <c r="S923" s="230"/>
      <c r="T923" s="230"/>
      <c r="U923" s="230"/>
      <c r="V923" s="230"/>
      <c r="W923" s="230"/>
      <c r="X923" s="230"/>
      <c r="Y923" s="230"/>
      <c r="Z923" s="230"/>
    </row>
    <row r="924" spans="1:26" ht="15.75" customHeight="1">
      <c r="A924" s="230"/>
      <c r="B924" s="230"/>
      <c r="C924" s="230"/>
      <c r="D924" s="230"/>
      <c r="E924" s="230"/>
      <c r="F924" s="230"/>
      <c r="G924" s="230"/>
      <c r="H924" s="230"/>
      <c r="I924" s="230"/>
      <c r="J924" s="230"/>
      <c r="K924" s="230"/>
      <c r="L924" s="230"/>
      <c r="M924" s="230"/>
      <c r="N924" s="230"/>
      <c r="O924" s="230"/>
      <c r="P924" s="230"/>
      <c r="Q924" s="230"/>
      <c r="R924" s="230"/>
      <c r="S924" s="230"/>
      <c r="T924" s="230"/>
      <c r="U924" s="230"/>
      <c r="V924" s="230"/>
      <c r="W924" s="230"/>
      <c r="X924" s="230"/>
      <c r="Y924" s="230"/>
      <c r="Z924" s="230"/>
    </row>
    <row r="925" spans="1:26" ht="15.75" customHeight="1">
      <c r="A925" s="230"/>
      <c r="B925" s="230"/>
      <c r="C925" s="230"/>
      <c r="D925" s="230"/>
      <c r="E925" s="230"/>
      <c r="F925" s="230"/>
      <c r="G925" s="230"/>
      <c r="H925" s="230"/>
      <c r="I925" s="230"/>
      <c r="J925" s="230"/>
      <c r="K925" s="230"/>
      <c r="L925" s="230"/>
      <c r="M925" s="230"/>
      <c r="N925" s="230"/>
      <c r="O925" s="230"/>
      <c r="P925" s="230"/>
      <c r="Q925" s="230"/>
      <c r="R925" s="230"/>
      <c r="S925" s="230"/>
      <c r="T925" s="230"/>
      <c r="U925" s="230"/>
      <c r="V925" s="230"/>
      <c r="W925" s="230"/>
      <c r="X925" s="230"/>
      <c r="Y925" s="230"/>
      <c r="Z925" s="230"/>
    </row>
    <row r="926" spans="1:26" ht="15.75" customHeight="1">
      <c r="A926" s="230"/>
      <c r="B926" s="230"/>
      <c r="C926" s="230"/>
      <c r="D926" s="230"/>
      <c r="E926" s="230"/>
      <c r="F926" s="230"/>
      <c r="G926" s="230"/>
      <c r="H926" s="230"/>
      <c r="I926" s="230"/>
      <c r="J926" s="230"/>
      <c r="K926" s="230"/>
      <c r="L926" s="230"/>
      <c r="M926" s="230"/>
      <c r="N926" s="230"/>
      <c r="O926" s="230"/>
      <c r="P926" s="230"/>
      <c r="Q926" s="230"/>
      <c r="R926" s="230"/>
      <c r="S926" s="230"/>
      <c r="T926" s="230"/>
      <c r="U926" s="230"/>
      <c r="V926" s="230"/>
      <c r="W926" s="230"/>
      <c r="X926" s="230"/>
      <c r="Y926" s="230"/>
      <c r="Z926" s="230"/>
    </row>
    <row r="927" spans="1:26" ht="15.75" customHeight="1">
      <c r="A927" s="230"/>
      <c r="B927" s="230"/>
      <c r="C927" s="230"/>
      <c r="D927" s="230"/>
      <c r="E927" s="230"/>
      <c r="F927" s="230"/>
      <c r="G927" s="230"/>
      <c r="H927" s="230"/>
      <c r="I927" s="230"/>
      <c r="J927" s="230"/>
      <c r="K927" s="230"/>
      <c r="L927" s="230"/>
      <c r="M927" s="230"/>
      <c r="N927" s="230"/>
      <c r="O927" s="230"/>
      <c r="P927" s="230"/>
      <c r="Q927" s="230"/>
      <c r="R927" s="230"/>
      <c r="S927" s="230"/>
      <c r="T927" s="230"/>
      <c r="U927" s="230"/>
      <c r="V927" s="230"/>
      <c r="W927" s="230"/>
      <c r="X927" s="230"/>
      <c r="Y927" s="230"/>
      <c r="Z927" s="230"/>
    </row>
    <row r="928" spans="1:26" ht="15.75" customHeight="1">
      <c r="A928" s="230"/>
      <c r="B928" s="230"/>
      <c r="C928" s="230"/>
      <c r="D928" s="230"/>
      <c r="E928" s="230"/>
      <c r="F928" s="230"/>
      <c r="G928" s="230"/>
      <c r="H928" s="230"/>
      <c r="I928" s="230"/>
      <c r="J928" s="230"/>
      <c r="K928" s="230"/>
      <c r="L928" s="230"/>
      <c r="M928" s="230"/>
      <c r="N928" s="230"/>
      <c r="O928" s="230"/>
      <c r="P928" s="230"/>
      <c r="Q928" s="230"/>
      <c r="R928" s="230"/>
      <c r="S928" s="230"/>
      <c r="T928" s="230"/>
      <c r="U928" s="230"/>
      <c r="V928" s="230"/>
      <c r="W928" s="230"/>
      <c r="X928" s="230"/>
      <c r="Y928" s="230"/>
      <c r="Z928" s="230"/>
    </row>
    <row r="929" spans="1:26" ht="15.75" customHeight="1">
      <c r="A929" s="230"/>
      <c r="B929" s="230"/>
      <c r="C929" s="230"/>
      <c r="D929" s="230"/>
      <c r="E929" s="230"/>
      <c r="F929" s="230"/>
      <c r="G929" s="230"/>
      <c r="H929" s="230"/>
      <c r="I929" s="230"/>
      <c r="J929" s="230"/>
      <c r="K929" s="230"/>
      <c r="L929" s="230"/>
      <c r="M929" s="230"/>
      <c r="N929" s="230"/>
      <c r="O929" s="230"/>
      <c r="P929" s="230"/>
      <c r="Q929" s="230"/>
      <c r="R929" s="230"/>
      <c r="S929" s="230"/>
      <c r="T929" s="230"/>
      <c r="U929" s="230"/>
      <c r="V929" s="230"/>
      <c r="W929" s="230"/>
      <c r="X929" s="230"/>
      <c r="Y929" s="230"/>
      <c r="Z929" s="230"/>
    </row>
    <row r="930" spans="1:26" ht="15.75" customHeight="1">
      <c r="A930" s="230"/>
      <c r="B930" s="230"/>
      <c r="C930" s="230"/>
      <c r="D930" s="230"/>
      <c r="E930" s="230"/>
      <c r="F930" s="230"/>
      <c r="G930" s="230"/>
      <c r="H930" s="230"/>
      <c r="I930" s="230"/>
      <c r="J930" s="230"/>
      <c r="K930" s="230"/>
      <c r="L930" s="230"/>
      <c r="M930" s="230"/>
      <c r="N930" s="230"/>
      <c r="O930" s="230"/>
      <c r="P930" s="230"/>
      <c r="Q930" s="230"/>
      <c r="R930" s="230"/>
      <c r="S930" s="230"/>
      <c r="T930" s="230"/>
      <c r="U930" s="230"/>
      <c r="V930" s="230"/>
      <c r="W930" s="230"/>
      <c r="X930" s="230"/>
      <c r="Y930" s="230"/>
      <c r="Z930" s="230"/>
    </row>
    <row r="931" spans="1:26" ht="15.75" customHeight="1">
      <c r="A931" s="230"/>
      <c r="B931" s="230"/>
      <c r="C931" s="230"/>
      <c r="D931" s="230"/>
      <c r="E931" s="230"/>
      <c r="F931" s="230"/>
      <c r="G931" s="230"/>
      <c r="H931" s="230"/>
      <c r="I931" s="230"/>
      <c r="J931" s="230"/>
      <c r="K931" s="230"/>
      <c r="L931" s="230"/>
      <c r="M931" s="230"/>
      <c r="N931" s="230"/>
      <c r="O931" s="230"/>
      <c r="P931" s="230"/>
      <c r="Q931" s="230"/>
      <c r="R931" s="230"/>
      <c r="S931" s="230"/>
      <c r="T931" s="230"/>
      <c r="U931" s="230"/>
      <c r="V931" s="230"/>
      <c r="W931" s="230"/>
      <c r="X931" s="230"/>
      <c r="Y931" s="230"/>
      <c r="Z931" s="230"/>
    </row>
    <row r="932" spans="1:26" ht="15.75" customHeight="1">
      <c r="A932" s="230"/>
      <c r="B932" s="230"/>
      <c r="C932" s="230"/>
      <c r="D932" s="230"/>
      <c r="E932" s="230"/>
      <c r="F932" s="230"/>
      <c r="G932" s="230"/>
      <c r="H932" s="230"/>
      <c r="I932" s="230"/>
      <c r="J932" s="230"/>
      <c r="K932" s="230"/>
      <c r="L932" s="230"/>
      <c r="M932" s="230"/>
      <c r="N932" s="230"/>
      <c r="O932" s="230"/>
      <c r="P932" s="230"/>
      <c r="Q932" s="230"/>
      <c r="R932" s="230"/>
      <c r="S932" s="230"/>
      <c r="T932" s="230"/>
      <c r="U932" s="230"/>
      <c r="V932" s="230"/>
      <c r="W932" s="230"/>
      <c r="X932" s="230"/>
      <c r="Y932" s="230"/>
      <c r="Z932" s="230"/>
    </row>
    <row r="933" spans="1:26" ht="15.75" customHeight="1">
      <c r="A933" s="230"/>
      <c r="B933" s="230"/>
      <c r="C933" s="230"/>
      <c r="D933" s="230"/>
      <c r="E933" s="230"/>
      <c r="F933" s="230"/>
      <c r="G933" s="230"/>
      <c r="H933" s="230"/>
      <c r="I933" s="230"/>
      <c r="J933" s="230"/>
      <c r="K933" s="230"/>
      <c r="L933" s="230"/>
      <c r="M933" s="230"/>
      <c r="N933" s="230"/>
      <c r="O933" s="230"/>
      <c r="P933" s="230"/>
      <c r="Q933" s="230"/>
      <c r="R933" s="230"/>
      <c r="S933" s="230"/>
      <c r="T933" s="230"/>
      <c r="U933" s="230"/>
      <c r="V933" s="230"/>
      <c r="W933" s="230"/>
      <c r="X933" s="230"/>
      <c r="Y933" s="230"/>
      <c r="Z933" s="230"/>
    </row>
    <row r="934" spans="1:26" ht="15.75" customHeight="1">
      <c r="A934" s="230"/>
      <c r="B934" s="230"/>
      <c r="C934" s="230"/>
      <c r="D934" s="230"/>
      <c r="E934" s="230"/>
      <c r="F934" s="230"/>
      <c r="G934" s="230"/>
      <c r="H934" s="230"/>
      <c r="I934" s="230"/>
      <c r="J934" s="230"/>
      <c r="K934" s="230"/>
      <c r="L934" s="230"/>
      <c r="M934" s="230"/>
      <c r="N934" s="230"/>
      <c r="O934" s="230"/>
      <c r="P934" s="230"/>
      <c r="Q934" s="230"/>
      <c r="R934" s="230"/>
      <c r="S934" s="230"/>
      <c r="T934" s="230"/>
      <c r="U934" s="230"/>
      <c r="V934" s="230"/>
      <c r="W934" s="230"/>
      <c r="X934" s="230"/>
      <c r="Y934" s="230"/>
      <c r="Z934" s="230"/>
    </row>
    <row r="935" spans="1:26" ht="15.75" customHeight="1">
      <c r="A935" s="230"/>
      <c r="B935" s="230"/>
      <c r="C935" s="230"/>
      <c r="D935" s="230"/>
      <c r="E935" s="230"/>
      <c r="F935" s="230"/>
      <c r="G935" s="230"/>
      <c r="H935" s="230"/>
      <c r="I935" s="230"/>
      <c r="J935" s="230"/>
      <c r="K935" s="230"/>
      <c r="L935" s="230"/>
      <c r="M935" s="230"/>
      <c r="N935" s="230"/>
      <c r="O935" s="230"/>
      <c r="P935" s="230"/>
      <c r="Q935" s="230"/>
      <c r="R935" s="230"/>
      <c r="S935" s="230"/>
      <c r="T935" s="230"/>
      <c r="U935" s="230"/>
      <c r="V935" s="230"/>
      <c r="W935" s="230"/>
      <c r="X935" s="230"/>
      <c r="Y935" s="230"/>
      <c r="Z935" s="230"/>
    </row>
    <row r="936" spans="1:26" ht="15.75" customHeight="1">
      <c r="A936" s="230"/>
      <c r="B936" s="230"/>
      <c r="C936" s="230"/>
      <c r="D936" s="230"/>
      <c r="E936" s="230"/>
      <c r="F936" s="230"/>
      <c r="G936" s="230"/>
      <c r="H936" s="230"/>
      <c r="I936" s="230"/>
      <c r="J936" s="230"/>
      <c r="K936" s="230"/>
      <c r="L936" s="230"/>
      <c r="M936" s="230"/>
      <c r="N936" s="230"/>
      <c r="O936" s="230"/>
      <c r="P936" s="230"/>
      <c r="Q936" s="230"/>
      <c r="R936" s="230"/>
      <c r="S936" s="230"/>
      <c r="T936" s="230"/>
      <c r="U936" s="230"/>
      <c r="V936" s="230"/>
      <c r="W936" s="230"/>
      <c r="X936" s="230"/>
      <c r="Y936" s="230"/>
      <c r="Z936" s="230"/>
    </row>
    <row r="937" spans="1:26" ht="15.75" customHeight="1">
      <c r="A937" s="230"/>
      <c r="B937" s="230"/>
      <c r="C937" s="230"/>
      <c r="D937" s="230"/>
      <c r="E937" s="230"/>
      <c r="F937" s="230"/>
      <c r="G937" s="230"/>
      <c r="H937" s="230"/>
      <c r="I937" s="230"/>
      <c r="J937" s="230"/>
      <c r="K937" s="230"/>
      <c r="L937" s="230"/>
      <c r="M937" s="230"/>
      <c r="N937" s="230"/>
      <c r="O937" s="230"/>
      <c r="P937" s="230"/>
      <c r="Q937" s="230"/>
      <c r="R937" s="230"/>
      <c r="S937" s="230"/>
      <c r="T937" s="230"/>
      <c r="U937" s="230"/>
      <c r="V937" s="230"/>
      <c r="W937" s="230"/>
      <c r="X937" s="230"/>
      <c r="Y937" s="230"/>
      <c r="Z937" s="230"/>
    </row>
    <row r="938" spans="1:26" ht="15.75" customHeight="1">
      <c r="A938" s="230"/>
      <c r="B938" s="230"/>
      <c r="C938" s="230"/>
      <c r="D938" s="230"/>
      <c r="E938" s="230"/>
      <c r="F938" s="230"/>
      <c r="G938" s="230"/>
      <c r="H938" s="230"/>
      <c r="I938" s="230"/>
      <c r="J938" s="230"/>
      <c r="K938" s="230"/>
      <c r="L938" s="230"/>
      <c r="M938" s="230"/>
      <c r="N938" s="230"/>
      <c r="O938" s="230"/>
      <c r="P938" s="230"/>
      <c r="Q938" s="230"/>
      <c r="R938" s="230"/>
      <c r="S938" s="230"/>
      <c r="T938" s="230"/>
      <c r="U938" s="230"/>
      <c r="V938" s="230"/>
      <c r="W938" s="230"/>
      <c r="X938" s="230"/>
      <c r="Y938" s="230"/>
      <c r="Z938" s="230"/>
    </row>
    <row r="939" spans="1:26" ht="15.75" customHeight="1">
      <c r="A939" s="230"/>
      <c r="B939" s="230"/>
      <c r="C939" s="230"/>
      <c r="D939" s="230"/>
      <c r="E939" s="230"/>
      <c r="F939" s="230"/>
      <c r="G939" s="230"/>
      <c r="H939" s="230"/>
      <c r="I939" s="230"/>
      <c r="J939" s="230"/>
      <c r="K939" s="230"/>
      <c r="L939" s="230"/>
      <c r="M939" s="230"/>
      <c r="N939" s="230"/>
      <c r="O939" s="230"/>
      <c r="P939" s="230"/>
      <c r="Q939" s="230"/>
      <c r="R939" s="230"/>
      <c r="S939" s="230"/>
      <c r="T939" s="230"/>
      <c r="U939" s="230"/>
      <c r="V939" s="230"/>
      <c r="W939" s="230"/>
      <c r="X939" s="230"/>
      <c r="Y939" s="230"/>
      <c r="Z939" s="230"/>
    </row>
    <row r="940" spans="1:26" ht="15.75" customHeight="1">
      <c r="A940" s="230"/>
      <c r="B940" s="230"/>
      <c r="C940" s="230"/>
      <c r="D940" s="230"/>
      <c r="E940" s="230"/>
      <c r="F940" s="230"/>
      <c r="G940" s="230"/>
      <c r="H940" s="230"/>
      <c r="I940" s="230"/>
      <c r="J940" s="230"/>
      <c r="K940" s="230"/>
      <c r="L940" s="230"/>
      <c r="M940" s="230"/>
      <c r="N940" s="230"/>
      <c r="O940" s="230"/>
      <c r="P940" s="230"/>
      <c r="Q940" s="230"/>
      <c r="R940" s="230"/>
      <c r="S940" s="230"/>
      <c r="T940" s="230"/>
      <c r="U940" s="230"/>
      <c r="V940" s="230"/>
      <c r="W940" s="230"/>
      <c r="X940" s="230"/>
      <c r="Y940" s="230"/>
      <c r="Z940" s="230"/>
    </row>
    <row r="941" spans="1:26" ht="15.75" customHeight="1">
      <c r="A941" s="230"/>
      <c r="B941" s="230"/>
      <c r="C941" s="230"/>
      <c r="D941" s="230"/>
      <c r="E941" s="230"/>
      <c r="F941" s="230"/>
      <c r="G941" s="230"/>
      <c r="H941" s="230"/>
      <c r="I941" s="230"/>
      <c r="J941" s="230"/>
      <c r="K941" s="230"/>
      <c r="L941" s="230"/>
      <c r="M941" s="230"/>
      <c r="N941" s="230"/>
      <c r="O941" s="230"/>
      <c r="P941" s="230"/>
      <c r="Q941" s="230"/>
      <c r="R941" s="230"/>
      <c r="S941" s="230"/>
      <c r="T941" s="230"/>
      <c r="U941" s="230"/>
      <c r="V941" s="230"/>
      <c r="W941" s="230"/>
      <c r="X941" s="230"/>
      <c r="Y941" s="230"/>
      <c r="Z941" s="230"/>
    </row>
    <row r="942" spans="1:26" ht="15.75" customHeight="1">
      <c r="A942" s="230"/>
      <c r="B942" s="230"/>
      <c r="C942" s="230"/>
      <c r="D942" s="230"/>
      <c r="E942" s="230"/>
      <c r="F942" s="230"/>
      <c r="G942" s="230"/>
      <c r="H942" s="230"/>
      <c r="I942" s="230"/>
      <c r="J942" s="230"/>
      <c r="K942" s="230"/>
      <c r="L942" s="230"/>
      <c r="M942" s="230"/>
      <c r="N942" s="230"/>
      <c r="O942" s="230"/>
      <c r="P942" s="230"/>
      <c r="Q942" s="230"/>
      <c r="R942" s="230"/>
      <c r="S942" s="230"/>
      <c r="T942" s="230"/>
      <c r="U942" s="230"/>
      <c r="V942" s="230"/>
      <c r="W942" s="230"/>
      <c r="X942" s="230"/>
      <c r="Y942" s="230"/>
      <c r="Z942" s="230"/>
    </row>
    <row r="943" spans="1:26" ht="15.75" customHeight="1">
      <c r="A943" s="230"/>
      <c r="B943" s="230"/>
      <c r="C943" s="230"/>
      <c r="D943" s="230"/>
      <c r="E943" s="230"/>
      <c r="F943" s="230"/>
      <c r="G943" s="230"/>
      <c r="H943" s="230"/>
      <c r="I943" s="230"/>
      <c r="J943" s="230"/>
      <c r="K943" s="230"/>
      <c r="L943" s="230"/>
      <c r="M943" s="230"/>
      <c r="N943" s="230"/>
      <c r="O943" s="230"/>
      <c r="P943" s="230"/>
      <c r="Q943" s="230"/>
      <c r="R943" s="230"/>
      <c r="S943" s="230"/>
      <c r="T943" s="230"/>
      <c r="U943" s="230"/>
      <c r="V943" s="230"/>
      <c r="W943" s="230"/>
      <c r="X943" s="230"/>
      <c r="Y943" s="230"/>
      <c r="Z943" s="230"/>
    </row>
    <row r="944" spans="1:26" ht="15.75" customHeight="1">
      <c r="A944" s="230"/>
      <c r="B944" s="230"/>
      <c r="C944" s="230"/>
      <c r="D944" s="230"/>
      <c r="E944" s="230"/>
      <c r="F944" s="230"/>
      <c r="G944" s="230"/>
      <c r="H944" s="230"/>
      <c r="I944" s="230"/>
      <c r="J944" s="230"/>
      <c r="K944" s="230"/>
      <c r="L944" s="230"/>
      <c r="M944" s="230"/>
      <c r="N944" s="230"/>
      <c r="O944" s="230"/>
      <c r="P944" s="230"/>
      <c r="Q944" s="230"/>
      <c r="R944" s="230"/>
      <c r="S944" s="230"/>
      <c r="T944" s="230"/>
      <c r="U944" s="230"/>
      <c r="V944" s="230"/>
      <c r="W944" s="230"/>
      <c r="X944" s="230"/>
      <c r="Y944" s="230"/>
      <c r="Z944" s="230"/>
    </row>
    <row r="945" spans="1:26" ht="15.75" customHeight="1">
      <c r="A945" s="230"/>
      <c r="B945" s="230"/>
      <c r="C945" s="230"/>
      <c r="D945" s="230"/>
      <c r="E945" s="230"/>
      <c r="F945" s="230"/>
      <c r="G945" s="230"/>
      <c r="H945" s="230"/>
      <c r="I945" s="230"/>
      <c r="J945" s="230"/>
      <c r="K945" s="230"/>
      <c r="L945" s="230"/>
      <c r="M945" s="230"/>
      <c r="N945" s="230"/>
      <c r="O945" s="230"/>
      <c r="P945" s="230"/>
      <c r="Q945" s="230"/>
      <c r="R945" s="230"/>
      <c r="S945" s="230"/>
      <c r="T945" s="230"/>
      <c r="U945" s="230"/>
      <c r="V945" s="230"/>
      <c r="W945" s="230"/>
      <c r="X945" s="230"/>
      <c r="Y945" s="230"/>
      <c r="Z945" s="230"/>
    </row>
    <row r="946" spans="1:26" ht="15.75" customHeight="1">
      <c r="A946" s="230"/>
      <c r="B946" s="230"/>
      <c r="C946" s="230"/>
      <c r="D946" s="230"/>
      <c r="E946" s="230"/>
      <c r="F946" s="230"/>
      <c r="G946" s="230"/>
      <c r="H946" s="230"/>
      <c r="I946" s="230"/>
      <c r="J946" s="230"/>
      <c r="K946" s="230"/>
      <c r="L946" s="230"/>
      <c r="M946" s="230"/>
      <c r="N946" s="230"/>
      <c r="O946" s="230"/>
      <c r="P946" s="230"/>
      <c r="Q946" s="230"/>
      <c r="R946" s="230"/>
      <c r="S946" s="230"/>
      <c r="T946" s="230"/>
      <c r="U946" s="230"/>
      <c r="V946" s="230"/>
      <c r="W946" s="230"/>
      <c r="X946" s="230"/>
      <c r="Y946" s="230"/>
      <c r="Z946" s="230"/>
    </row>
    <row r="947" spans="1:26" ht="15.75" customHeight="1">
      <c r="A947" s="230"/>
      <c r="B947" s="230"/>
      <c r="C947" s="230"/>
      <c r="D947" s="230"/>
      <c r="E947" s="230"/>
      <c r="F947" s="230"/>
      <c r="G947" s="230"/>
      <c r="H947" s="230"/>
      <c r="I947" s="230"/>
      <c r="J947" s="230"/>
      <c r="K947" s="230"/>
      <c r="L947" s="230"/>
      <c r="M947" s="230"/>
      <c r="N947" s="230"/>
      <c r="O947" s="230"/>
      <c r="P947" s="230"/>
      <c r="Q947" s="230"/>
      <c r="R947" s="230"/>
      <c r="S947" s="230"/>
      <c r="T947" s="230"/>
      <c r="U947" s="230"/>
      <c r="V947" s="230"/>
      <c r="W947" s="230"/>
      <c r="X947" s="230"/>
      <c r="Y947" s="230"/>
      <c r="Z947" s="230"/>
    </row>
    <row r="948" spans="1:26" ht="15.75" customHeight="1">
      <c r="A948" s="230"/>
      <c r="B948" s="230"/>
      <c r="C948" s="230"/>
      <c r="D948" s="230"/>
      <c r="E948" s="230"/>
      <c r="F948" s="230"/>
      <c r="G948" s="230"/>
      <c r="H948" s="230"/>
      <c r="I948" s="230"/>
      <c r="J948" s="230"/>
      <c r="K948" s="230"/>
      <c r="L948" s="230"/>
      <c r="M948" s="230"/>
      <c r="N948" s="230"/>
      <c r="O948" s="230"/>
      <c r="P948" s="230"/>
      <c r="Q948" s="230"/>
      <c r="R948" s="230"/>
      <c r="S948" s="230"/>
      <c r="T948" s="230"/>
      <c r="U948" s="230"/>
      <c r="V948" s="230"/>
      <c r="W948" s="230"/>
      <c r="X948" s="230"/>
      <c r="Y948" s="230"/>
      <c r="Z948" s="230"/>
    </row>
    <row r="949" spans="1:26" ht="15.75" customHeight="1">
      <c r="A949" s="230"/>
      <c r="B949" s="230"/>
      <c r="C949" s="230"/>
      <c r="D949" s="230"/>
      <c r="E949" s="230"/>
      <c r="F949" s="230"/>
      <c r="G949" s="230"/>
      <c r="H949" s="230"/>
      <c r="I949" s="230"/>
      <c r="J949" s="230"/>
      <c r="K949" s="230"/>
      <c r="L949" s="230"/>
      <c r="M949" s="230"/>
      <c r="N949" s="230"/>
      <c r="O949" s="230"/>
      <c r="P949" s="230"/>
      <c r="Q949" s="230"/>
      <c r="R949" s="230"/>
      <c r="S949" s="230"/>
      <c r="T949" s="230"/>
      <c r="U949" s="230"/>
      <c r="V949" s="230"/>
      <c r="W949" s="230"/>
      <c r="X949" s="230"/>
      <c r="Y949" s="230"/>
      <c r="Z949" s="230"/>
    </row>
    <row r="950" spans="1:26" ht="15.75" customHeight="1">
      <c r="A950" s="230"/>
      <c r="B950" s="230"/>
      <c r="C950" s="230"/>
      <c r="D950" s="230"/>
      <c r="E950" s="230"/>
      <c r="F950" s="230"/>
      <c r="G950" s="230"/>
      <c r="H950" s="230"/>
      <c r="I950" s="230"/>
      <c r="J950" s="230"/>
      <c r="K950" s="230"/>
      <c r="L950" s="230"/>
      <c r="M950" s="230"/>
      <c r="N950" s="230"/>
      <c r="O950" s="230"/>
      <c r="P950" s="230"/>
      <c r="Q950" s="230"/>
      <c r="R950" s="230"/>
      <c r="S950" s="230"/>
      <c r="T950" s="230"/>
      <c r="U950" s="230"/>
      <c r="V950" s="230"/>
      <c r="W950" s="230"/>
      <c r="X950" s="230"/>
      <c r="Y950" s="230"/>
      <c r="Z950" s="230"/>
    </row>
    <row r="951" spans="1:26" ht="15.75" customHeight="1">
      <c r="A951" s="230"/>
      <c r="B951" s="230"/>
      <c r="C951" s="230"/>
      <c r="D951" s="230"/>
      <c r="E951" s="230"/>
      <c r="F951" s="230"/>
      <c r="G951" s="230"/>
      <c r="H951" s="230"/>
      <c r="I951" s="230"/>
      <c r="J951" s="230"/>
      <c r="K951" s="230"/>
      <c r="L951" s="230"/>
      <c r="M951" s="230"/>
      <c r="N951" s="230"/>
      <c r="O951" s="230"/>
      <c r="P951" s="230"/>
      <c r="Q951" s="230"/>
      <c r="R951" s="230"/>
      <c r="S951" s="230"/>
      <c r="T951" s="230"/>
      <c r="U951" s="230"/>
      <c r="V951" s="230"/>
      <c r="W951" s="230"/>
      <c r="X951" s="230"/>
      <c r="Y951" s="230"/>
      <c r="Z951" s="230"/>
    </row>
    <row r="952" spans="1:26" ht="15.75" customHeight="1">
      <c r="A952" s="230"/>
      <c r="B952" s="230"/>
      <c r="C952" s="230"/>
      <c r="D952" s="230"/>
      <c r="E952" s="230"/>
      <c r="F952" s="230"/>
      <c r="G952" s="230"/>
      <c r="H952" s="230"/>
      <c r="I952" s="230"/>
      <c r="J952" s="230"/>
      <c r="K952" s="230"/>
      <c r="L952" s="230"/>
      <c r="M952" s="230"/>
      <c r="N952" s="230"/>
      <c r="O952" s="230"/>
      <c r="P952" s="230"/>
      <c r="Q952" s="230"/>
      <c r="R952" s="230"/>
      <c r="S952" s="230"/>
      <c r="T952" s="230"/>
      <c r="U952" s="230"/>
      <c r="V952" s="230"/>
      <c r="W952" s="230"/>
      <c r="X952" s="230"/>
      <c r="Y952" s="230"/>
      <c r="Z952" s="230"/>
    </row>
    <row r="953" spans="1:26" ht="15.75" customHeight="1">
      <c r="A953" s="230"/>
      <c r="B953" s="230"/>
      <c r="C953" s="230"/>
      <c r="D953" s="230"/>
      <c r="E953" s="230"/>
      <c r="F953" s="230"/>
      <c r="G953" s="230"/>
      <c r="H953" s="230"/>
      <c r="I953" s="230"/>
      <c r="J953" s="230"/>
      <c r="K953" s="230"/>
      <c r="L953" s="230"/>
      <c r="M953" s="230"/>
      <c r="N953" s="230"/>
      <c r="O953" s="230"/>
      <c r="P953" s="230"/>
      <c r="Q953" s="230"/>
      <c r="R953" s="230"/>
      <c r="S953" s="230"/>
      <c r="T953" s="230"/>
      <c r="U953" s="230"/>
      <c r="V953" s="230"/>
      <c r="W953" s="230"/>
      <c r="X953" s="230"/>
      <c r="Y953" s="230"/>
      <c r="Z953" s="230"/>
    </row>
    <row r="954" spans="1:26" ht="15.75" customHeight="1">
      <c r="A954" s="230"/>
      <c r="B954" s="230"/>
      <c r="C954" s="230"/>
      <c r="D954" s="230"/>
      <c r="E954" s="230"/>
      <c r="F954" s="230"/>
      <c r="G954" s="230"/>
      <c r="H954" s="230"/>
      <c r="I954" s="230"/>
      <c r="J954" s="230"/>
      <c r="K954" s="230"/>
      <c r="L954" s="230"/>
      <c r="M954" s="230"/>
      <c r="N954" s="230"/>
      <c r="O954" s="230"/>
      <c r="P954" s="230"/>
      <c r="Q954" s="230"/>
      <c r="R954" s="230"/>
      <c r="S954" s="230"/>
      <c r="T954" s="230"/>
      <c r="U954" s="230"/>
      <c r="V954" s="230"/>
      <c r="W954" s="230"/>
      <c r="X954" s="230"/>
      <c r="Y954" s="230"/>
      <c r="Z954" s="230"/>
    </row>
    <row r="955" spans="1:26" ht="15.75" customHeight="1">
      <c r="A955" s="230"/>
      <c r="B955" s="230"/>
      <c r="C955" s="230"/>
      <c r="D955" s="230"/>
      <c r="E955" s="230"/>
      <c r="F955" s="230"/>
      <c r="G955" s="230"/>
      <c r="H955" s="230"/>
      <c r="I955" s="230"/>
      <c r="J955" s="230"/>
      <c r="K955" s="230"/>
      <c r="L955" s="230"/>
      <c r="M955" s="230"/>
      <c r="N955" s="230"/>
      <c r="O955" s="230"/>
      <c r="P955" s="230"/>
      <c r="Q955" s="230"/>
      <c r="R955" s="230"/>
      <c r="S955" s="230"/>
      <c r="T955" s="230"/>
      <c r="U955" s="230"/>
      <c r="V955" s="230"/>
      <c r="W955" s="230"/>
      <c r="X955" s="230"/>
      <c r="Y955" s="230"/>
      <c r="Z955" s="230"/>
    </row>
    <row r="956" spans="1:26" ht="15.75" customHeight="1">
      <c r="A956" s="230"/>
      <c r="B956" s="230"/>
      <c r="C956" s="230"/>
      <c r="D956" s="230"/>
      <c r="E956" s="230"/>
      <c r="F956" s="230"/>
      <c r="G956" s="230"/>
      <c r="H956" s="230"/>
      <c r="I956" s="230"/>
      <c r="J956" s="230"/>
      <c r="K956" s="230"/>
      <c r="L956" s="230"/>
      <c r="M956" s="230"/>
      <c r="N956" s="230"/>
      <c r="O956" s="230"/>
      <c r="P956" s="230"/>
      <c r="Q956" s="230"/>
      <c r="R956" s="230"/>
      <c r="S956" s="230"/>
      <c r="T956" s="230"/>
      <c r="U956" s="230"/>
      <c r="V956" s="230"/>
      <c r="W956" s="230"/>
      <c r="X956" s="230"/>
      <c r="Y956" s="230"/>
      <c r="Z956" s="230"/>
    </row>
    <row r="957" spans="1:26" ht="15.75" customHeight="1">
      <c r="A957" s="230"/>
      <c r="B957" s="230"/>
      <c r="C957" s="230"/>
      <c r="D957" s="230"/>
      <c r="E957" s="230"/>
      <c r="F957" s="230"/>
      <c r="G957" s="230"/>
      <c r="H957" s="230"/>
      <c r="I957" s="230"/>
      <c r="J957" s="230"/>
      <c r="K957" s="230"/>
      <c r="L957" s="230"/>
      <c r="M957" s="230"/>
      <c r="N957" s="230"/>
      <c r="O957" s="230"/>
      <c r="P957" s="230"/>
      <c r="Q957" s="230"/>
      <c r="R957" s="230"/>
      <c r="S957" s="230"/>
      <c r="T957" s="230"/>
      <c r="U957" s="230"/>
      <c r="V957" s="230"/>
      <c r="W957" s="230"/>
      <c r="X957" s="230"/>
      <c r="Y957" s="230"/>
      <c r="Z957" s="230"/>
    </row>
    <row r="958" spans="1:26" ht="15.75" customHeight="1">
      <c r="A958" s="230"/>
      <c r="B958" s="230"/>
      <c r="C958" s="230"/>
      <c r="D958" s="230"/>
      <c r="E958" s="230"/>
      <c r="F958" s="230"/>
      <c r="G958" s="230"/>
      <c r="H958" s="230"/>
      <c r="I958" s="230"/>
      <c r="J958" s="230"/>
      <c r="K958" s="230"/>
      <c r="L958" s="230"/>
      <c r="M958" s="230"/>
      <c r="N958" s="230"/>
      <c r="O958" s="230"/>
      <c r="P958" s="230"/>
      <c r="Q958" s="230"/>
      <c r="R958" s="230"/>
      <c r="S958" s="230"/>
      <c r="T958" s="230"/>
      <c r="U958" s="230"/>
      <c r="V958" s="230"/>
      <c r="W958" s="230"/>
      <c r="X958" s="230"/>
      <c r="Y958" s="230"/>
      <c r="Z958" s="230"/>
    </row>
    <row r="959" spans="1:26" ht="15.75" customHeight="1">
      <c r="A959" s="230"/>
      <c r="B959" s="230"/>
      <c r="C959" s="230"/>
      <c r="D959" s="230"/>
      <c r="E959" s="230"/>
      <c r="F959" s="230"/>
      <c r="G959" s="230"/>
      <c r="H959" s="230"/>
      <c r="I959" s="230"/>
      <c r="J959" s="230"/>
      <c r="K959" s="230"/>
      <c r="L959" s="230"/>
      <c r="M959" s="230"/>
      <c r="N959" s="230"/>
      <c r="O959" s="230"/>
      <c r="P959" s="230"/>
      <c r="Q959" s="230"/>
      <c r="R959" s="230"/>
      <c r="S959" s="230"/>
      <c r="T959" s="230"/>
      <c r="U959" s="230"/>
      <c r="V959" s="230"/>
      <c r="W959" s="230"/>
      <c r="X959" s="230"/>
      <c r="Y959" s="230"/>
      <c r="Z959" s="230"/>
    </row>
    <row r="960" spans="1:26" ht="15.75" customHeight="1">
      <c r="A960" s="230"/>
      <c r="B960" s="230"/>
      <c r="C960" s="230"/>
      <c r="D960" s="230"/>
      <c r="E960" s="230"/>
      <c r="F960" s="230"/>
      <c r="G960" s="230"/>
      <c r="H960" s="230"/>
      <c r="I960" s="230"/>
      <c r="J960" s="230"/>
      <c r="K960" s="230"/>
      <c r="L960" s="230"/>
      <c r="M960" s="230"/>
      <c r="N960" s="230"/>
      <c r="O960" s="230"/>
      <c r="P960" s="230"/>
      <c r="Q960" s="230"/>
      <c r="R960" s="230"/>
      <c r="S960" s="230"/>
      <c r="T960" s="230"/>
      <c r="U960" s="230"/>
      <c r="V960" s="230"/>
      <c r="W960" s="230"/>
      <c r="X960" s="230"/>
      <c r="Y960" s="230"/>
      <c r="Z960" s="230"/>
    </row>
    <row r="961" spans="1:26" ht="15.75" customHeight="1">
      <c r="A961" s="230"/>
      <c r="B961" s="230"/>
      <c r="C961" s="230"/>
      <c r="D961" s="230"/>
      <c r="E961" s="230"/>
      <c r="F961" s="230"/>
      <c r="G961" s="230"/>
      <c r="H961" s="230"/>
      <c r="I961" s="230"/>
      <c r="J961" s="230"/>
      <c r="K961" s="230"/>
      <c r="L961" s="230"/>
      <c r="M961" s="230"/>
      <c r="N961" s="230"/>
      <c r="O961" s="230"/>
      <c r="P961" s="230"/>
      <c r="Q961" s="230"/>
      <c r="R961" s="230"/>
      <c r="S961" s="230"/>
      <c r="T961" s="230"/>
      <c r="U961" s="230"/>
      <c r="V961" s="230"/>
      <c r="W961" s="230"/>
      <c r="X961" s="230"/>
      <c r="Y961" s="230"/>
      <c r="Z961" s="230"/>
    </row>
    <row r="962" spans="1:26" ht="15.75" customHeight="1">
      <c r="A962" s="230"/>
      <c r="B962" s="230"/>
      <c r="C962" s="230"/>
      <c r="D962" s="230"/>
      <c r="E962" s="230"/>
      <c r="F962" s="230"/>
      <c r="G962" s="230"/>
      <c r="H962" s="230"/>
      <c r="I962" s="230"/>
      <c r="J962" s="230"/>
      <c r="K962" s="230"/>
      <c r="L962" s="230"/>
      <c r="M962" s="230"/>
      <c r="N962" s="230"/>
      <c r="O962" s="230"/>
      <c r="P962" s="230"/>
      <c r="Q962" s="230"/>
      <c r="R962" s="230"/>
      <c r="S962" s="230"/>
      <c r="T962" s="230"/>
      <c r="U962" s="230"/>
      <c r="V962" s="230"/>
      <c r="W962" s="230"/>
      <c r="X962" s="230"/>
      <c r="Y962" s="230"/>
      <c r="Z962" s="230"/>
    </row>
    <row r="963" spans="1:26" ht="15.75" customHeight="1">
      <c r="A963" s="230"/>
      <c r="B963" s="230"/>
      <c r="C963" s="230"/>
      <c r="D963" s="230"/>
      <c r="E963" s="230"/>
      <c r="F963" s="230"/>
      <c r="G963" s="230"/>
      <c r="H963" s="230"/>
      <c r="I963" s="230"/>
      <c r="J963" s="230"/>
      <c r="K963" s="230"/>
      <c r="L963" s="230"/>
      <c r="M963" s="230"/>
      <c r="N963" s="230"/>
      <c r="O963" s="230"/>
      <c r="P963" s="230"/>
      <c r="Q963" s="230"/>
      <c r="R963" s="230"/>
      <c r="S963" s="230"/>
      <c r="T963" s="230"/>
      <c r="U963" s="230"/>
      <c r="V963" s="230"/>
      <c r="W963" s="230"/>
      <c r="X963" s="230"/>
      <c r="Y963" s="230"/>
      <c r="Z963" s="230"/>
    </row>
    <row r="964" spans="1:26" ht="15.75" customHeight="1">
      <c r="A964" s="230"/>
      <c r="B964" s="230"/>
      <c r="C964" s="230"/>
      <c r="D964" s="230"/>
      <c r="E964" s="230"/>
      <c r="F964" s="230"/>
      <c r="G964" s="230"/>
      <c r="H964" s="230"/>
      <c r="I964" s="230"/>
      <c r="J964" s="230"/>
      <c r="K964" s="230"/>
      <c r="L964" s="230"/>
      <c r="M964" s="230"/>
      <c r="N964" s="230"/>
      <c r="O964" s="230"/>
      <c r="P964" s="230"/>
      <c r="Q964" s="230"/>
      <c r="R964" s="230"/>
      <c r="S964" s="230"/>
      <c r="T964" s="230"/>
      <c r="U964" s="230"/>
      <c r="V964" s="230"/>
      <c r="W964" s="230"/>
      <c r="X964" s="230"/>
      <c r="Y964" s="230"/>
      <c r="Z964" s="230"/>
    </row>
    <row r="965" spans="1:26" ht="15.75" customHeight="1">
      <c r="A965" s="230"/>
      <c r="B965" s="230"/>
      <c r="C965" s="230"/>
      <c r="D965" s="230"/>
      <c r="E965" s="230"/>
      <c r="F965" s="230"/>
      <c r="G965" s="230"/>
      <c r="H965" s="230"/>
      <c r="I965" s="230"/>
      <c r="J965" s="230"/>
      <c r="K965" s="230"/>
      <c r="L965" s="230"/>
      <c r="M965" s="230"/>
      <c r="N965" s="230"/>
      <c r="O965" s="230"/>
      <c r="P965" s="230"/>
      <c r="Q965" s="230"/>
      <c r="R965" s="230"/>
      <c r="S965" s="230"/>
      <c r="T965" s="230"/>
      <c r="U965" s="230"/>
      <c r="V965" s="230"/>
      <c r="W965" s="230"/>
      <c r="X965" s="230"/>
      <c r="Y965" s="230"/>
      <c r="Z965" s="230"/>
    </row>
    <row r="966" spans="1:26" ht="15.75" customHeight="1">
      <c r="A966" s="230"/>
      <c r="B966" s="230"/>
      <c r="C966" s="230"/>
      <c r="D966" s="230"/>
      <c r="E966" s="230"/>
      <c r="F966" s="230"/>
      <c r="G966" s="230"/>
      <c r="H966" s="230"/>
      <c r="I966" s="230"/>
      <c r="J966" s="230"/>
      <c r="K966" s="230"/>
      <c r="L966" s="230"/>
      <c r="M966" s="230"/>
      <c r="N966" s="230"/>
      <c r="O966" s="230"/>
      <c r="P966" s="230"/>
      <c r="Q966" s="230"/>
      <c r="R966" s="230"/>
      <c r="S966" s="230"/>
      <c r="T966" s="230"/>
      <c r="U966" s="230"/>
      <c r="V966" s="230"/>
      <c r="W966" s="230"/>
      <c r="X966" s="230"/>
      <c r="Y966" s="230"/>
      <c r="Z966" s="230"/>
    </row>
    <row r="967" spans="1:26" ht="15.75" customHeight="1">
      <c r="A967" s="230"/>
      <c r="B967" s="230"/>
      <c r="C967" s="230"/>
      <c r="D967" s="230"/>
      <c r="E967" s="230"/>
      <c r="F967" s="230"/>
      <c r="G967" s="230"/>
      <c r="H967" s="230"/>
      <c r="I967" s="230"/>
      <c r="J967" s="230"/>
      <c r="K967" s="230"/>
      <c r="L967" s="230"/>
      <c r="M967" s="230"/>
      <c r="N967" s="230"/>
      <c r="O967" s="230"/>
      <c r="P967" s="230"/>
      <c r="Q967" s="230"/>
      <c r="R967" s="230"/>
      <c r="S967" s="230"/>
      <c r="T967" s="230"/>
      <c r="U967" s="230"/>
      <c r="V967" s="230"/>
      <c r="W967" s="230"/>
      <c r="X967" s="230"/>
      <c r="Y967" s="230"/>
      <c r="Z967" s="230"/>
    </row>
    <row r="968" spans="1:26" ht="15.75" customHeight="1">
      <c r="A968" s="230"/>
      <c r="B968" s="230"/>
      <c r="C968" s="230"/>
      <c r="D968" s="230"/>
      <c r="E968" s="230"/>
      <c r="F968" s="230"/>
      <c r="G968" s="230"/>
      <c r="H968" s="230"/>
      <c r="I968" s="230"/>
      <c r="J968" s="230"/>
      <c r="K968" s="230"/>
      <c r="L968" s="230"/>
      <c r="M968" s="230"/>
      <c r="N968" s="230"/>
      <c r="O968" s="230"/>
      <c r="P968" s="230"/>
      <c r="Q968" s="230"/>
      <c r="R968" s="230"/>
      <c r="S968" s="230"/>
      <c r="T968" s="230"/>
      <c r="U968" s="230"/>
      <c r="V968" s="230"/>
      <c r="W968" s="230"/>
      <c r="X968" s="230"/>
      <c r="Y968" s="230"/>
      <c r="Z968" s="230"/>
    </row>
    <row r="969" spans="1:26" ht="15.75" customHeight="1">
      <c r="A969" s="230"/>
      <c r="B969" s="230"/>
      <c r="C969" s="230"/>
      <c r="D969" s="230"/>
      <c r="E969" s="230"/>
      <c r="F969" s="230"/>
      <c r="G969" s="230"/>
      <c r="H969" s="230"/>
      <c r="I969" s="230"/>
      <c r="J969" s="230"/>
      <c r="K969" s="230"/>
      <c r="L969" s="230"/>
      <c r="M969" s="230"/>
      <c r="N969" s="230"/>
      <c r="O969" s="230"/>
      <c r="P969" s="230"/>
      <c r="Q969" s="230"/>
      <c r="R969" s="230"/>
      <c r="S969" s="230"/>
      <c r="T969" s="230"/>
      <c r="U969" s="230"/>
      <c r="V969" s="230"/>
      <c r="W969" s="230"/>
      <c r="X969" s="230"/>
      <c r="Y969" s="230"/>
      <c r="Z969" s="230"/>
    </row>
    <row r="970" spans="1:26" ht="15.75" customHeight="1">
      <c r="A970" s="230"/>
      <c r="B970" s="230"/>
      <c r="C970" s="230"/>
      <c r="D970" s="230"/>
      <c r="E970" s="230"/>
      <c r="F970" s="230"/>
      <c r="G970" s="230"/>
      <c r="H970" s="230"/>
      <c r="I970" s="230"/>
      <c r="J970" s="230"/>
      <c r="K970" s="230"/>
      <c r="L970" s="230"/>
      <c r="M970" s="230"/>
      <c r="N970" s="230"/>
      <c r="O970" s="230"/>
      <c r="P970" s="230"/>
      <c r="Q970" s="230"/>
      <c r="R970" s="230"/>
      <c r="S970" s="230"/>
      <c r="T970" s="230"/>
      <c r="U970" s="230"/>
      <c r="V970" s="230"/>
      <c r="W970" s="230"/>
      <c r="X970" s="230"/>
      <c r="Y970" s="230"/>
      <c r="Z970" s="230"/>
    </row>
    <row r="971" spans="1:26" ht="15.75" customHeight="1">
      <c r="A971" s="230"/>
      <c r="B971" s="230"/>
      <c r="C971" s="230"/>
      <c r="D971" s="230"/>
      <c r="E971" s="230"/>
      <c r="F971" s="230"/>
      <c r="G971" s="230"/>
      <c r="H971" s="230"/>
      <c r="I971" s="230"/>
      <c r="J971" s="230"/>
      <c r="K971" s="230"/>
      <c r="L971" s="230"/>
      <c r="M971" s="230"/>
      <c r="N971" s="230"/>
      <c r="O971" s="230"/>
      <c r="P971" s="230"/>
      <c r="Q971" s="230"/>
      <c r="R971" s="230"/>
      <c r="S971" s="230"/>
      <c r="T971" s="230"/>
      <c r="U971" s="230"/>
      <c r="V971" s="230"/>
      <c r="W971" s="230"/>
      <c r="X971" s="230"/>
      <c r="Y971" s="230"/>
      <c r="Z971" s="230"/>
    </row>
    <row r="972" spans="1:26" ht="15.75" customHeight="1">
      <c r="A972" s="230"/>
      <c r="B972" s="230"/>
      <c r="C972" s="230"/>
      <c r="D972" s="230"/>
      <c r="E972" s="230"/>
      <c r="F972" s="230"/>
      <c r="G972" s="230"/>
      <c r="H972" s="230"/>
      <c r="I972" s="230"/>
      <c r="J972" s="230"/>
      <c r="K972" s="230"/>
      <c r="L972" s="230"/>
      <c r="M972" s="230"/>
      <c r="N972" s="230"/>
      <c r="O972" s="230"/>
      <c r="P972" s="230"/>
      <c r="Q972" s="230"/>
      <c r="R972" s="230"/>
      <c r="S972" s="230"/>
      <c r="T972" s="230"/>
      <c r="U972" s="230"/>
      <c r="V972" s="230"/>
      <c r="W972" s="230"/>
      <c r="X972" s="230"/>
      <c r="Y972" s="230"/>
      <c r="Z972" s="230"/>
    </row>
    <row r="973" spans="1:26" ht="15.75" customHeight="1">
      <c r="A973" s="230"/>
      <c r="B973" s="230"/>
      <c r="C973" s="230"/>
      <c r="D973" s="230"/>
      <c r="E973" s="230"/>
      <c r="F973" s="230"/>
      <c r="G973" s="230"/>
      <c r="H973" s="230"/>
      <c r="I973" s="230"/>
      <c r="J973" s="230"/>
      <c r="K973" s="230"/>
      <c r="L973" s="230"/>
      <c r="M973" s="230"/>
      <c r="N973" s="230"/>
      <c r="O973" s="230"/>
      <c r="P973" s="230"/>
      <c r="Q973" s="230"/>
      <c r="R973" s="230"/>
      <c r="S973" s="230"/>
      <c r="T973" s="230"/>
      <c r="U973" s="230"/>
      <c r="V973" s="230"/>
      <c r="W973" s="230"/>
      <c r="X973" s="230"/>
      <c r="Y973" s="230"/>
      <c r="Z973" s="230"/>
    </row>
    <row r="974" spans="1:26" ht="15.75" customHeight="1">
      <c r="A974" s="230"/>
      <c r="B974" s="230"/>
      <c r="C974" s="230"/>
      <c r="D974" s="230"/>
      <c r="E974" s="230"/>
      <c r="F974" s="230"/>
      <c r="G974" s="230"/>
      <c r="H974" s="230"/>
      <c r="I974" s="230"/>
      <c r="J974" s="230"/>
      <c r="K974" s="230"/>
      <c r="L974" s="230"/>
      <c r="M974" s="230"/>
      <c r="N974" s="230"/>
      <c r="O974" s="230"/>
      <c r="P974" s="230"/>
      <c r="Q974" s="230"/>
      <c r="R974" s="230"/>
      <c r="S974" s="230"/>
      <c r="T974" s="230"/>
      <c r="U974" s="230"/>
      <c r="V974" s="230"/>
      <c r="W974" s="230"/>
      <c r="X974" s="230"/>
      <c r="Y974" s="230"/>
      <c r="Z974" s="230"/>
    </row>
    <row r="975" spans="1:26" ht="15.75" customHeight="1">
      <c r="A975" s="230"/>
      <c r="B975" s="230"/>
      <c r="C975" s="230"/>
      <c r="D975" s="230"/>
      <c r="E975" s="230"/>
      <c r="F975" s="230"/>
      <c r="G975" s="230"/>
      <c r="H975" s="230"/>
      <c r="I975" s="230"/>
      <c r="J975" s="230"/>
      <c r="K975" s="230"/>
      <c r="L975" s="230"/>
      <c r="M975" s="230"/>
      <c r="N975" s="230"/>
      <c r="O975" s="230"/>
      <c r="P975" s="230"/>
      <c r="Q975" s="230"/>
      <c r="R975" s="230"/>
      <c r="S975" s="230"/>
      <c r="T975" s="230"/>
      <c r="U975" s="230"/>
      <c r="V975" s="230"/>
      <c r="W975" s="230"/>
      <c r="X975" s="230"/>
      <c r="Y975" s="230"/>
      <c r="Z975" s="230"/>
    </row>
    <row r="976" spans="1:26" ht="15.75" customHeight="1">
      <c r="A976" s="230"/>
      <c r="B976" s="230"/>
      <c r="C976" s="230"/>
      <c r="D976" s="230"/>
      <c r="E976" s="230"/>
      <c r="F976" s="230"/>
      <c r="G976" s="230"/>
      <c r="H976" s="230"/>
      <c r="I976" s="230"/>
      <c r="J976" s="230"/>
      <c r="K976" s="230"/>
      <c r="L976" s="230"/>
      <c r="M976" s="230"/>
      <c r="N976" s="230"/>
      <c r="O976" s="230"/>
      <c r="P976" s="230"/>
      <c r="Q976" s="230"/>
      <c r="R976" s="230"/>
      <c r="S976" s="230"/>
      <c r="T976" s="230"/>
      <c r="U976" s="230"/>
      <c r="V976" s="230"/>
      <c r="W976" s="230"/>
      <c r="X976" s="230"/>
      <c r="Y976" s="230"/>
      <c r="Z976" s="230"/>
    </row>
    <row r="977" spans="1:26" ht="15.75" customHeight="1">
      <c r="A977" s="230"/>
      <c r="B977" s="230"/>
      <c r="C977" s="230"/>
      <c r="D977" s="230"/>
      <c r="E977" s="230"/>
      <c r="F977" s="230"/>
      <c r="G977" s="230"/>
      <c r="H977" s="230"/>
      <c r="I977" s="230"/>
      <c r="J977" s="230"/>
      <c r="K977" s="230"/>
      <c r="L977" s="230"/>
      <c r="M977" s="230"/>
      <c r="N977" s="230"/>
      <c r="O977" s="230"/>
      <c r="P977" s="230"/>
      <c r="Q977" s="230"/>
      <c r="R977" s="230"/>
      <c r="S977" s="230"/>
      <c r="T977" s="230"/>
      <c r="U977" s="230"/>
      <c r="V977" s="230"/>
      <c r="W977" s="230"/>
      <c r="X977" s="230"/>
      <c r="Y977" s="230"/>
      <c r="Z977" s="230"/>
    </row>
    <row r="978" spans="1:26" ht="15.75" customHeight="1">
      <c r="A978" s="230"/>
      <c r="B978" s="230"/>
      <c r="C978" s="230"/>
      <c r="D978" s="230"/>
      <c r="E978" s="230"/>
      <c r="F978" s="230"/>
      <c r="G978" s="230"/>
      <c r="H978" s="230"/>
      <c r="I978" s="230"/>
      <c r="J978" s="230"/>
      <c r="K978" s="230"/>
      <c r="L978" s="230"/>
      <c r="M978" s="230"/>
      <c r="N978" s="230"/>
      <c r="O978" s="230"/>
      <c r="P978" s="230"/>
      <c r="Q978" s="230"/>
      <c r="R978" s="230"/>
      <c r="S978" s="230"/>
      <c r="T978" s="230"/>
      <c r="U978" s="230"/>
      <c r="V978" s="230"/>
      <c r="W978" s="230"/>
      <c r="X978" s="230"/>
      <c r="Y978" s="230"/>
      <c r="Z978" s="230"/>
    </row>
    <row r="979" spans="1:26" ht="15.75" customHeight="1">
      <c r="A979" s="230"/>
      <c r="B979" s="230"/>
      <c r="C979" s="230"/>
      <c r="D979" s="230"/>
      <c r="E979" s="230"/>
      <c r="F979" s="230"/>
      <c r="G979" s="230"/>
      <c r="H979" s="230"/>
      <c r="I979" s="230"/>
      <c r="J979" s="230"/>
      <c r="K979" s="230"/>
      <c r="L979" s="230"/>
      <c r="M979" s="230"/>
      <c r="N979" s="230"/>
      <c r="O979" s="230"/>
      <c r="P979" s="230"/>
      <c r="Q979" s="230"/>
      <c r="R979" s="230"/>
      <c r="S979" s="230"/>
      <c r="T979" s="230"/>
      <c r="U979" s="230"/>
      <c r="V979" s="230"/>
      <c r="W979" s="230"/>
      <c r="X979" s="230"/>
      <c r="Y979" s="230"/>
      <c r="Z979" s="230"/>
    </row>
    <row r="980" spans="1:26" ht="15.75" customHeight="1">
      <c r="A980" s="230"/>
      <c r="B980" s="230"/>
      <c r="C980" s="230"/>
      <c r="D980" s="230"/>
      <c r="E980" s="230"/>
      <c r="F980" s="230"/>
      <c r="G980" s="230"/>
      <c r="H980" s="230"/>
      <c r="I980" s="230"/>
      <c r="J980" s="230"/>
      <c r="K980" s="230"/>
      <c r="L980" s="230"/>
      <c r="M980" s="230"/>
      <c r="N980" s="230"/>
      <c r="O980" s="230"/>
      <c r="P980" s="230"/>
      <c r="Q980" s="230"/>
      <c r="R980" s="230"/>
      <c r="S980" s="230"/>
      <c r="T980" s="230"/>
      <c r="U980" s="230"/>
      <c r="V980" s="230"/>
      <c r="W980" s="230"/>
      <c r="X980" s="230"/>
      <c r="Y980" s="230"/>
      <c r="Z980" s="230"/>
    </row>
    <row r="981" spans="1:26" ht="15.75" customHeight="1">
      <c r="A981" s="230"/>
      <c r="B981" s="230"/>
      <c r="C981" s="230"/>
      <c r="D981" s="230"/>
      <c r="E981" s="230"/>
      <c r="F981" s="230"/>
      <c r="G981" s="230"/>
      <c r="H981" s="230"/>
      <c r="I981" s="230"/>
      <c r="J981" s="230"/>
      <c r="K981" s="230"/>
      <c r="L981" s="230"/>
      <c r="M981" s="230"/>
      <c r="N981" s="230"/>
      <c r="O981" s="230"/>
      <c r="P981" s="230"/>
      <c r="Q981" s="230"/>
      <c r="R981" s="230"/>
      <c r="S981" s="230"/>
      <c r="T981" s="230"/>
      <c r="U981" s="230"/>
      <c r="V981" s="230"/>
      <c r="W981" s="230"/>
      <c r="X981" s="230"/>
      <c r="Y981" s="230"/>
      <c r="Z981" s="230"/>
    </row>
    <row r="982" spans="1:26" ht="15.75" customHeight="1">
      <c r="A982" s="230"/>
      <c r="B982" s="230"/>
      <c r="C982" s="230"/>
      <c r="D982" s="230"/>
      <c r="E982" s="230"/>
      <c r="F982" s="230"/>
      <c r="G982" s="230"/>
      <c r="H982" s="230"/>
      <c r="I982" s="230"/>
      <c r="J982" s="230"/>
      <c r="K982" s="230"/>
      <c r="L982" s="230"/>
      <c r="M982" s="230"/>
      <c r="N982" s="230"/>
      <c r="O982" s="230"/>
      <c r="P982" s="230"/>
      <c r="Q982" s="230"/>
      <c r="R982" s="230"/>
      <c r="S982" s="230"/>
      <c r="T982" s="230"/>
      <c r="U982" s="230"/>
      <c r="V982" s="230"/>
      <c r="W982" s="230"/>
      <c r="X982" s="230"/>
      <c r="Y982" s="230"/>
      <c r="Z982" s="230"/>
    </row>
    <row r="983" spans="1:26" ht="15.75" customHeight="1">
      <c r="A983" s="230"/>
      <c r="B983" s="230"/>
      <c r="C983" s="230"/>
      <c r="D983" s="230"/>
      <c r="E983" s="230"/>
      <c r="F983" s="230"/>
      <c r="G983" s="230"/>
      <c r="H983" s="230"/>
      <c r="I983" s="230"/>
      <c r="J983" s="230"/>
      <c r="K983" s="230"/>
      <c r="L983" s="230"/>
      <c r="M983" s="230"/>
      <c r="N983" s="230"/>
      <c r="O983" s="230"/>
      <c r="P983" s="230"/>
      <c r="Q983" s="230"/>
      <c r="R983" s="230"/>
      <c r="S983" s="230"/>
      <c r="T983" s="230"/>
      <c r="U983" s="230"/>
      <c r="V983" s="230"/>
      <c r="W983" s="230"/>
      <c r="X983" s="230"/>
      <c r="Y983" s="230"/>
      <c r="Z983" s="230"/>
    </row>
    <row r="984" spans="1:26" ht="15.75" customHeight="1">
      <c r="A984" s="230"/>
      <c r="B984" s="230"/>
      <c r="C984" s="230"/>
      <c r="D984" s="230"/>
      <c r="E984" s="230"/>
      <c r="F984" s="230"/>
      <c r="G984" s="230"/>
      <c r="H984" s="230"/>
      <c r="I984" s="230"/>
      <c r="J984" s="230"/>
      <c r="K984" s="230"/>
      <c r="L984" s="230"/>
      <c r="M984" s="230"/>
      <c r="N984" s="230"/>
      <c r="O984" s="230"/>
      <c r="P984" s="230"/>
      <c r="Q984" s="230"/>
      <c r="R984" s="230"/>
      <c r="S984" s="230"/>
      <c r="T984" s="230"/>
      <c r="U984" s="230"/>
      <c r="V984" s="230"/>
      <c r="W984" s="230"/>
      <c r="X984" s="230"/>
      <c r="Y984" s="230"/>
      <c r="Z984" s="230"/>
    </row>
    <row r="985" spans="1:26" ht="15.75" customHeight="1">
      <c r="A985" s="230"/>
      <c r="B985" s="230"/>
      <c r="C985" s="230"/>
      <c r="D985" s="230"/>
      <c r="E985" s="230"/>
      <c r="F985" s="230"/>
      <c r="G985" s="230"/>
      <c r="H985" s="230"/>
      <c r="I985" s="230"/>
      <c r="J985" s="230"/>
      <c r="K985" s="230"/>
      <c r="L985" s="230"/>
      <c r="M985" s="230"/>
      <c r="N985" s="230"/>
      <c r="O985" s="230"/>
      <c r="P985" s="230"/>
      <c r="Q985" s="230"/>
      <c r="R985" s="230"/>
      <c r="S985" s="230"/>
      <c r="T985" s="230"/>
      <c r="U985" s="230"/>
      <c r="V985" s="230"/>
      <c r="W985" s="230"/>
      <c r="X985" s="230"/>
      <c r="Y985" s="230"/>
      <c r="Z985" s="230"/>
    </row>
    <row r="986" spans="1:26" ht="15.75" customHeight="1">
      <c r="A986" s="230"/>
      <c r="B986" s="230"/>
      <c r="C986" s="230"/>
      <c r="D986" s="230"/>
      <c r="E986" s="230"/>
      <c r="F986" s="230"/>
      <c r="G986" s="230"/>
      <c r="H986" s="230"/>
      <c r="I986" s="230"/>
      <c r="J986" s="230"/>
      <c r="K986" s="230"/>
      <c r="L986" s="230"/>
      <c r="M986" s="230"/>
      <c r="N986" s="230"/>
      <c r="O986" s="230"/>
      <c r="P986" s="230"/>
      <c r="Q986" s="230"/>
      <c r="R986" s="230"/>
      <c r="S986" s="230"/>
      <c r="T986" s="230"/>
      <c r="U986" s="230"/>
      <c r="V986" s="230"/>
      <c r="W986" s="230"/>
      <c r="X986" s="230"/>
      <c r="Y986" s="230"/>
      <c r="Z986" s="230"/>
    </row>
    <row r="987" spans="1:26" ht="15.75" customHeight="1">
      <c r="A987" s="230"/>
      <c r="B987" s="230"/>
      <c r="C987" s="230"/>
      <c r="D987" s="230"/>
      <c r="E987" s="230"/>
      <c r="F987" s="230"/>
      <c r="G987" s="230"/>
      <c r="H987" s="230"/>
      <c r="I987" s="230"/>
      <c r="J987" s="230"/>
      <c r="K987" s="230"/>
      <c r="L987" s="230"/>
      <c r="M987" s="230"/>
      <c r="N987" s="230"/>
      <c r="O987" s="230"/>
      <c r="P987" s="230"/>
      <c r="Q987" s="230"/>
      <c r="R987" s="230"/>
      <c r="S987" s="230"/>
      <c r="T987" s="230"/>
      <c r="U987" s="230"/>
      <c r="V987" s="230"/>
      <c r="W987" s="230"/>
      <c r="X987" s="230"/>
      <c r="Y987" s="230"/>
      <c r="Z987" s="230"/>
    </row>
    <row r="988" spans="1:26" ht="15.75" customHeight="1">
      <c r="A988" s="230"/>
      <c r="B988" s="230"/>
      <c r="C988" s="230"/>
      <c r="D988" s="230"/>
      <c r="E988" s="230"/>
      <c r="F988" s="230"/>
      <c r="G988" s="230"/>
      <c r="H988" s="230"/>
      <c r="I988" s="230"/>
      <c r="J988" s="230"/>
      <c r="K988" s="230"/>
      <c r="L988" s="230"/>
      <c r="M988" s="230"/>
      <c r="N988" s="230"/>
      <c r="O988" s="230"/>
      <c r="P988" s="230"/>
      <c r="Q988" s="230"/>
      <c r="R988" s="230"/>
      <c r="S988" s="230"/>
      <c r="T988" s="230"/>
      <c r="U988" s="230"/>
      <c r="V988" s="230"/>
      <c r="W988" s="230"/>
      <c r="X988" s="230"/>
      <c r="Y988" s="230"/>
      <c r="Z988" s="230"/>
    </row>
    <row r="989" spans="1:26" ht="15.75" customHeight="1">
      <c r="A989" s="230"/>
      <c r="B989" s="230"/>
      <c r="C989" s="230"/>
      <c r="D989" s="230"/>
      <c r="E989" s="230"/>
      <c r="F989" s="230"/>
      <c r="G989" s="230"/>
      <c r="H989" s="230"/>
      <c r="I989" s="230"/>
      <c r="J989" s="230"/>
      <c r="K989" s="230"/>
      <c r="L989" s="230"/>
      <c r="M989" s="230"/>
      <c r="N989" s="230"/>
      <c r="O989" s="230"/>
      <c r="P989" s="230"/>
      <c r="Q989" s="230"/>
      <c r="R989" s="230"/>
      <c r="S989" s="230"/>
      <c r="T989" s="230"/>
      <c r="U989" s="230"/>
      <c r="V989" s="230"/>
      <c r="W989" s="230"/>
      <c r="X989" s="230"/>
      <c r="Y989" s="230"/>
      <c r="Z989" s="230"/>
    </row>
    <row r="990" spans="1:26" ht="15.75" customHeight="1">
      <c r="A990" s="230"/>
      <c r="B990" s="230"/>
      <c r="C990" s="230"/>
      <c r="D990" s="230"/>
      <c r="E990" s="230"/>
      <c r="F990" s="230"/>
      <c r="G990" s="230"/>
      <c r="H990" s="230"/>
      <c r="I990" s="230"/>
      <c r="J990" s="230"/>
      <c r="K990" s="230"/>
      <c r="L990" s="230"/>
      <c r="M990" s="230"/>
      <c r="N990" s="230"/>
      <c r="O990" s="230"/>
      <c r="P990" s="230"/>
      <c r="Q990" s="230"/>
      <c r="R990" s="230"/>
      <c r="S990" s="230"/>
      <c r="T990" s="230"/>
      <c r="U990" s="230"/>
      <c r="V990" s="230"/>
      <c r="W990" s="230"/>
      <c r="X990" s="230"/>
      <c r="Y990" s="230"/>
      <c r="Z990" s="230"/>
    </row>
    <row r="991" spans="1:26" ht="15.75" customHeight="1">
      <c r="A991" s="230"/>
      <c r="B991" s="230"/>
      <c r="C991" s="230"/>
      <c r="D991" s="230"/>
      <c r="E991" s="230"/>
      <c r="F991" s="230"/>
      <c r="G991" s="230"/>
      <c r="H991" s="230"/>
      <c r="I991" s="230"/>
      <c r="J991" s="230"/>
      <c r="K991" s="230"/>
      <c r="L991" s="230"/>
      <c r="M991" s="230"/>
      <c r="N991" s="230"/>
      <c r="O991" s="230"/>
      <c r="P991" s="230"/>
      <c r="Q991" s="230"/>
      <c r="R991" s="230"/>
      <c r="S991" s="230"/>
      <c r="T991" s="230"/>
      <c r="U991" s="230"/>
      <c r="V991" s="230"/>
      <c r="W991" s="230"/>
      <c r="X991" s="230"/>
      <c r="Y991" s="230"/>
      <c r="Z991" s="230"/>
    </row>
    <row r="992" spans="1:26" ht="15.75" customHeight="1">
      <c r="A992" s="230"/>
      <c r="B992" s="230"/>
      <c r="C992" s="230"/>
      <c r="D992" s="230"/>
      <c r="E992" s="230"/>
      <c r="F992" s="230"/>
      <c r="G992" s="230"/>
      <c r="H992" s="230"/>
      <c r="I992" s="230"/>
      <c r="J992" s="230"/>
      <c r="K992" s="230"/>
      <c r="L992" s="230"/>
      <c r="M992" s="230"/>
      <c r="N992" s="230"/>
      <c r="O992" s="230"/>
      <c r="P992" s="230"/>
      <c r="Q992" s="230"/>
      <c r="R992" s="230"/>
      <c r="S992" s="230"/>
      <c r="T992" s="230"/>
      <c r="U992" s="230"/>
      <c r="V992" s="230"/>
      <c r="W992" s="230"/>
      <c r="X992" s="230"/>
      <c r="Y992" s="230"/>
      <c r="Z992" s="230"/>
    </row>
    <row r="993" spans="1:26" ht="15.75" customHeight="1">
      <c r="A993" s="230"/>
      <c r="B993" s="230"/>
      <c r="C993" s="230"/>
      <c r="D993" s="230"/>
      <c r="E993" s="230"/>
      <c r="F993" s="230"/>
      <c r="G993" s="230"/>
      <c r="H993" s="230"/>
      <c r="I993" s="230"/>
      <c r="J993" s="230"/>
      <c r="K993" s="230"/>
      <c r="L993" s="230"/>
      <c r="M993" s="230"/>
      <c r="N993" s="230"/>
      <c r="O993" s="230"/>
      <c r="P993" s="230"/>
      <c r="Q993" s="230"/>
      <c r="R993" s="230"/>
      <c r="S993" s="230"/>
      <c r="T993" s="230"/>
      <c r="U993" s="230"/>
      <c r="V993" s="230"/>
      <c r="W993" s="230"/>
      <c r="X993" s="230"/>
      <c r="Y993" s="230"/>
      <c r="Z993" s="230"/>
    </row>
    <row r="994" spans="1:26" ht="15.75" customHeight="1">
      <c r="A994" s="230"/>
      <c r="B994" s="230"/>
      <c r="C994" s="230"/>
      <c r="D994" s="230"/>
      <c r="E994" s="230"/>
      <c r="F994" s="230"/>
      <c r="G994" s="230"/>
      <c r="H994" s="230"/>
      <c r="I994" s="230"/>
      <c r="J994" s="230"/>
      <c r="K994" s="230"/>
      <c r="L994" s="230"/>
      <c r="M994" s="230"/>
      <c r="N994" s="230"/>
      <c r="O994" s="230"/>
      <c r="P994" s="230"/>
      <c r="Q994" s="230"/>
      <c r="R994" s="230"/>
      <c r="S994" s="230"/>
      <c r="T994" s="230"/>
      <c r="U994" s="230"/>
      <c r="V994" s="230"/>
      <c r="W994" s="230"/>
      <c r="X994" s="230"/>
      <c r="Y994" s="230"/>
      <c r="Z994" s="230"/>
    </row>
    <row r="995" spans="1:26" ht="15.75" customHeight="1">
      <c r="A995" s="230"/>
      <c r="B995" s="230"/>
      <c r="C995" s="230"/>
      <c r="D995" s="230"/>
      <c r="E995" s="230"/>
      <c r="F995" s="230"/>
      <c r="G995" s="230"/>
      <c r="H995" s="230"/>
      <c r="I995" s="230"/>
      <c r="J995" s="230"/>
      <c r="K995" s="230"/>
      <c r="L995" s="230"/>
      <c r="M995" s="230"/>
      <c r="N995" s="230"/>
      <c r="O995" s="230"/>
      <c r="P995" s="230"/>
      <c r="Q995" s="230"/>
      <c r="R995" s="230"/>
      <c r="S995" s="230"/>
      <c r="T995" s="230"/>
      <c r="U995" s="230"/>
      <c r="V995" s="230"/>
      <c r="W995" s="230"/>
      <c r="X995" s="230"/>
      <c r="Y995" s="230"/>
      <c r="Z995" s="230"/>
    </row>
    <row r="996" spans="1:26" ht="15.75" customHeight="1">
      <c r="A996" s="230"/>
      <c r="B996" s="230"/>
      <c r="C996" s="230"/>
      <c r="D996" s="230"/>
      <c r="E996" s="230"/>
      <c r="F996" s="230"/>
      <c r="G996" s="230"/>
      <c r="H996" s="230"/>
      <c r="I996" s="230"/>
      <c r="J996" s="230"/>
      <c r="K996" s="230"/>
      <c r="L996" s="230"/>
      <c r="M996" s="230"/>
      <c r="N996" s="230"/>
      <c r="O996" s="230"/>
      <c r="P996" s="230"/>
      <c r="Q996" s="230"/>
      <c r="R996" s="230"/>
      <c r="S996" s="230"/>
      <c r="T996" s="230"/>
      <c r="U996" s="230"/>
      <c r="V996" s="230"/>
      <c r="W996" s="230"/>
      <c r="X996" s="230"/>
      <c r="Y996" s="230"/>
      <c r="Z996" s="230"/>
    </row>
    <row r="997" spans="1:26" ht="15.75" customHeight="1">
      <c r="A997" s="230"/>
      <c r="B997" s="230"/>
      <c r="C997" s="230"/>
      <c r="D997" s="230"/>
      <c r="E997" s="230"/>
      <c r="F997" s="230"/>
      <c r="G997" s="230"/>
      <c r="H997" s="230"/>
      <c r="I997" s="230"/>
      <c r="J997" s="230"/>
      <c r="K997" s="230"/>
      <c r="L997" s="230"/>
      <c r="M997" s="230"/>
      <c r="N997" s="230"/>
      <c r="O997" s="230"/>
      <c r="P997" s="230"/>
      <c r="Q997" s="230"/>
      <c r="R997" s="230"/>
      <c r="S997" s="230"/>
      <c r="T997" s="230"/>
      <c r="U997" s="230"/>
      <c r="V997" s="230"/>
      <c r="W997" s="230"/>
      <c r="X997" s="230"/>
      <c r="Y997" s="230"/>
      <c r="Z997" s="230"/>
    </row>
    <row r="998" spans="1:26" ht="15.75" customHeight="1">
      <c r="A998" s="230"/>
      <c r="B998" s="230"/>
      <c r="C998" s="230"/>
      <c r="D998" s="230"/>
      <c r="E998" s="230"/>
      <c r="F998" s="230"/>
      <c r="G998" s="230"/>
      <c r="H998" s="230"/>
      <c r="I998" s="230"/>
      <c r="J998" s="230"/>
      <c r="K998" s="230"/>
      <c r="L998" s="230"/>
      <c r="M998" s="230"/>
      <c r="N998" s="230"/>
      <c r="O998" s="230"/>
      <c r="P998" s="230"/>
      <c r="Q998" s="230"/>
      <c r="R998" s="230"/>
      <c r="S998" s="230"/>
      <c r="T998" s="230"/>
      <c r="U998" s="230"/>
      <c r="V998" s="230"/>
      <c r="W998" s="230"/>
      <c r="X998" s="230"/>
      <c r="Y998" s="230"/>
      <c r="Z998" s="230"/>
    </row>
    <row r="999" spans="1:26" ht="15.75" customHeight="1">
      <c r="A999" s="230"/>
      <c r="B999" s="230"/>
      <c r="C999" s="230"/>
      <c r="D999" s="230"/>
      <c r="E999" s="230"/>
      <c r="F999" s="230"/>
      <c r="G999" s="230"/>
      <c r="H999" s="230"/>
      <c r="I999" s="230"/>
      <c r="J999" s="230"/>
      <c r="K999" s="230"/>
      <c r="L999" s="230"/>
      <c r="M999" s="230"/>
      <c r="N999" s="230"/>
      <c r="O999" s="230"/>
      <c r="P999" s="230"/>
      <c r="Q999" s="230"/>
      <c r="R999" s="230"/>
      <c r="S999" s="230"/>
      <c r="T999" s="230"/>
      <c r="U999" s="230"/>
      <c r="V999" s="230"/>
      <c r="W999" s="230"/>
      <c r="X999" s="230"/>
      <c r="Y999" s="230"/>
      <c r="Z999" s="230"/>
    </row>
    <row r="1000" spans="1:26" ht="15.75" customHeight="1">
      <c r="A1000" s="230"/>
      <c r="B1000" s="230"/>
      <c r="C1000" s="230"/>
      <c r="D1000" s="230"/>
      <c r="E1000" s="230"/>
      <c r="F1000" s="230"/>
      <c r="G1000" s="230"/>
      <c r="H1000" s="230"/>
      <c r="I1000" s="230"/>
      <c r="J1000" s="230"/>
      <c r="K1000" s="230"/>
      <c r="L1000" s="230"/>
      <c r="M1000" s="230"/>
      <c r="N1000" s="230"/>
      <c r="O1000" s="230"/>
      <c r="P1000" s="230"/>
      <c r="Q1000" s="230"/>
      <c r="R1000" s="230"/>
      <c r="S1000" s="230"/>
      <c r="T1000" s="230"/>
      <c r="U1000" s="230"/>
      <c r="V1000" s="230"/>
      <c r="W1000" s="230"/>
      <c r="X1000" s="230"/>
      <c r="Y1000" s="230"/>
      <c r="Z1000" s="230"/>
    </row>
  </sheetData>
  <mergeCells count="4">
    <mergeCell ref="G13:I13"/>
    <mergeCell ref="E48:E49"/>
    <mergeCell ref="G48:G49"/>
    <mergeCell ref="M48:M49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B755-BAAA-42B9-B7CE-4E7805E94B0E}">
  <dimension ref="A1:Z1000"/>
  <sheetViews>
    <sheetView showGridLines="0" zoomScale="90" zoomScaleNormal="90" workbookViewId="0">
      <selection sqref="A1:A2"/>
    </sheetView>
  </sheetViews>
  <sheetFormatPr defaultColWidth="14.453125" defaultRowHeight="15" customHeight="1"/>
  <cols>
    <col min="1" max="1" width="3.453125" customWidth="1"/>
    <col min="2" max="2" width="33.54296875" customWidth="1"/>
    <col min="3" max="3" width="11.453125" customWidth="1"/>
    <col min="4" max="5" width="10.54296875" customWidth="1"/>
    <col min="6" max="6" width="11.453125" customWidth="1"/>
    <col min="7" max="7" width="27.54296875" customWidth="1"/>
    <col min="8" max="8" width="20.26953125" customWidth="1"/>
    <col min="9" max="9" width="21" customWidth="1"/>
    <col min="10" max="10" width="23" customWidth="1"/>
    <col min="11" max="11" width="12" customWidth="1"/>
    <col min="12" max="12" width="21.453125" customWidth="1"/>
    <col min="13" max="13" width="11.54296875" customWidth="1"/>
    <col min="14" max="26" width="11.453125" customWidth="1"/>
  </cols>
  <sheetData>
    <row r="1" spans="1:26" ht="20.5" customHeight="1">
      <c r="A1" s="329" t="s">
        <v>19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  <c r="R1" s="371"/>
      <c r="S1" s="371"/>
      <c r="T1" s="371"/>
      <c r="U1" s="371"/>
      <c r="V1" s="371"/>
      <c r="W1" s="371"/>
      <c r="X1" s="371"/>
      <c r="Y1" s="371"/>
      <c r="Z1" s="371"/>
    </row>
    <row r="2" spans="1:26" ht="15.75" customHeight="1">
      <c r="A2" s="328" t="str">
        <f>"(In "&amp;F10&amp;" Millions Except Per Share Data)"</f>
        <v>(In USD Millions Except Per Share Data)</v>
      </c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</row>
    <row r="3" spans="1:26" ht="15.75" customHeight="1" thickBot="1">
      <c r="A3" s="230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</row>
    <row r="4" spans="1:26" ht="15.75" customHeight="1">
      <c r="A4" s="330" t="s">
        <v>667</v>
      </c>
      <c r="B4" s="331"/>
      <c r="C4" s="331"/>
      <c r="D4" s="331"/>
      <c r="E4" s="331"/>
      <c r="F4" s="332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</row>
    <row r="5" spans="1:26" ht="15.75" customHeight="1">
      <c r="A5" s="268" t="s">
        <v>666</v>
      </c>
      <c r="B5" s="230"/>
      <c r="C5" s="230"/>
      <c r="D5" s="230"/>
      <c r="E5" s="230"/>
      <c r="F5" s="333" t="s">
        <v>665</v>
      </c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</row>
    <row r="6" spans="1:26" ht="15.75" customHeight="1">
      <c r="A6" s="268" t="s">
        <v>664</v>
      </c>
      <c r="B6" s="230"/>
      <c r="C6" s="230"/>
      <c r="D6" s="230"/>
      <c r="E6" s="230"/>
      <c r="F6" s="334">
        <v>45702</v>
      </c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</row>
    <row r="7" spans="1:26" ht="15.75" customHeight="1">
      <c r="A7" s="268" t="s">
        <v>663</v>
      </c>
      <c r="B7" s="230"/>
      <c r="C7" s="230"/>
      <c r="D7" s="230"/>
      <c r="E7" s="230"/>
      <c r="F7" s="335" t="s">
        <v>677</v>
      </c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</row>
    <row r="8" spans="1:26" ht="15.75" customHeight="1">
      <c r="A8" s="268" t="s">
        <v>661</v>
      </c>
      <c r="B8" s="230"/>
      <c r="C8" s="230"/>
      <c r="D8" s="230"/>
      <c r="E8" s="230"/>
      <c r="F8" s="336">
        <v>45655</v>
      </c>
      <c r="G8" s="230"/>
      <c r="H8" s="230"/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</row>
    <row r="9" spans="1:26" ht="15.75" customHeight="1">
      <c r="A9" s="268" t="s">
        <v>660</v>
      </c>
      <c r="B9" s="230"/>
      <c r="C9" s="230"/>
      <c r="D9" s="230"/>
      <c r="E9" s="230"/>
      <c r="F9" s="336">
        <v>45543</v>
      </c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</row>
    <row r="10" spans="1:26" ht="15.75" customHeight="1">
      <c r="A10" s="268" t="s">
        <v>552</v>
      </c>
      <c r="B10" s="230"/>
      <c r="C10" s="230"/>
      <c r="D10" s="230"/>
      <c r="E10" s="230"/>
      <c r="F10" s="335" t="s">
        <v>570</v>
      </c>
      <c r="G10" s="230"/>
      <c r="H10" s="230"/>
      <c r="I10" s="230"/>
      <c r="J10" s="230"/>
      <c r="K10" s="230"/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</row>
    <row r="11" spans="1:26" ht="15.75" customHeight="1" thickBot="1">
      <c r="A11" s="267" t="s">
        <v>463</v>
      </c>
      <c r="B11" s="223"/>
      <c r="C11" s="223"/>
      <c r="D11" s="223"/>
      <c r="E11" s="223"/>
      <c r="F11" s="337">
        <v>0.27</v>
      </c>
      <c r="G11" s="230" t="s">
        <v>659</v>
      </c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</row>
    <row r="12" spans="1:26" ht="15.75" customHeight="1">
      <c r="A12" s="230"/>
      <c r="B12" s="230"/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</row>
    <row r="13" spans="1:26" ht="15.75" customHeight="1" thickBot="1">
      <c r="A13" s="230"/>
      <c r="B13" s="230"/>
      <c r="C13" s="230"/>
      <c r="D13" s="230"/>
      <c r="E13" s="230"/>
      <c r="F13" s="230"/>
      <c r="G13" s="434"/>
      <c r="H13" s="427"/>
      <c r="I13" s="427"/>
      <c r="J13" s="230"/>
      <c r="K13" s="230"/>
      <c r="L13" s="23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</row>
    <row r="14" spans="1:26" ht="15.75" customHeight="1" thickBot="1">
      <c r="A14" s="338" t="s">
        <v>658</v>
      </c>
      <c r="B14" s="339"/>
      <c r="C14" s="340" t="s">
        <v>657</v>
      </c>
      <c r="D14" s="340" t="s">
        <v>656</v>
      </c>
      <c r="E14" s="340" t="s">
        <v>655</v>
      </c>
      <c r="F14" s="341"/>
      <c r="G14" s="230"/>
      <c r="H14" s="277"/>
      <c r="I14" s="277"/>
      <c r="J14" s="230"/>
      <c r="K14" s="230"/>
      <c r="L14" s="230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</row>
    <row r="15" spans="1:26" ht="15.75" customHeight="1">
      <c r="A15" s="268" t="s">
        <v>654</v>
      </c>
      <c r="B15" s="230"/>
      <c r="C15" s="342">
        <v>476.66</v>
      </c>
      <c r="D15" s="299"/>
      <c r="E15" s="299"/>
      <c r="F15" s="288"/>
      <c r="G15" s="287" t="s">
        <v>653</v>
      </c>
      <c r="H15" s="265"/>
      <c r="I15" s="230"/>
      <c r="J15" s="230"/>
      <c r="K15" s="230"/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</row>
    <row r="16" spans="1:26" ht="15.75" customHeight="1">
      <c r="A16" s="268" t="s">
        <v>652</v>
      </c>
      <c r="B16" s="230"/>
      <c r="C16" s="299">
        <f>34296712/10^6</f>
        <v>34.296711999999999</v>
      </c>
      <c r="D16" s="299"/>
      <c r="E16" s="299"/>
      <c r="F16" s="286"/>
      <c r="G16" s="230" t="s">
        <v>651</v>
      </c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</row>
    <row r="17" spans="1:26" ht="15.75" customHeight="1">
      <c r="A17" s="268" t="s">
        <v>650</v>
      </c>
      <c r="B17" s="230"/>
      <c r="C17" s="299">
        <f>C16+H45+G53</f>
        <v>265.15782931632612</v>
      </c>
      <c r="D17" s="299"/>
      <c r="E17" s="299"/>
      <c r="F17" s="286"/>
      <c r="G17" s="230"/>
      <c r="H17" s="258"/>
      <c r="I17" s="230"/>
      <c r="J17" s="230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</row>
    <row r="18" spans="1:26" ht="15.75" customHeight="1">
      <c r="A18" s="268" t="s">
        <v>546</v>
      </c>
      <c r="B18" s="231"/>
      <c r="C18" s="299">
        <f>C15*C17</f>
        <v>126390.13092192002</v>
      </c>
      <c r="D18" s="299"/>
      <c r="E18" s="299"/>
      <c r="F18" s="343">
        <f>SUM(C18:E18)</f>
        <v>126390.13092192002</v>
      </c>
      <c r="G18" s="230"/>
      <c r="H18" s="230"/>
      <c r="I18" s="258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</row>
    <row r="19" spans="1:26" ht="15.75" customHeight="1">
      <c r="A19" s="268" t="s">
        <v>523</v>
      </c>
      <c r="B19" s="230"/>
      <c r="C19" s="230"/>
      <c r="D19" s="258"/>
      <c r="E19" s="258"/>
      <c r="F19" s="343">
        <v>0</v>
      </c>
      <c r="G19" s="230"/>
      <c r="H19" s="258"/>
      <c r="I19" s="258"/>
      <c r="J19" s="230"/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</row>
    <row r="20" spans="1:26" ht="15.75" customHeight="1">
      <c r="A20" s="285" t="s">
        <v>649</v>
      </c>
      <c r="B20" s="230"/>
      <c r="C20" s="230"/>
      <c r="D20" s="258"/>
      <c r="E20" s="258"/>
      <c r="F20" s="343">
        <v>0</v>
      </c>
      <c r="G20" s="230"/>
      <c r="H20" s="258"/>
      <c r="I20" s="258"/>
      <c r="J20" s="230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</row>
    <row r="21" spans="1:26" ht="15.75" customHeight="1">
      <c r="A21" s="268"/>
      <c r="B21" s="230" t="s">
        <v>648</v>
      </c>
      <c r="C21" s="230"/>
      <c r="D21" s="230"/>
      <c r="E21" s="299">
        <v>0</v>
      </c>
      <c r="F21" s="286"/>
      <c r="G21" s="230"/>
      <c r="H21" s="230"/>
      <c r="I21" s="230"/>
      <c r="J21" s="230"/>
      <c r="K21" s="230"/>
      <c r="L21" s="230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</row>
    <row r="22" spans="1:26" ht="15.75" customHeight="1">
      <c r="A22" s="268"/>
      <c r="B22" s="257" t="s">
        <v>647</v>
      </c>
      <c r="C22" s="230"/>
      <c r="D22" s="230"/>
      <c r="E22" s="299">
        <v>0</v>
      </c>
      <c r="F22" s="286"/>
      <c r="G22" s="230"/>
      <c r="H22" s="230"/>
      <c r="I22" s="230"/>
      <c r="J22" s="230"/>
      <c r="K22" s="230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</row>
    <row r="23" spans="1:26" ht="15.75" customHeight="1">
      <c r="A23" s="285" t="s">
        <v>646</v>
      </c>
      <c r="B23" s="230"/>
      <c r="C23" s="230"/>
      <c r="D23" s="230"/>
      <c r="E23" s="258"/>
      <c r="F23" s="343">
        <f>SUM(E24:E25)</f>
        <v>4975.3379999999997</v>
      </c>
      <c r="G23" s="230"/>
      <c r="H23" s="258"/>
      <c r="I23" s="258"/>
      <c r="J23" s="230"/>
      <c r="K23" s="230"/>
      <c r="L23" s="230"/>
      <c r="M23" s="230"/>
      <c r="N23" s="230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</row>
    <row r="24" spans="1:26" ht="15" customHeight="1">
      <c r="A24" s="268"/>
      <c r="B24" s="257" t="s">
        <v>645</v>
      </c>
      <c r="C24" s="257"/>
      <c r="D24" s="230"/>
      <c r="E24" s="299">
        <f>(1149679+3825659)/1000</f>
        <v>4975.3379999999997</v>
      </c>
      <c r="F24" s="286"/>
      <c r="G24" s="230" t="s">
        <v>644</v>
      </c>
      <c r="H24" s="230"/>
      <c r="I24" s="230"/>
      <c r="J24" s="230"/>
      <c r="K24" s="230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</row>
    <row r="25" spans="1:26" ht="15" customHeight="1">
      <c r="A25" s="268"/>
      <c r="B25" s="257" t="s">
        <v>643</v>
      </c>
      <c r="C25" s="257"/>
      <c r="D25" s="230"/>
      <c r="E25" s="299">
        <v>0</v>
      </c>
      <c r="F25" s="286"/>
      <c r="G25" s="230"/>
      <c r="H25" s="230"/>
      <c r="I25" s="230"/>
      <c r="J25" s="230"/>
      <c r="K25" s="230"/>
      <c r="L25" s="230"/>
      <c r="M25" s="230"/>
      <c r="N25" s="230"/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</row>
    <row r="26" spans="1:26" ht="15.75" customHeight="1">
      <c r="A26" s="285" t="s">
        <v>642</v>
      </c>
      <c r="B26" s="230"/>
      <c r="C26" s="230"/>
      <c r="D26" s="230"/>
      <c r="E26" s="258"/>
      <c r="F26" s="286"/>
      <c r="G26" s="230"/>
      <c r="H26" s="230"/>
      <c r="I26" s="230"/>
      <c r="J26" s="230"/>
      <c r="K26" s="230"/>
      <c r="L26" s="230"/>
      <c r="M26" s="230"/>
      <c r="N26" s="230"/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</row>
    <row r="27" spans="1:26" ht="15" customHeight="1">
      <c r="A27" s="268"/>
      <c r="B27" s="230" t="s">
        <v>641</v>
      </c>
      <c r="C27" s="230"/>
      <c r="D27" s="230"/>
      <c r="E27" s="258"/>
      <c r="F27" s="343">
        <v>0</v>
      </c>
      <c r="G27" s="230"/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</row>
    <row r="28" spans="1:26" ht="15.75" customHeight="1">
      <c r="A28" s="268"/>
      <c r="B28" s="230" t="s">
        <v>640</v>
      </c>
      <c r="C28" s="230"/>
      <c r="D28" s="230"/>
      <c r="E28" s="230"/>
      <c r="F28" s="343">
        <f>(39920+181983)/1000</f>
        <v>221.90299999999999</v>
      </c>
      <c r="G28" s="230" t="s">
        <v>672</v>
      </c>
      <c r="H28" s="258"/>
      <c r="I28" s="258"/>
      <c r="J28" s="230"/>
      <c r="K28" s="230"/>
      <c r="L28" s="230"/>
      <c r="M28" s="230"/>
      <c r="N28" s="230"/>
      <c r="O28" s="230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</row>
    <row r="29" spans="1:26" ht="15.75" customHeight="1">
      <c r="A29" s="285" t="s">
        <v>638</v>
      </c>
      <c r="B29" s="230"/>
      <c r="C29" s="230"/>
      <c r="D29" s="230"/>
      <c r="E29" s="258"/>
      <c r="F29" s="343">
        <f>186126/1000</f>
        <v>186.126</v>
      </c>
      <c r="G29" s="230" t="s">
        <v>637</v>
      </c>
      <c r="H29" s="258"/>
      <c r="I29" s="258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</row>
    <row r="30" spans="1:26" ht="15.75" customHeight="1" thickBot="1">
      <c r="A30" s="284" t="s">
        <v>636</v>
      </c>
      <c r="B30" s="283"/>
      <c r="C30" s="283"/>
      <c r="D30" s="282"/>
      <c r="E30" s="282"/>
      <c r="F30" s="344">
        <f>F18+F19+F20+F23+F27+F28-F29</f>
        <v>131401.24592192002</v>
      </c>
      <c r="G30" s="230"/>
      <c r="H30" s="230"/>
      <c r="I30" s="258"/>
      <c r="J30" s="230"/>
      <c r="K30" s="230"/>
      <c r="L30" s="230"/>
      <c r="M30" s="230"/>
      <c r="N30" s="230"/>
      <c r="O30" s="230"/>
      <c r="P30" s="230"/>
      <c r="Q30" s="230"/>
      <c r="R30" s="230"/>
      <c r="S30" s="230"/>
      <c r="T30" s="230"/>
      <c r="U30" s="230"/>
      <c r="V30" s="230"/>
      <c r="W30" s="230"/>
      <c r="X30" s="230"/>
      <c r="Y30" s="230"/>
      <c r="Z30" s="230"/>
    </row>
    <row r="31" spans="1:26" ht="15.75" customHeight="1">
      <c r="A31" s="281" t="s">
        <v>635</v>
      </c>
      <c r="B31" s="259"/>
      <c r="C31" s="259"/>
      <c r="D31" s="261"/>
      <c r="E31" s="261"/>
      <c r="F31" s="343">
        <f>20638/1000</f>
        <v>20.638000000000002</v>
      </c>
      <c r="G31" s="230" t="s">
        <v>634</v>
      </c>
      <c r="H31" s="258"/>
      <c r="I31" s="258"/>
      <c r="J31" s="230"/>
      <c r="K31" s="230"/>
      <c r="L31" s="230"/>
      <c r="M31" s="230"/>
      <c r="N31" s="230"/>
      <c r="O31" s="230"/>
      <c r="P31" s="230"/>
      <c r="Q31" s="230"/>
      <c r="R31" s="230"/>
      <c r="S31" s="230"/>
      <c r="T31" s="230"/>
      <c r="U31" s="230"/>
      <c r="V31" s="230"/>
      <c r="W31" s="230"/>
      <c r="X31" s="230"/>
      <c r="Y31" s="230"/>
      <c r="Z31" s="230"/>
    </row>
    <row r="32" spans="1:26" ht="14.25" customHeight="1">
      <c r="A32" s="281" t="s">
        <v>414</v>
      </c>
      <c r="B32" s="259"/>
      <c r="C32" s="259"/>
      <c r="D32" s="261"/>
      <c r="E32" s="261"/>
      <c r="F32" s="343">
        <f>F30-F31</f>
        <v>131380.60792192002</v>
      </c>
      <c r="G32" s="230"/>
      <c r="H32" s="230"/>
      <c r="I32" s="258"/>
      <c r="J32" s="230"/>
      <c r="K32" s="230"/>
      <c r="L32" s="230"/>
      <c r="M32" s="230"/>
      <c r="N32" s="230"/>
      <c r="O32" s="230"/>
      <c r="P32" s="230"/>
      <c r="Q32" s="230"/>
      <c r="R32" s="230"/>
      <c r="S32" s="230"/>
      <c r="T32" s="230"/>
      <c r="U32" s="230"/>
      <c r="V32" s="230"/>
      <c r="W32" s="230"/>
      <c r="X32" s="230"/>
      <c r="Y32" s="230"/>
      <c r="Z32" s="230"/>
    </row>
    <row r="33" spans="1:26" ht="15" customHeight="1" thickBot="1">
      <c r="A33" s="267" t="s">
        <v>633</v>
      </c>
      <c r="B33" s="223"/>
      <c r="C33" s="223"/>
      <c r="D33" s="223"/>
      <c r="E33" s="223"/>
      <c r="F33" s="345">
        <f>F18/SUM(C17:E17)</f>
        <v>476.66</v>
      </c>
      <c r="G33" s="230"/>
      <c r="H33" s="230"/>
      <c r="I33" s="230"/>
      <c r="J33" s="280"/>
      <c r="K33" s="230"/>
      <c r="L33" s="230"/>
      <c r="M33" s="230"/>
      <c r="N33" s="230"/>
      <c r="O33" s="230"/>
      <c r="P33" s="230"/>
      <c r="Q33" s="230"/>
      <c r="R33" s="230"/>
      <c r="S33" s="230"/>
      <c r="T33" s="230"/>
      <c r="U33" s="230"/>
      <c r="V33" s="230"/>
      <c r="W33" s="230"/>
      <c r="X33" s="230"/>
      <c r="Y33" s="230"/>
      <c r="Z33" s="230"/>
    </row>
    <row r="34" spans="1:26" ht="15.75" customHeight="1" thickBot="1">
      <c r="A34" s="230"/>
      <c r="B34" s="230"/>
      <c r="C34" s="230"/>
      <c r="D34" s="230"/>
      <c r="E34" s="230"/>
      <c r="F34" s="230"/>
      <c r="G34" s="230"/>
      <c r="H34" s="263"/>
      <c r="I34" s="263"/>
      <c r="J34" s="263"/>
      <c r="K34" s="230"/>
      <c r="L34" s="230"/>
      <c r="M34" s="230"/>
      <c r="N34" s="230"/>
      <c r="O34" s="230"/>
      <c r="P34" s="230"/>
      <c r="Q34" s="230"/>
      <c r="R34" s="230"/>
      <c r="S34" s="230"/>
      <c r="T34" s="230"/>
      <c r="U34" s="230"/>
      <c r="V34" s="230"/>
      <c r="W34" s="230"/>
      <c r="X34" s="230"/>
      <c r="Y34" s="230"/>
      <c r="Z34" s="230"/>
    </row>
    <row r="35" spans="1:26" ht="15.75" customHeight="1" thickBot="1">
      <c r="A35" s="347" t="s">
        <v>632</v>
      </c>
      <c r="B35" s="379"/>
      <c r="C35" s="380"/>
      <c r="D35" s="380"/>
      <c r="E35" s="380"/>
      <c r="F35" s="380"/>
      <c r="G35" s="380"/>
      <c r="H35" s="380"/>
      <c r="I35" s="230"/>
      <c r="J35" s="230"/>
      <c r="K35" s="230"/>
      <c r="L35" s="230"/>
      <c r="M35" s="230"/>
      <c r="N35" s="230"/>
      <c r="O35" s="230"/>
      <c r="P35" s="230"/>
      <c r="Q35" s="230"/>
      <c r="R35" s="230"/>
      <c r="S35" s="230"/>
      <c r="T35" s="230"/>
      <c r="U35" s="230"/>
      <c r="V35" s="230"/>
      <c r="W35" s="230"/>
      <c r="X35" s="230"/>
      <c r="Y35" s="230"/>
      <c r="Z35" s="230"/>
    </row>
    <row r="36" spans="1:26" ht="15.75" customHeight="1" thickBot="1">
      <c r="A36" s="230"/>
      <c r="B36" s="230"/>
      <c r="C36" s="230"/>
      <c r="D36" s="230"/>
      <c r="E36" s="230"/>
      <c r="F36" s="230"/>
      <c r="G36" s="230"/>
      <c r="H36" s="263"/>
      <c r="I36" s="263"/>
      <c r="J36" s="263"/>
      <c r="K36" s="263"/>
      <c r="L36" s="230"/>
      <c r="M36" s="230"/>
      <c r="N36" s="230"/>
      <c r="O36" s="230"/>
      <c r="P36" s="230"/>
      <c r="Q36" s="230"/>
      <c r="R36" s="230"/>
      <c r="S36" s="230"/>
      <c r="T36" s="230"/>
      <c r="U36" s="230"/>
      <c r="V36" s="230"/>
      <c r="W36" s="230"/>
      <c r="X36" s="230"/>
      <c r="Y36" s="230"/>
      <c r="Z36" s="230"/>
    </row>
    <row r="37" spans="1:26" ht="15.75" customHeight="1" thickBot="1">
      <c r="A37" s="230"/>
      <c r="B37" s="338" t="s">
        <v>631</v>
      </c>
      <c r="C37" s="346"/>
      <c r="D37" s="346"/>
      <c r="E37" s="346"/>
      <c r="F37" s="346"/>
      <c r="G37" s="346"/>
      <c r="H37" s="348"/>
      <c r="I37" s="263"/>
      <c r="J37" s="279"/>
      <c r="K37" s="230"/>
      <c r="L37" s="230"/>
      <c r="M37" s="230"/>
      <c r="N37" s="230"/>
      <c r="O37" s="230"/>
      <c r="P37" s="230"/>
      <c r="Q37" s="230"/>
      <c r="R37" s="230"/>
      <c r="S37" s="230"/>
      <c r="T37" s="230"/>
      <c r="U37" s="230"/>
      <c r="V37" s="230"/>
      <c r="W37" s="230"/>
      <c r="X37" s="230"/>
      <c r="Y37" s="230"/>
      <c r="Z37" s="230"/>
    </row>
    <row r="38" spans="1:26" ht="15.75" customHeight="1">
      <c r="A38" s="230"/>
      <c r="B38" s="278"/>
      <c r="C38" s="231" t="s">
        <v>500</v>
      </c>
      <c r="D38" s="230"/>
      <c r="E38" s="229" t="s">
        <v>499</v>
      </c>
      <c r="F38" s="229"/>
      <c r="G38" s="229"/>
      <c r="H38" s="228" t="s">
        <v>498</v>
      </c>
      <c r="I38" s="263"/>
      <c r="J38" s="231"/>
      <c r="K38" s="231"/>
      <c r="L38" s="277"/>
      <c r="M38" s="277"/>
      <c r="N38" s="231"/>
      <c r="O38" s="230"/>
      <c r="P38" s="230"/>
      <c r="Q38" s="230"/>
      <c r="R38" s="230"/>
      <c r="S38" s="230"/>
      <c r="T38" s="230"/>
      <c r="U38" s="230"/>
      <c r="V38" s="230"/>
      <c r="W38" s="230"/>
      <c r="X38" s="230"/>
      <c r="Y38" s="230"/>
      <c r="Z38" s="230"/>
    </row>
    <row r="39" spans="1:26" ht="15.75" customHeight="1" thickBot="1">
      <c r="A39" s="230"/>
      <c r="B39" s="276" t="s">
        <v>630</v>
      </c>
      <c r="C39" s="227" t="s">
        <v>142</v>
      </c>
      <c r="D39" s="227" t="s">
        <v>496</v>
      </c>
      <c r="E39" s="227" t="s">
        <v>495</v>
      </c>
      <c r="F39" s="227" t="s">
        <v>437</v>
      </c>
      <c r="G39" s="223" t="s">
        <v>494</v>
      </c>
      <c r="H39" s="226" t="s">
        <v>493</v>
      </c>
      <c r="I39" s="263"/>
      <c r="J39" s="262"/>
      <c r="K39" s="231"/>
      <c r="L39" s="231"/>
      <c r="M39" s="230"/>
      <c r="N39" s="231"/>
      <c r="O39" s="230"/>
      <c r="P39" s="230"/>
      <c r="Q39" s="230"/>
      <c r="R39" s="230"/>
      <c r="S39" s="230"/>
      <c r="T39" s="230"/>
      <c r="U39" s="230"/>
      <c r="V39" s="230"/>
      <c r="W39" s="230"/>
      <c r="X39" s="230"/>
      <c r="Y39" s="230"/>
      <c r="Z39" s="230"/>
    </row>
    <row r="40" spans="1:26" ht="15.75" customHeight="1">
      <c r="A40" s="230"/>
      <c r="B40" s="350">
        <f>458294/1000</f>
        <v>458.29399999999998</v>
      </c>
      <c r="C40" s="351">
        <v>306.85000000000002</v>
      </c>
      <c r="D40" s="310" t="str">
        <f>IF(C15&gt;C40,"YES","NO")</f>
        <v>YES</v>
      </c>
      <c r="E40" s="311">
        <f>IF(D40="YES",B40,0)</f>
        <v>458.29399999999998</v>
      </c>
      <c r="F40" s="299">
        <f>(E40*C40)</f>
        <v>140627.51389999999</v>
      </c>
      <c r="G40" s="311">
        <f>F40/C15</f>
        <v>295.02688268367388</v>
      </c>
      <c r="H40" s="312">
        <f>E40-G40</f>
        <v>163.26711731632611</v>
      </c>
      <c r="I40" s="263"/>
      <c r="J40" s="275"/>
      <c r="K40" s="275"/>
      <c r="L40" s="258"/>
      <c r="M40" s="275"/>
      <c r="N40" s="275"/>
      <c r="O40" s="230"/>
      <c r="P40" s="230"/>
      <c r="Q40" s="230"/>
      <c r="R40" s="230"/>
      <c r="S40" s="230"/>
      <c r="T40" s="230"/>
      <c r="U40" s="230"/>
      <c r="V40" s="230"/>
      <c r="W40" s="230"/>
      <c r="X40" s="230"/>
      <c r="Y40" s="230"/>
      <c r="Z40" s="230"/>
    </row>
    <row r="41" spans="1:26" ht="15.75" customHeight="1">
      <c r="A41" s="230"/>
      <c r="B41" s="352">
        <f>67594/1000</f>
        <v>67.593999999999994</v>
      </c>
      <c r="C41" s="351">
        <v>0</v>
      </c>
      <c r="D41" s="310" t="str">
        <f>IF(C15&gt;C41,"YES","NO")</f>
        <v>YES</v>
      </c>
      <c r="E41" s="311">
        <f>IF(D41="YES",B41,0)</f>
        <v>67.593999999999994</v>
      </c>
      <c r="F41" s="299">
        <f>(E41*C41)</f>
        <v>0</v>
      </c>
      <c r="G41" s="311">
        <f>F41/C15</f>
        <v>0</v>
      </c>
      <c r="H41" s="312">
        <f>E41-G41</f>
        <v>67.593999999999994</v>
      </c>
      <c r="I41" s="263" t="s">
        <v>629</v>
      </c>
      <c r="J41" s="275"/>
      <c r="K41" s="275"/>
      <c r="L41" s="258"/>
      <c r="M41" s="275"/>
      <c r="N41" s="275"/>
      <c r="O41" s="230"/>
      <c r="P41" s="230"/>
      <c r="Q41" s="230"/>
      <c r="R41" s="230"/>
      <c r="S41" s="230"/>
      <c r="T41" s="230"/>
      <c r="U41" s="230"/>
      <c r="V41" s="230"/>
      <c r="W41" s="230"/>
      <c r="X41" s="230"/>
      <c r="Y41" s="230"/>
      <c r="Z41" s="230"/>
    </row>
    <row r="42" spans="1:26" ht="15.75" customHeight="1">
      <c r="A42" s="230"/>
      <c r="B42" s="352"/>
      <c r="C42" s="351"/>
      <c r="D42" s="310"/>
      <c r="E42" s="311"/>
      <c r="F42" s="299"/>
      <c r="G42" s="311"/>
      <c r="H42" s="312"/>
      <c r="I42" s="263"/>
      <c r="J42" s="275"/>
      <c r="K42" s="275"/>
      <c r="L42" s="258"/>
      <c r="M42" s="275"/>
      <c r="N42" s="275"/>
      <c r="O42" s="230"/>
      <c r="P42" s="230"/>
      <c r="Q42" s="230"/>
      <c r="R42" s="230"/>
      <c r="S42" s="230"/>
      <c r="T42" s="230"/>
      <c r="U42" s="230"/>
      <c r="V42" s="230"/>
      <c r="W42" s="230"/>
      <c r="X42" s="230"/>
      <c r="Y42" s="230"/>
      <c r="Z42" s="230"/>
    </row>
    <row r="43" spans="1:26" ht="15.75" customHeight="1">
      <c r="A43" s="230"/>
      <c r="B43" s="352"/>
      <c r="C43" s="351"/>
      <c r="D43" s="310"/>
      <c r="E43" s="311"/>
      <c r="F43" s="299"/>
      <c r="G43" s="311"/>
      <c r="H43" s="312"/>
      <c r="I43" s="263"/>
      <c r="J43" s="275"/>
      <c r="K43" s="275"/>
      <c r="L43" s="258"/>
      <c r="M43" s="275"/>
      <c r="N43" s="275"/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</row>
    <row r="44" spans="1:26" ht="15.75" customHeight="1">
      <c r="A44" s="230"/>
      <c r="B44" s="352"/>
      <c r="C44" s="351"/>
      <c r="D44" s="310"/>
      <c r="E44" s="311"/>
      <c r="F44" s="299"/>
      <c r="G44" s="311"/>
      <c r="H44" s="312"/>
      <c r="I44" s="263"/>
      <c r="J44" s="275"/>
      <c r="K44" s="275"/>
      <c r="L44" s="258"/>
      <c r="M44" s="275"/>
      <c r="N44" s="275"/>
      <c r="O44" s="230"/>
      <c r="P44" s="230"/>
      <c r="Q44" s="230"/>
      <c r="R44" s="230"/>
      <c r="S44" s="230"/>
      <c r="T44" s="230"/>
      <c r="U44" s="230"/>
      <c r="V44" s="230"/>
      <c r="W44" s="230"/>
      <c r="X44" s="230"/>
      <c r="Y44" s="230"/>
      <c r="Z44" s="230"/>
    </row>
    <row r="45" spans="1:26" ht="15.75" customHeight="1" thickBot="1">
      <c r="A45" s="230"/>
      <c r="B45" s="267"/>
      <c r="C45" s="223"/>
      <c r="D45" s="223"/>
      <c r="E45" s="223"/>
      <c r="F45" s="223"/>
      <c r="G45" s="223"/>
      <c r="H45" s="349">
        <f>SUM(H40:H44)</f>
        <v>230.8611173163261</v>
      </c>
      <c r="I45" s="263"/>
      <c r="J45" s="230"/>
      <c r="K45" s="230"/>
      <c r="L45" s="230"/>
      <c r="M45" s="230"/>
      <c r="N45" s="275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</row>
    <row r="46" spans="1:26" ht="15.75" customHeight="1" thickBot="1">
      <c r="A46" s="230"/>
      <c r="B46" s="230"/>
      <c r="C46" s="230"/>
      <c r="D46" s="230"/>
      <c r="E46" s="230"/>
      <c r="F46" s="230"/>
      <c r="G46" s="230"/>
      <c r="H46" s="263"/>
      <c r="I46" s="263"/>
      <c r="J46" s="263"/>
      <c r="K46" s="263"/>
      <c r="L46" s="230"/>
      <c r="M46" s="230"/>
      <c r="N46" s="230"/>
      <c r="O46" s="230"/>
      <c r="P46" s="230"/>
      <c r="Q46" s="230"/>
      <c r="R46" s="230"/>
      <c r="S46" s="230"/>
      <c r="T46" s="230"/>
      <c r="U46" s="230"/>
      <c r="V46" s="230"/>
      <c r="W46" s="230"/>
      <c r="X46" s="230"/>
      <c r="Y46" s="230"/>
      <c r="Z46" s="230"/>
    </row>
    <row r="47" spans="1:26" ht="15.75" customHeight="1" thickBot="1">
      <c r="A47" s="230"/>
      <c r="B47" s="338" t="s">
        <v>628</v>
      </c>
      <c r="C47" s="346"/>
      <c r="D47" s="346"/>
      <c r="E47" s="346"/>
      <c r="F47" s="346"/>
      <c r="G47" s="348"/>
      <c r="H47" s="263"/>
      <c r="I47" s="263"/>
      <c r="J47" s="230"/>
      <c r="K47" s="230"/>
      <c r="L47" s="230"/>
      <c r="M47" s="230"/>
      <c r="N47" s="230"/>
      <c r="O47" s="230"/>
      <c r="P47" s="230"/>
      <c r="Q47" s="230"/>
      <c r="R47" s="230"/>
      <c r="S47" s="230"/>
      <c r="T47" s="230"/>
      <c r="U47" s="230"/>
      <c r="V47" s="230"/>
      <c r="W47" s="230"/>
      <c r="X47" s="230"/>
      <c r="Y47" s="230"/>
      <c r="Z47" s="230"/>
    </row>
    <row r="48" spans="1:26" ht="15.75" customHeight="1">
      <c r="A48" s="230"/>
      <c r="B48" s="274"/>
      <c r="C48" s="273"/>
      <c r="D48" s="273"/>
      <c r="E48" s="435" t="s">
        <v>627</v>
      </c>
      <c r="F48" s="272"/>
      <c r="G48" s="436" t="s">
        <v>626</v>
      </c>
      <c r="H48" s="263"/>
      <c r="I48" s="263"/>
      <c r="J48" s="257"/>
      <c r="K48" s="257"/>
      <c r="L48" s="230"/>
      <c r="M48" s="438"/>
      <c r="N48" s="230"/>
      <c r="O48" s="230"/>
      <c r="P48" s="230"/>
      <c r="Q48" s="230"/>
      <c r="R48" s="230"/>
      <c r="S48" s="230"/>
      <c r="T48" s="230"/>
      <c r="U48" s="230"/>
      <c r="V48" s="230"/>
      <c r="W48" s="230"/>
      <c r="X48" s="230"/>
      <c r="Y48" s="230"/>
      <c r="Z48" s="230"/>
    </row>
    <row r="49" spans="1:26" ht="15.75" customHeight="1">
      <c r="A49" s="230"/>
      <c r="B49" s="271" t="s">
        <v>625</v>
      </c>
      <c r="C49" s="270" t="s">
        <v>172</v>
      </c>
      <c r="D49" s="270" t="s">
        <v>624</v>
      </c>
      <c r="E49" s="427"/>
      <c r="F49" s="269" t="s">
        <v>623</v>
      </c>
      <c r="G49" s="437"/>
      <c r="H49" s="263"/>
      <c r="I49" s="263"/>
      <c r="J49" s="257"/>
      <c r="K49" s="270"/>
      <c r="L49" s="269"/>
      <c r="M49" s="427"/>
      <c r="N49" s="230"/>
      <c r="O49" s="230"/>
      <c r="P49" s="230"/>
      <c r="Q49" s="230"/>
      <c r="R49" s="230"/>
      <c r="S49" s="230"/>
      <c r="T49" s="230"/>
      <c r="U49" s="230"/>
      <c r="V49" s="230"/>
      <c r="W49" s="230"/>
      <c r="X49" s="230"/>
      <c r="Y49" s="230"/>
      <c r="Z49" s="230"/>
    </row>
    <row r="50" spans="1:26" ht="15.75" customHeight="1">
      <c r="A50" s="230"/>
      <c r="B50" s="268"/>
      <c r="C50" s="353"/>
      <c r="D50" s="353"/>
      <c r="E50" s="354"/>
      <c r="F50" s="306"/>
      <c r="G50" s="355"/>
      <c r="H50" s="263"/>
      <c r="I50" s="263"/>
      <c r="J50" s="230"/>
      <c r="K50" s="258"/>
      <c r="L50" s="265"/>
      <c r="M50" s="265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</row>
    <row r="51" spans="1:26" ht="15.75" customHeight="1">
      <c r="A51" s="230"/>
      <c r="B51" s="268"/>
      <c r="C51" s="353"/>
      <c r="D51" s="353"/>
      <c r="E51" s="354"/>
      <c r="F51" s="306"/>
      <c r="G51" s="355"/>
      <c r="H51" s="263"/>
      <c r="I51" s="263"/>
      <c r="J51" s="230"/>
      <c r="K51" s="258"/>
      <c r="L51" s="265"/>
      <c r="M51" s="265"/>
      <c r="N51" s="230"/>
      <c r="O51" s="230"/>
      <c r="P51" s="230"/>
      <c r="Q51" s="230"/>
      <c r="R51" s="230"/>
      <c r="S51" s="230"/>
      <c r="T51" s="230"/>
      <c r="U51" s="230"/>
      <c r="V51" s="230"/>
      <c r="W51" s="230"/>
      <c r="X51" s="230"/>
      <c r="Y51" s="230"/>
      <c r="Z51" s="230"/>
    </row>
    <row r="52" spans="1:26" ht="15.75" customHeight="1">
      <c r="A52" s="230"/>
      <c r="B52" s="268"/>
      <c r="C52" s="353"/>
      <c r="D52" s="353"/>
      <c r="E52" s="354"/>
      <c r="F52" s="356"/>
      <c r="G52" s="355"/>
      <c r="H52" s="263"/>
      <c r="I52" s="263"/>
      <c r="J52" s="230"/>
      <c r="K52" s="258"/>
      <c r="L52" s="265"/>
      <c r="M52" s="265"/>
      <c r="N52" s="230"/>
      <c r="O52" s="230"/>
      <c r="P52" s="230"/>
      <c r="Q52" s="230"/>
      <c r="R52" s="230"/>
      <c r="S52" s="230"/>
      <c r="T52" s="230"/>
      <c r="U52" s="230"/>
      <c r="V52" s="230"/>
      <c r="W52" s="230"/>
      <c r="X52" s="230"/>
      <c r="Y52" s="230"/>
      <c r="Z52" s="230"/>
    </row>
    <row r="53" spans="1:26" ht="15.75" customHeight="1" thickBot="1">
      <c r="A53" s="230"/>
      <c r="B53" s="267"/>
      <c r="C53" s="266"/>
      <c r="D53" s="266"/>
      <c r="E53" s="266"/>
      <c r="F53" s="357"/>
      <c r="G53" s="358"/>
      <c r="H53" s="263"/>
      <c r="I53" s="263"/>
      <c r="J53" s="230"/>
      <c r="K53" s="258"/>
      <c r="L53" s="265"/>
      <c r="M53" s="265"/>
      <c r="N53" s="230"/>
      <c r="O53" s="230"/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0"/>
    </row>
    <row r="54" spans="1:26" ht="15.75" customHeight="1">
      <c r="A54" s="230"/>
      <c r="B54" s="230"/>
      <c r="C54" s="230"/>
      <c r="D54" s="230"/>
      <c r="E54" s="230"/>
      <c r="F54" s="230"/>
      <c r="G54" s="230"/>
      <c r="H54" s="263"/>
      <c r="I54" s="263"/>
      <c r="J54" s="230"/>
      <c r="K54" s="230"/>
      <c r="L54" s="230"/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30"/>
      <c r="X54" s="230"/>
      <c r="Y54" s="230"/>
      <c r="Z54" s="230"/>
    </row>
    <row r="55" spans="1:26" ht="15.75" customHeight="1">
      <c r="A55" s="230"/>
      <c r="B55" s="230"/>
      <c r="C55" s="230"/>
      <c r="D55" s="230"/>
      <c r="E55" s="230"/>
      <c r="F55" s="230"/>
      <c r="G55" s="230"/>
      <c r="H55" s="264" t="s">
        <v>622</v>
      </c>
      <c r="I55" s="264" t="s">
        <v>670</v>
      </c>
      <c r="J55" s="264" t="s">
        <v>670</v>
      </c>
      <c r="K55" s="263"/>
      <c r="L55" s="230"/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30"/>
      <c r="X55" s="230"/>
      <c r="Y55" s="230"/>
      <c r="Z55" s="230"/>
    </row>
    <row r="56" spans="1:26" ht="15.75" customHeight="1">
      <c r="A56" s="230"/>
      <c r="B56" s="230"/>
      <c r="C56" s="230"/>
      <c r="D56" s="230"/>
      <c r="E56" s="230"/>
      <c r="F56" s="230"/>
      <c r="G56" s="29"/>
      <c r="H56" s="264"/>
      <c r="I56" s="264"/>
      <c r="J56" s="264"/>
      <c r="K56" s="263"/>
      <c r="L56" s="262" t="s">
        <v>621</v>
      </c>
      <c r="M56" s="230"/>
      <c r="N56" s="230"/>
      <c r="O56" s="230"/>
      <c r="P56" s="230"/>
      <c r="Q56" s="230"/>
      <c r="R56" s="230"/>
      <c r="S56" s="230"/>
      <c r="T56" s="230"/>
      <c r="U56" s="230"/>
      <c r="V56" s="230"/>
      <c r="W56" s="230"/>
      <c r="X56" s="230"/>
      <c r="Y56" s="230"/>
      <c r="Z56" s="230"/>
    </row>
    <row r="57" spans="1:26" ht="15.75" customHeight="1">
      <c r="A57" s="327" t="s">
        <v>620</v>
      </c>
      <c r="B57" s="327"/>
      <c r="C57" s="327"/>
      <c r="D57" s="327"/>
      <c r="E57" s="327"/>
      <c r="F57" s="327"/>
      <c r="G57" s="327"/>
      <c r="H57" s="362" t="s">
        <v>619</v>
      </c>
      <c r="I57" s="362" t="s">
        <v>618</v>
      </c>
      <c r="J57" s="362" t="s">
        <v>617</v>
      </c>
      <c r="K57" s="362" t="s">
        <v>616</v>
      </c>
      <c r="L57" s="362" t="s">
        <v>615</v>
      </c>
      <c r="M57" s="362" t="s">
        <v>614</v>
      </c>
      <c r="N57" s="362" t="s">
        <v>613</v>
      </c>
      <c r="O57" s="362" t="s">
        <v>612</v>
      </c>
      <c r="P57" s="362" t="s">
        <v>611</v>
      </c>
      <c r="Q57" s="230"/>
      <c r="R57" s="230"/>
      <c r="S57" s="230"/>
      <c r="T57" s="230"/>
      <c r="U57" s="230"/>
      <c r="V57" s="230"/>
      <c r="W57" s="230"/>
      <c r="X57" s="230"/>
      <c r="Y57" s="230"/>
      <c r="Z57" s="230"/>
    </row>
    <row r="58" spans="1:26" ht="15.75" customHeight="1">
      <c r="A58" s="230"/>
      <c r="B58" s="230"/>
      <c r="C58" s="230"/>
      <c r="D58" s="230"/>
      <c r="E58" s="230"/>
      <c r="F58" s="230"/>
      <c r="G58" s="230"/>
      <c r="H58" s="230" t="s">
        <v>610</v>
      </c>
      <c r="I58" s="230"/>
      <c r="J58" s="230"/>
      <c r="K58" s="230"/>
      <c r="L58" s="230"/>
      <c r="M58" s="230"/>
      <c r="N58" s="230"/>
      <c r="O58" s="230"/>
      <c r="P58" s="230"/>
      <c r="Q58" s="230"/>
      <c r="R58" s="230"/>
      <c r="S58" s="230"/>
      <c r="T58" s="230"/>
      <c r="U58" s="230"/>
      <c r="V58" s="230"/>
      <c r="W58" s="230"/>
      <c r="X58" s="230"/>
      <c r="Y58" s="230"/>
      <c r="Z58" s="230"/>
    </row>
    <row r="59" spans="1:26" ht="15.75" customHeight="1">
      <c r="A59" s="230" t="s">
        <v>609</v>
      </c>
      <c r="B59" s="230"/>
      <c r="C59" s="230"/>
      <c r="D59" s="230"/>
      <c r="E59" s="230"/>
      <c r="F59" s="230"/>
      <c r="G59" s="230"/>
      <c r="H59" s="260">
        <f>4706416/1000</f>
        <v>4706.4160000000002</v>
      </c>
      <c r="I59" s="260">
        <f>3262502/1000</f>
        <v>3262.502</v>
      </c>
      <c r="J59" s="260">
        <f>3076386/1000</f>
        <v>3076.386</v>
      </c>
      <c r="K59" s="378">
        <f>H59+I59-J59</f>
        <v>4892.5319999999992</v>
      </c>
      <c r="L59">
        <v>4958</v>
      </c>
      <c r="M59">
        <v>5292</v>
      </c>
      <c r="Q59" s="230"/>
      <c r="R59" s="230"/>
      <c r="S59" s="230"/>
      <c r="T59" s="230"/>
      <c r="U59" s="230"/>
      <c r="V59" s="230"/>
      <c r="W59" s="230"/>
      <c r="X59" s="230"/>
      <c r="Y59" s="230"/>
      <c r="Z59" s="230"/>
    </row>
    <row r="60" spans="1:26" ht="5.25" customHeight="1">
      <c r="A60" s="230"/>
      <c r="B60" s="230"/>
      <c r="C60" s="230"/>
      <c r="D60" s="230"/>
      <c r="E60" s="230"/>
      <c r="F60" s="230"/>
      <c r="G60" s="230"/>
      <c r="H60" s="260"/>
      <c r="I60" s="260"/>
      <c r="J60" s="260"/>
      <c r="K60" s="260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0"/>
    </row>
    <row r="61" spans="1:26" ht="15.75" customHeight="1">
      <c r="A61" s="230" t="s">
        <v>608</v>
      </c>
      <c r="B61" s="230"/>
      <c r="C61" s="230"/>
      <c r="D61" s="230"/>
      <c r="E61" s="230"/>
      <c r="F61" s="230"/>
      <c r="G61" s="230"/>
      <c r="H61" s="260">
        <f>878999/1000</f>
        <v>878.99900000000002</v>
      </c>
      <c r="I61" s="260">
        <f>605347/1000</f>
        <v>605.34699999999998</v>
      </c>
      <c r="J61" s="260">
        <f>562318/1000</f>
        <v>562.31799999999998</v>
      </c>
      <c r="K61" s="378">
        <f>H61+I61-J61</f>
        <v>922.02800000000002</v>
      </c>
      <c r="L61" s="230">
        <v>938</v>
      </c>
      <c r="M61" s="230">
        <v>1008</v>
      </c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0"/>
    </row>
    <row r="62" spans="1:26" ht="15.75" customHeight="1">
      <c r="A62" s="230" t="s">
        <v>607</v>
      </c>
      <c r="B62" s="259"/>
      <c r="C62" s="259"/>
      <c r="D62" s="259"/>
      <c r="E62" s="259"/>
      <c r="F62" s="259"/>
      <c r="G62" s="259"/>
      <c r="H62" s="377">
        <v>0</v>
      </c>
      <c r="I62" s="377">
        <v>0</v>
      </c>
      <c r="J62" s="377">
        <v>0</v>
      </c>
      <c r="K62" s="292"/>
      <c r="L62" s="259"/>
      <c r="M62" s="259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</row>
    <row r="63" spans="1:26" ht="15.75" customHeight="1">
      <c r="A63" s="256" t="s">
        <v>606</v>
      </c>
      <c r="B63" s="259"/>
      <c r="C63" s="259"/>
      <c r="D63" s="259"/>
      <c r="E63" s="259"/>
      <c r="F63" s="259"/>
      <c r="G63" s="259"/>
      <c r="H63" s="378">
        <f>H61-H62</f>
        <v>878.99900000000002</v>
      </c>
      <c r="I63" s="378">
        <f>I61-I62</f>
        <v>605.34699999999998</v>
      </c>
      <c r="J63" s="378">
        <f>J61-J62</f>
        <v>562.31799999999998</v>
      </c>
      <c r="K63" s="378">
        <f>H63+I63-J63</f>
        <v>922.02800000000002</v>
      </c>
      <c r="L63" s="258">
        <f>L61</f>
        <v>938</v>
      </c>
      <c r="M63" s="258">
        <f>M61</f>
        <v>1008</v>
      </c>
      <c r="N63" s="258"/>
      <c r="O63" s="258"/>
      <c r="P63" s="258"/>
      <c r="Q63" s="259"/>
      <c r="R63" s="259"/>
      <c r="S63" s="259"/>
      <c r="T63" s="259"/>
      <c r="U63" s="259"/>
      <c r="V63" s="259"/>
      <c r="W63" s="259"/>
      <c r="X63" s="259"/>
      <c r="Y63" s="259"/>
      <c r="Z63" s="259"/>
    </row>
    <row r="64" spans="1:26" ht="15.75" customHeight="1">
      <c r="A64" s="230" t="s">
        <v>605</v>
      </c>
      <c r="B64" s="230"/>
      <c r="C64" s="230"/>
      <c r="D64" s="230"/>
      <c r="E64" s="230"/>
      <c r="F64" s="230"/>
      <c r="G64" s="230"/>
      <c r="H64" s="260">
        <f>87732/1000</f>
        <v>87.731999999999999</v>
      </c>
      <c r="I64" s="260">
        <f>60974/1000</f>
        <v>60.973999999999997</v>
      </c>
      <c r="J64" s="260">
        <f>54999/1000</f>
        <v>54.999000000000002</v>
      </c>
      <c r="K64" s="260"/>
      <c r="L64" s="258">
        <f>L65-L63</f>
        <v>96</v>
      </c>
      <c r="M64" s="258">
        <f>M65-M63</f>
        <v>100</v>
      </c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0"/>
    </row>
    <row r="65" spans="1:26" ht="15.75" customHeight="1">
      <c r="A65" s="259" t="s">
        <v>604</v>
      </c>
      <c r="B65" s="259"/>
      <c r="C65" s="259"/>
      <c r="D65" s="259"/>
      <c r="E65" s="259"/>
      <c r="F65" s="259"/>
      <c r="G65" s="259"/>
      <c r="H65" s="378">
        <f>H63+H64</f>
        <v>966.73099999999999</v>
      </c>
      <c r="I65" s="378">
        <f>I63+I64</f>
        <v>666.32100000000003</v>
      </c>
      <c r="J65" s="378">
        <f>J63+J64</f>
        <v>617.31700000000001</v>
      </c>
      <c r="K65" s="378">
        <f>H65+I65-J65</f>
        <v>1015.7350000000001</v>
      </c>
      <c r="L65" s="258">
        <v>1034</v>
      </c>
      <c r="M65" s="258">
        <v>1108</v>
      </c>
      <c r="N65" s="258"/>
      <c r="O65" s="258"/>
      <c r="P65" s="258"/>
      <c r="Q65" s="259"/>
      <c r="R65" s="259"/>
      <c r="S65" s="259"/>
      <c r="T65" s="259"/>
      <c r="U65" s="259"/>
      <c r="V65" s="259"/>
      <c r="W65" s="259"/>
      <c r="X65" s="259"/>
      <c r="Y65" s="259"/>
      <c r="Z65" s="259"/>
    </row>
    <row r="66" spans="1:26" ht="6" customHeight="1">
      <c r="A66" s="230"/>
      <c r="B66" s="230"/>
      <c r="C66" s="230"/>
      <c r="D66" s="230"/>
      <c r="E66" s="230"/>
      <c r="F66" s="230"/>
      <c r="G66" s="230"/>
      <c r="H66" s="260"/>
      <c r="I66" s="260"/>
      <c r="J66" s="260"/>
      <c r="K66" s="26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</row>
    <row r="67" spans="1:26" ht="15.75" customHeight="1">
      <c r="A67" s="230" t="s">
        <v>603</v>
      </c>
      <c r="B67" s="230"/>
      <c r="C67" s="230"/>
      <c r="D67" s="230"/>
      <c r="E67" s="230"/>
      <c r="F67" s="230"/>
      <c r="G67" s="230"/>
      <c r="H67" s="260">
        <f>584170/1000</f>
        <v>584.16999999999996</v>
      </c>
      <c r="I67" s="260">
        <f>414726/1000</f>
        <v>414.726</v>
      </c>
      <c r="J67" s="260">
        <f>361826/1000</f>
        <v>361.82600000000002</v>
      </c>
      <c r="K67" s="378">
        <f>H67+I67-J67</f>
        <v>637.06999999999994</v>
      </c>
      <c r="L67" s="230">
        <v>1743</v>
      </c>
      <c r="M67" s="230">
        <v>2076</v>
      </c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</row>
    <row r="68" spans="1:26" ht="15.75" customHeight="1">
      <c r="A68" s="230" t="s">
        <v>602</v>
      </c>
      <c r="B68" s="230"/>
      <c r="C68" s="230"/>
      <c r="D68" s="230"/>
      <c r="E68" s="230"/>
      <c r="F68" s="230"/>
      <c r="G68" s="230"/>
      <c r="H68" s="377">
        <f>H62</f>
        <v>0</v>
      </c>
      <c r="I68" s="377">
        <f>I62</f>
        <v>0</v>
      </c>
      <c r="J68" s="377">
        <f>J62</f>
        <v>0</v>
      </c>
      <c r="K68" s="26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</row>
    <row r="69" spans="1:26" ht="15.75" customHeight="1">
      <c r="A69" s="230" t="s">
        <v>601</v>
      </c>
      <c r="B69" s="230"/>
      <c r="C69" s="230"/>
      <c r="D69" s="230"/>
      <c r="E69" s="230"/>
      <c r="F69" s="230"/>
      <c r="G69" s="230"/>
      <c r="H69" s="377">
        <v>0</v>
      </c>
      <c r="I69" s="377">
        <v>0</v>
      </c>
      <c r="J69" s="377">
        <v>0</v>
      </c>
      <c r="K69" s="26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0"/>
    </row>
    <row r="70" spans="1:26" ht="15.75" customHeight="1">
      <c r="A70" s="230" t="s">
        <v>600</v>
      </c>
      <c r="B70" s="230"/>
      <c r="C70" s="230"/>
      <c r="D70" s="230"/>
      <c r="E70" s="230"/>
      <c r="F70" s="230"/>
      <c r="G70" s="230"/>
      <c r="H70" s="377">
        <f>-(H68+H69)*F11</f>
        <v>0</v>
      </c>
      <c r="I70" s="377">
        <f>-(I68+I69)*F11</f>
        <v>0</v>
      </c>
      <c r="J70" s="377">
        <f>-(J68+J69)*F11</f>
        <v>0</v>
      </c>
      <c r="K70" s="26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</row>
    <row r="71" spans="1:26" ht="15.75" customHeight="1">
      <c r="A71" s="230" t="s">
        <v>599</v>
      </c>
      <c r="B71" s="230"/>
      <c r="C71" s="230"/>
      <c r="D71" s="230"/>
      <c r="E71" s="230"/>
      <c r="F71" s="230"/>
      <c r="G71" s="230"/>
      <c r="H71" s="377">
        <v>0</v>
      </c>
      <c r="I71" s="377">
        <v>0</v>
      </c>
      <c r="J71" s="377">
        <v>0</v>
      </c>
      <c r="K71" s="26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</row>
    <row r="72" spans="1:26" ht="15.75" customHeight="1">
      <c r="A72" s="259" t="s">
        <v>598</v>
      </c>
      <c r="B72" s="230"/>
      <c r="C72" s="230"/>
      <c r="D72" s="230"/>
      <c r="E72" s="230"/>
      <c r="F72" s="230"/>
      <c r="G72" s="230"/>
      <c r="H72" s="378">
        <f>H67+H68+H69+H70</f>
        <v>584.16999999999996</v>
      </c>
      <c r="I72" s="378">
        <f>I67+I68+I69+I70</f>
        <v>414.726</v>
      </c>
      <c r="J72" s="378">
        <f>J67+J68+J69+J70</f>
        <v>361.82600000000002</v>
      </c>
      <c r="K72" s="378">
        <f>H72+I72-J72</f>
        <v>637.06999999999994</v>
      </c>
      <c r="L72" s="230">
        <v>596.79999999999995</v>
      </c>
      <c r="M72" s="230">
        <v>648.20000000000005</v>
      </c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0"/>
    </row>
    <row r="73" spans="1:26" ht="15.75" customHeight="1">
      <c r="A73" s="230" t="s">
        <v>597</v>
      </c>
      <c r="B73" s="230"/>
      <c r="C73" s="230"/>
      <c r="D73" s="230"/>
      <c r="E73" s="230"/>
      <c r="F73" s="230"/>
      <c r="G73" s="230"/>
      <c r="H73" s="377">
        <v>0</v>
      </c>
      <c r="I73" s="377">
        <v>0</v>
      </c>
      <c r="J73" s="377">
        <v>0</v>
      </c>
      <c r="K73" s="26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0"/>
    </row>
    <row r="74" spans="1:26" ht="15.75" customHeight="1">
      <c r="A74" s="259" t="s">
        <v>596</v>
      </c>
      <c r="B74" s="259"/>
      <c r="C74" s="259"/>
      <c r="D74" s="259"/>
      <c r="E74" s="259"/>
      <c r="F74" s="259"/>
      <c r="G74" s="259"/>
      <c r="H74" s="378">
        <f>H72-H73</f>
        <v>584.16999999999996</v>
      </c>
      <c r="I74" s="378">
        <f>I72-I73</f>
        <v>414.726</v>
      </c>
      <c r="J74" s="378">
        <f>J72-J73</f>
        <v>361.82600000000002</v>
      </c>
      <c r="K74" s="378">
        <f>H74+I74-J74</f>
        <v>637.06999999999994</v>
      </c>
      <c r="L74" s="212">
        <f>L72-L73</f>
        <v>596.79999999999995</v>
      </c>
      <c r="M74" s="212">
        <f>M72-M73</f>
        <v>648.20000000000005</v>
      </c>
      <c r="N74" s="258"/>
      <c r="O74" s="258"/>
      <c r="P74" s="258"/>
      <c r="Q74" s="259"/>
      <c r="R74" s="259"/>
      <c r="S74" s="259"/>
      <c r="T74" s="259"/>
      <c r="U74" s="259"/>
      <c r="V74" s="259"/>
      <c r="W74" s="259"/>
      <c r="X74" s="259"/>
      <c r="Y74" s="259"/>
      <c r="Z74" s="259"/>
    </row>
    <row r="75" spans="1:26" ht="15.75" customHeight="1">
      <c r="A75" s="230"/>
      <c r="B75" s="230"/>
      <c r="C75" s="230"/>
      <c r="D75" s="230"/>
      <c r="E75" s="230"/>
      <c r="F75" s="230"/>
      <c r="G75" s="230"/>
      <c r="H75" s="258"/>
      <c r="I75" s="258"/>
      <c r="J75" s="258"/>
      <c r="K75" s="258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</row>
    <row r="76" spans="1:26" ht="15.75" customHeight="1">
      <c r="A76" s="230" t="s">
        <v>595</v>
      </c>
      <c r="B76" s="230"/>
      <c r="C76" s="230"/>
      <c r="D76" s="230"/>
      <c r="E76" s="230"/>
      <c r="F76" s="230"/>
      <c r="G76" s="230"/>
      <c r="H76" s="360"/>
      <c r="I76" s="360"/>
      <c r="J76" s="360"/>
      <c r="K76" s="258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0"/>
    </row>
    <row r="77" spans="1:26" ht="15.75" customHeight="1">
      <c r="A77" s="230" t="s">
        <v>594</v>
      </c>
      <c r="B77" s="230"/>
      <c r="C77" s="230"/>
      <c r="D77" s="230"/>
      <c r="E77" s="230"/>
      <c r="F77" s="230"/>
      <c r="G77" s="230"/>
      <c r="H77" s="361">
        <v>16.690000000000001</v>
      </c>
      <c r="I77" s="361">
        <v>11.8</v>
      </c>
      <c r="J77" s="375">
        <v>10.19</v>
      </c>
      <c r="K77" s="376">
        <f>H77+I77-J77</f>
        <v>18.300000000000004</v>
      </c>
      <c r="L77" s="230">
        <v>17.440000000000001</v>
      </c>
      <c r="M77" s="230">
        <v>19.309999999999999</v>
      </c>
      <c r="N77" s="230"/>
      <c r="O77" s="230"/>
      <c r="P77" s="230"/>
      <c r="Q77" s="230"/>
      <c r="R77" s="230"/>
      <c r="S77" s="230"/>
      <c r="T77" s="230"/>
      <c r="U77" s="230"/>
      <c r="V77" s="230"/>
      <c r="W77" s="230"/>
      <c r="X77" s="230"/>
      <c r="Y77" s="230"/>
      <c r="Z77" s="230"/>
    </row>
    <row r="78" spans="1:26" ht="15.75" customHeight="1">
      <c r="A78" s="230"/>
      <c r="B78" s="230"/>
      <c r="C78" s="230"/>
      <c r="D78" s="230"/>
      <c r="E78" s="230"/>
      <c r="F78" s="230"/>
      <c r="G78" s="230"/>
      <c r="H78" s="258"/>
      <c r="I78" s="258"/>
      <c r="J78" s="258"/>
      <c r="K78" s="258"/>
      <c r="L78" s="230"/>
      <c r="M78" s="230"/>
      <c r="N78" s="230"/>
      <c r="O78" s="230"/>
      <c r="P78" s="230"/>
      <c r="Q78" s="230"/>
      <c r="R78" s="230"/>
      <c r="S78" s="230"/>
      <c r="T78" s="230"/>
      <c r="U78" s="230"/>
      <c r="V78" s="230"/>
      <c r="W78" s="230"/>
      <c r="X78" s="230"/>
      <c r="Y78" s="230"/>
      <c r="Z78" s="230"/>
    </row>
    <row r="79" spans="1:26" ht="15.75" customHeight="1">
      <c r="A79" s="230"/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0"/>
      <c r="S79" s="230"/>
      <c r="T79" s="230"/>
      <c r="U79" s="230"/>
      <c r="V79" s="230"/>
      <c r="W79" s="230"/>
      <c r="X79" s="230"/>
      <c r="Y79" s="230"/>
      <c r="Z79" s="230"/>
    </row>
    <row r="80" spans="1:26" ht="15.75" customHeight="1">
      <c r="A80" s="230"/>
      <c r="B80" s="23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0"/>
      <c r="S80" s="230"/>
      <c r="T80" s="230"/>
      <c r="U80" s="230"/>
      <c r="V80" s="230"/>
      <c r="W80" s="230"/>
      <c r="X80" s="230"/>
      <c r="Y80" s="230"/>
      <c r="Z80" s="230"/>
    </row>
    <row r="81" spans="1:26" ht="15.75" customHeight="1">
      <c r="A81" s="230"/>
      <c r="B81" s="256" t="s">
        <v>593</v>
      </c>
      <c r="C81" s="230"/>
      <c r="D81" s="230"/>
      <c r="E81" s="230"/>
      <c r="F81" s="230"/>
      <c r="G81" s="230"/>
      <c r="H81" s="230"/>
      <c r="I81" s="230"/>
      <c r="J81" s="230"/>
      <c r="K81" s="230"/>
      <c r="L81" s="257"/>
      <c r="M81" s="230"/>
      <c r="N81" s="230"/>
      <c r="O81" s="230"/>
      <c r="P81" s="230"/>
      <c r="Q81" s="230"/>
      <c r="R81" s="230"/>
      <c r="S81" s="230"/>
      <c r="T81" s="230"/>
      <c r="U81" s="230"/>
      <c r="V81" s="230"/>
      <c r="W81" s="230"/>
      <c r="X81" s="230"/>
      <c r="Y81" s="230"/>
      <c r="Z81" s="230"/>
    </row>
    <row r="82" spans="1:26" ht="15.75" customHeight="1">
      <c r="A82" s="230"/>
      <c r="B82" s="256" t="s">
        <v>592</v>
      </c>
      <c r="C82" s="230"/>
      <c r="D82" s="230"/>
      <c r="E82" s="230"/>
      <c r="F82" s="230"/>
      <c r="G82" s="230"/>
      <c r="H82" s="230"/>
      <c r="I82" s="230"/>
      <c r="J82" s="230"/>
      <c r="K82" s="230"/>
      <c r="L82" s="230"/>
      <c r="M82" s="230"/>
      <c r="N82" s="230"/>
      <c r="O82" s="230"/>
      <c r="P82" s="230"/>
      <c r="Q82" s="230"/>
      <c r="R82" s="230"/>
      <c r="S82" s="230"/>
      <c r="T82" s="230"/>
      <c r="U82" s="230"/>
      <c r="V82" s="230"/>
      <c r="W82" s="230"/>
      <c r="X82" s="230"/>
      <c r="Y82" s="230"/>
      <c r="Z82" s="230"/>
    </row>
    <row r="83" spans="1:26" ht="15.75" customHeight="1">
      <c r="A83" s="230"/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0"/>
      <c r="P83" s="230"/>
      <c r="Q83" s="230"/>
      <c r="R83" s="230"/>
      <c r="S83" s="230"/>
      <c r="T83" s="230"/>
      <c r="U83" s="230"/>
      <c r="V83" s="230"/>
      <c r="W83" s="230"/>
      <c r="X83" s="230"/>
      <c r="Y83" s="230"/>
      <c r="Z83" s="230"/>
    </row>
    <row r="84" spans="1:26" ht="15.75" customHeight="1">
      <c r="A84" s="230"/>
      <c r="B84" s="230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V84" s="230"/>
      <c r="W84" s="230"/>
      <c r="X84" s="230"/>
      <c r="Y84" s="230"/>
      <c r="Z84" s="230"/>
    </row>
    <row r="85" spans="1:26" ht="15.75" customHeight="1">
      <c r="A85" s="230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0"/>
      <c r="S85" s="230"/>
      <c r="T85" s="230"/>
      <c r="U85" s="230"/>
      <c r="V85" s="230"/>
      <c r="W85" s="230"/>
      <c r="X85" s="230"/>
      <c r="Y85" s="230"/>
      <c r="Z85" s="230"/>
    </row>
    <row r="86" spans="1:26" ht="15.75" customHeight="1">
      <c r="A86" s="230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0"/>
      <c r="S86" s="230"/>
      <c r="T86" s="230"/>
      <c r="U86" s="230"/>
      <c r="V86" s="230"/>
      <c r="W86" s="230"/>
      <c r="X86" s="230"/>
      <c r="Y86" s="230"/>
      <c r="Z86" s="230"/>
    </row>
    <row r="87" spans="1:26" ht="15.75" customHeight="1">
      <c r="A87" s="230"/>
      <c r="B87" s="230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230"/>
      <c r="P87" s="230"/>
      <c r="Q87" s="230"/>
      <c r="R87" s="230"/>
      <c r="S87" s="230"/>
      <c r="T87" s="230"/>
      <c r="U87" s="230"/>
      <c r="V87" s="230"/>
      <c r="W87" s="230"/>
      <c r="X87" s="230"/>
      <c r="Y87" s="230"/>
      <c r="Z87" s="230"/>
    </row>
    <row r="88" spans="1:26" ht="15.75" customHeight="1">
      <c r="A88" s="230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0"/>
      <c r="S88" s="230"/>
      <c r="T88" s="230"/>
      <c r="U88" s="230"/>
      <c r="V88" s="230"/>
      <c r="W88" s="230"/>
      <c r="X88" s="230"/>
      <c r="Y88" s="230"/>
      <c r="Z88" s="230"/>
    </row>
    <row r="89" spans="1:26" ht="15.75" customHeight="1">
      <c r="A89" s="230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</row>
    <row r="90" spans="1:26" ht="15.75" customHeight="1">
      <c r="A90" s="230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</row>
    <row r="91" spans="1:26" ht="15.75" customHeight="1">
      <c r="A91" s="230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30"/>
      <c r="W91" s="230"/>
      <c r="X91" s="230"/>
      <c r="Y91" s="230"/>
      <c r="Z91" s="230"/>
    </row>
    <row r="92" spans="1:26" ht="15.75" customHeight="1">
      <c r="A92" s="230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</row>
    <row r="93" spans="1:26" ht="15.75" customHeight="1">
      <c r="A93" s="230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</row>
    <row r="94" spans="1:26" ht="15.75" customHeight="1">
      <c r="A94" s="230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</row>
    <row r="95" spans="1:26" ht="15.75" customHeight="1">
      <c r="A95" s="230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</row>
    <row r="96" spans="1:26" ht="15.75" customHeight="1">
      <c r="A96" s="230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</row>
    <row r="97" spans="1:26" ht="15.75" customHeight="1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</row>
    <row r="98" spans="1:26" ht="15.75" customHeight="1">
      <c r="A98" s="230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</row>
    <row r="99" spans="1:26" ht="15.75" customHeight="1">
      <c r="A99" s="230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0"/>
      <c r="Y99" s="230"/>
      <c r="Z99" s="230"/>
    </row>
    <row r="100" spans="1:26" ht="15.75" customHeight="1">
      <c r="A100" s="230"/>
      <c r="B100" s="230"/>
      <c r="C100" s="230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</row>
    <row r="101" spans="1:26" ht="15.75" customHeight="1">
      <c r="A101" s="230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0"/>
      <c r="S101" s="230"/>
      <c r="T101" s="230"/>
      <c r="U101" s="230"/>
      <c r="V101" s="230"/>
      <c r="W101" s="230"/>
      <c r="X101" s="230"/>
      <c r="Y101" s="230"/>
      <c r="Z101" s="230"/>
    </row>
    <row r="102" spans="1:26" ht="15.75" customHeight="1">
      <c r="A102" s="230"/>
      <c r="B102" s="230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</row>
    <row r="103" spans="1:26" ht="15.75" customHeight="1">
      <c r="A103" s="230"/>
      <c r="B103" s="230"/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</row>
    <row r="104" spans="1:26" ht="15.75" customHeight="1">
      <c r="A104" s="230"/>
      <c r="B104" s="230"/>
      <c r="C104" s="230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</row>
    <row r="105" spans="1:26" ht="15.75" customHeight="1">
      <c r="A105" s="230"/>
      <c r="B105" s="230"/>
      <c r="C105" s="230"/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230"/>
      <c r="O105" s="230"/>
      <c r="P105" s="230"/>
      <c r="Q105" s="230"/>
      <c r="R105" s="230"/>
      <c r="S105" s="230"/>
      <c r="T105" s="230"/>
      <c r="U105" s="230"/>
      <c r="V105" s="230"/>
      <c r="W105" s="230"/>
      <c r="X105" s="230"/>
      <c r="Y105" s="230"/>
      <c r="Z105" s="230"/>
    </row>
    <row r="106" spans="1:26" ht="15.75" customHeight="1">
      <c r="A106" s="230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</row>
    <row r="107" spans="1:26" ht="15.75" customHeight="1">
      <c r="A107" s="230"/>
      <c r="B107" s="230"/>
      <c r="C107" s="230"/>
      <c r="D107" s="230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30"/>
      <c r="S107" s="230"/>
      <c r="T107" s="230"/>
      <c r="U107" s="230"/>
      <c r="V107" s="230"/>
      <c r="W107" s="230"/>
      <c r="X107" s="230"/>
      <c r="Y107" s="230"/>
      <c r="Z107" s="230"/>
    </row>
    <row r="108" spans="1:26" ht="15.75" customHeight="1">
      <c r="A108" s="230"/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0"/>
      <c r="X108" s="230"/>
      <c r="Y108" s="230"/>
      <c r="Z108" s="230"/>
    </row>
    <row r="109" spans="1:26" ht="15.75" customHeight="1">
      <c r="A109" s="230"/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0"/>
      <c r="S109" s="230"/>
      <c r="T109" s="230"/>
      <c r="U109" s="230"/>
      <c r="V109" s="230"/>
      <c r="W109" s="230"/>
      <c r="X109" s="230"/>
      <c r="Y109" s="230"/>
      <c r="Z109" s="230"/>
    </row>
    <row r="110" spans="1:26" ht="15.75" customHeight="1">
      <c r="A110" s="230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</row>
    <row r="111" spans="1:26" ht="15.75" customHeight="1">
      <c r="A111" s="230"/>
      <c r="B111" s="230"/>
      <c r="C111" s="230"/>
      <c r="D111" s="230"/>
      <c r="E111" s="230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</row>
    <row r="112" spans="1:26" ht="15.75" customHeight="1">
      <c r="A112" s="230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0"/>
      <c r="X112" s="230"/>
      <c r="Y112" s="230"/>
      <c r="Z112" s="230"/>
    </row>
    <row r="113" spans="1:26" ht="15.75" customHeight="1">
      <c r="A113" s="230"/>
      <c r="B113" s="230"/>
      <c r="C113" s="230"/>
      <c r="D113" s="230"/>
      <c r="E113" s="230"/>
      <c r="F113" s="230"/>
      <c r="G113" s="230" t="s">
        <v>589</v>
      </c>
      <c r="H113" s="230"/>
      <c r="I113" s="230"/>
      <c r="J113" s="230" t="s">
        <v>588</v>
      </c>
      <c r="K113" s="230"/>
      <c r="L113" s="230"/>
      <c r="M113" s="230"/>
      <c r="N113" s="230"/>
      <c r="O113" s="230"/>
      <c r="P113" s="230"/>
      <c r="Q113" s="230"/>
      <c r="R113" s="230"/>
      <c r="S113" s="230"/>
      <c r="T113" s="230"/>
      <c r="U113" s="230"/>
      <c r="V113" s="230"/>
      <c r="W113" s="230"/>
      <c r="X113" s="230"/>
      <c r="Y113" s="230"/>
      <c r="Z113" s="230"/>
    </row>
    <row r="114" spans="1:26" ht="15.75" customHeight="1">
      <c r="A114" s="230"/>
      <c r="B114" s="230"/>
      <c r="C114" s="230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</row>
    <row r="115" spans="1:26" ht="15.75" customHeight="1">
      <c r="A115" s="230"/>
      <c r="B115" s="230"/>
      <c r="C115" s="230"/>
      <c r="D115" s="230"/>
      <c r="E115" s="230"/>
      <c r="F115" s="230"/>
      <c r="G115" s="230" t="s">
        <v>587</v>
      </c>
      <c r="H115" s="230">
        <v>180</v>
      </c>
      <c r="I115" s="230"/>
      <c r="J115" s="230" t="s">
        <v>586</v>
      </c>
      <c r="K115" s="230">
        <v>200</v>
      </c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</row>
    <row r="116" spans="1:26" ht="15.75" customHeight="1">
      <c r="A116" s="230"/>
      <c r="B116" s="230"/>
      <c r="C116" s="230"/>
      <c r="D116" s="230"/>
      <c r="E116" s="230"/>
      <c r="F116" s="230"/>
      <c r="G116" s="230" t="s">
        <v>585</v>
      </c>
      <c r="H116" s="230">
        <v>0</v>
      </c>
      <c r="I116" s="230"/>
      <c r="J116" s="230" t="s">
        <v>584</v>
      </c>
      <c r="K116" s="230">
        <v>0</v>
      </c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</row>
    <row r="117" spans="1:26" ht="15.75" customHeight="1">
      <c r="A117" s="230"/>
      <c r="B117" s="230"/>
      <c r="C117" s="230"/>
      <c r="D117" s="230"/>
      <c r="E117" s="230"/>
      <c r="F117" s="230"/>
      <c r="G117" s="230" t="s">
        <v>583</v>
      </c>
      <c r="H117" s="230">
        <v>180</v>
      </c>
      <c r="I117" s="230"/>
      <c r="J117" s="230" t="s">
        <v>582</v>
      </c>
      <c r="K117" s="230">
        <v>200</v>
      </c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</row>
    <row r="118" spans="1:26" ht="15.75" customHeight="1">
      <c r="A118" s="230"/>
      <c r="B118" s="230"/>
      <c r="C118" s="230"/>
      <c r="D118" s="230"/>
      <c r="E118" s="230"/>
      <c r="F118" s="230"/>
      <c r="G118" s="230" t="s">
        <v>581</v>
      </c>
      <c r="H118" s="230">
        <v>80</v>
      </c>
      <c r="I118" s="230"/>
      <c r="J118" s="230" t="s">
        <v>581</v>
      </c>
      <c r="K118" s="230">
        <v>86</v>
      </c>
      <c r="L118" s="230"/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</row>
    <row r="119" spans="1:26" ht="15.75" customHeight="1">
      <c r="A119" s="230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</row>
    <row r="120" spans="1:26" ht="15.75" customHeight="1">
      <c r="A120" s="230"/>
      <c r="B120" s="230"/>
      <c r="C120" s="230"/>
      <c r="D120" s="230"/>
      <c r="E120" s="230"/>
      <c r="F120" s="230"/>
      <c r="G120" s="230" t="s">
        <v>580</v>
      </c>
      <c r="H120" s="230">
        <v>100</v>
      </c>
      <c r="I120" s="230"/>
      <c r="J120" s="230" t="s">
        <v>579</v>
      </c>
      <c r="K120" s="230">
        <v>114</v>
      </c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</row>
    <row r="121" spans="1:26" ht="15.75" customHeight="1">
      <c r="A121" s="230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</row>
    <row r="122" spans="1:26" ht="15.75" customHeight="1">
      <c r="A122" s="230"/>
      <c r="B122" s="230"/>
      <c r="C122" s="230"/>
      <c r="D122" s="230"/>
      <c r="E122" s="230"/>
      <c r="F122" s="230"/>
      <c r="G122" s="230"/>
      <c r="H122" s="230"/>
      <c r="I122" s="230"/>
      <c r="J122" s="230" t="s">
        <v>578</v>
      </c>
      <c r="K122" s="230">
        <v>14</v>
      </c>
      <c r="L122" s="230" t="s">
        <v>577</v>
      </c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</row>
    <row r="123" spans="1:26" ht="15.75" customHeight="1">
      <c r="A123" s="230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0"/>
      <c r="S123" s="230"/>
      <c r="T123" s="230"/>
      <c r="U123" s="230"/>
      <c r="V123" s="230"/>
      <c r="W123" s="230"/>
      <c r="X123" s="230"/>
      <c r="Y123" s="230"/>
      <c r="Z123" s="230"/>
    </row>
    <row r="124" spans="1:26" ht="15.75" customHeight="1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</row>
    <row r="125" spans="1:26" ht="15.75" customHeight="1">
      <c r="A125" s="230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</row>
    <row r="126" spans="1:26" ht="15.75" customHeight="1">
      <c r="A126" s="230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0"/>
      <c r="S126" s="230"/>
      <c r="T126" s="230"/>
      <c r="U126" s="230"/>
      <c r="V126" s="230"/>
      <c r="W126" s="230"/>
      <c r="X126" s="230"/>
      <c r="Y126" s="230"/>
      <c r="Z126" s="230"/>
    </row>
    <row r="127" spans="1:26" ht="15.75" customHeight="1">
      <c r="A127" s="230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0"/>
      <c r="W127" s="230"/>
      <c r="X127" s="230"/>
      <c r="Y127" s="230"/>
      <c r="Z127" s="230"/>
    </row>
    <row r="128" spans="1:26" ht="15.75" customHeight="1">
      <c r="A128" s="230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0"/>
      <c r="S128" s="230"/>
      <c r="T128" s="230"/>
      <c r="U128" s="230"/>
      <c r="V128" s="230"/>
      <c r="W128" s="230"/>
      <c r="X128" s="230"/>
      <c r="Y128" s="230"/>
      <c r="Z128" s="230"/>
    </row>
    <row r="129" spans="1:26" ht="15.75" customHeight="1">
      <c r="A129" s="230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0"/>
      <c r="V129" s="230"/>
      <c r="W129" s="230"/>
      <c r="X129" s="230"/>
      <c r="Y129" s="230"/>
      <c r="Z129" s="230"/>
    </row>
    <row r="130" spans="1:26" ht="15.75" customHeight="1">
      <c r="A130" s="230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0"/>
      <c r="S130" s="230"/>
      <c r="T130" s="230"/>
      <c r="U130" s="230"/>
      <c r="V130" s="230"/>
      <c r="W130" s="230"/>
      <c r="X130" s="230"/>
      <c r="Y130" s="230"/>
      <c r="Z130" s="230"/>
    </row>
    <row r="131" spans="1:26" ht="15.75" customHeight="1">
      <c r="A131" s="230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V131" s="230"/>
      <c r="W131" s="230"/>
      <c r="X131" s="230"/>
      <c r="Y131" s="230"/>
      <c r="Z131" s="230"/>
    </row>
    <row r="132" spans="1:26" ht="15.75" customHeight="1">
      <c r="A132" s="230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</row>
    <row r="133" spans="1:26" ht="15.75" customHeight="1">
      <c r="A133" s="230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</row>
    <row r="134" spans="1:26" ht="15.75" customHeight="1">
      <c r="A134" s="230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</row>
    <row r="135" spans="1:26" ht="15.75" customHeight="1">
      <c r="A135" s="230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</row>
    <row r="136" spans="1:26" ht="15.75" customHeight="1">
      <c r="A136" s="230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</row>
    <row r="137" spans="1:26" ht="15.75" customHeight="1">
      <c r="A137" s="230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</row>
    <row r="138" spans="1:26" ht="15.75" customHeight="1">
      <c r="A138" s="230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</row>
    <row r="139" spans="1:26" ht="15.75" customHeight="1">
      <c r="A139" s="230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</row>
    <row r="140" spans="1:26" ht="15.75" customHeight="1">
      <c r="A140" s="230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</row>
    <row r="141" spans="1:26" ht="15.75" customHeight="1">
      <c r="A141" s="230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30"/>
      <c r="W141" s="230"/>
      <c r="X141" s="230"/>
      <c r="Y141" s="230"/>
      <c r="Z141" s="230"/>
    </row>
    <row r="142" spans="1:26" ht="15.75" customHeight="1">
      <c r="A142" s="230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</row>
    <row r="143" spans="1:26" ht="15.75" customHeight="1">
      <c r="A143" s="230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30"/>
      <c r="W143" s="230"/>
      <c r="X143" s="230"/>
      <c r="Y143" s="230"/>
      <c r="Z143" s="230"/>
    </row>
    <row r="144" spans="1:26" ht="15.7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</row>
    <row r="145" spans="1:26" ht="15.75" customHeight="1">
      <c r="A145" s="230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0"/>
      <c r="W145" s="230"/>
      <c r="X145" s="230"/>
      <c r="Y145" s="230"/>
      <c r="Z145" s="230"/>
    </row>
    <row r="146" spans="1:26" ht="15.75" customHeight="1">
      <c r="A146" s="230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V146" s="230"/>
      <c r="W146" s="230"/>
      <c r="X146" s="230"/>
      <c r="Y146" s="230"/>
      <c r="Z146" s="230"/>
    </row>
    <row r="147" spans="1:26" ht="15.75" customHeight="1">
      <c r="A147" s="230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0"/>
      <c r="S147" s="230"/>
      <c r="T147" s="230"/>
      <c r="U147" s="230"/>
      <c r="V147" s="230"/>
      <c r="W147" s="230"/>
      <c r="X147" s="230"/>
      <c r="Y147" s="230"/>
      <c r="Z147" s="230"/>
    </row>
    <row r="148" spans="1:26" ht="15.75" customHeight="1">
      <c r="A148" s="230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0"/>
      <c r="X148" s="230"/>
      <c r="Y148" s="230"/>
      <c r="Z148" s="230"/>
    </row>
    <row r="149" spans="1:26" ht="15.75" customHeight="1">
      <c r="A149" s="230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</row>
    <row r="150" spans="1:26" ht="15.75" customHeight="1">
      <c r="A150" s="230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30"/>
      <c r="U150" s="230"/>
      <c r="V150" s="230"/>
      <c r="W150" s="230"/>
      <c r="X150" s="230"/>
      <c r="Y150" s="230"/>
      <c r="Z150" s="230"/>
    </row>
    <row r="151" spans="1:26" ht="15.75" customHeight="1">
      <c r="A151" s="230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</row>
    <row r="152" spans="1:26" ht="15.75" customHeight="1">
      <c r="A152" s="230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0"/>
      <c r="V152" s="230"/>
      <c r="W152" s="230"/>
      <c r="X152" s="230"/>
      <c r="Y152" s="230"/>
      <c r="Z152" s="230"/>
    </row>
    <row r="153" spans="1:26" ht="15.75" customHeight="1">
      <c r="A153" s="230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0"/>
      <c r="S153" s="230"/>
      <c r="T153" s="230"/>
      <c r="U153" s="230"/>
      <c r="V153" s="230"/>
      <c r="W153" s="230"/>
      <c r="X153" s="230"/>
      <c r="Y153" s="230"/>
      <c r="Z153" s="230"/>
    </row>
    <row r="154" spans="1:26" ht="15.75" customHeight="1">
      <c r="A154" s="230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0"/>
      <c r="Q154" s="230"/>
      <c r="R154" s="230"/>
      <c r="S154" s="230"/>
      <c r="T154" s="230"/>
      <c r="U154" s="230"/>
      <c r="V154" s="230"/>
      <c r="W154" s="230"/>
      <c r="X154" s="230"/>
      <c r="Y154" s="230"/>
      <c r="Z154" s="230"/>
    </row>
    <row r="155" spans="1:26" ht="15.75" customHeight="1">
      <c r="A155" s="230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V155" s="230"/>
      <c r="W155" s="230"/>
      <c r="X155" s="230"/>
      <c r="Y155" s="230"/>
      <c r="Z155" s="230"/>
    </row>
    <row r="156" spans="1:26" ht="15.75" customHeight="1">
      <c r="A156" s="230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30"/>
      <c r="W156" s="230"/>
      <c r="X156" s="230"/>
      <c r="Y156" s="230"/>
      <c r="Z156" s="230"/>
    </row>
    <row r="157" spans="1:26" ht="15.75" customHeight="1">
      <c r="A157" s="230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V157" s="230"/>
      <c r="W157" s="230"/>
      <c r="X157" s="230"/>
      <c r="Y157" s="230"/>
      <c r="Z157" s="230"/>
    </row>
    <row r="158" spans="1:26" ht="15.75" customHeight="1">
      <c r="A158" s="230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V158" s="230"/>
      <c r="W158" s="230"/>
      <c r="X158" s="230"/>
      <c r="Y158" s="230"/>
      <c r="Z158" s="230"/>
    </row>
    <row r="159" spans="1:26" ht="15.75" customHeight="1">
      <c r="A159" s="230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/>
      <c r="Z159" s="230"/>
    </row>
    <row r="160" spans="1:26" ht="15.75" customHeight="1">
      <c r="A160" s="230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0"/>
      <c r="S160" s="230"/>
      <c r="T160" s="230"/>
      <c r="U160" s="230"/>
      <c r="V160" s="230"/>
      <c r="W160" s="230"/>
      <c r="X160" s="230"/>
      <c r="Y160" s="230"/>
      <c r="Z160" s="230"/>
    </row>
    <row r="161" spans="1:26" ht="15.75" customHeight="1">
      <c r="A161" s="230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0"/>
      <c r="S161" s="230"/>
      <c r="T161" s="230"/>
      <c r="U161" s="230"/>
      <c r="V161" s="230"/>
      <c r="W161" s="230"/>
      <c r="X161" s="230"/>
      <c r="Y161" s="230"/>
      <c r="Z161" s="230"/>
    </row>
    <row r="162" spans="1:26" ht="15.75" customHeight="1">
      <c r="A162" s="230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0"/>
      <c r="S162" s="230"/>
      <c r="T162" s="230"/>
      <c r="U162" s="230"/>
      <c r="V162" s="230"/>
      <c r="W162" s="230"/>
      <c r="X162" s="230"/>
      <c r="Y162" s="230"/>
      <c r="Z162" s="230"/>
    </row>
    <row r="163" spans="1:26" ht="15.75" customHeight="1">
      <c r="A163" s="230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</row>
    <row r="164" spans="1:26" ht="15.75" customHeight="1">
      <c r="A164" s="230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</row>
    <row r="165" spans="1:26" ht="15.75" customHeight="1">
      <c r="A165" s="230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</row>
    <row r="166" spans="1:26" ht="15.75" customHeight="1">
      <c r="A166" s="230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</row>
    <row r="167" spans="1:26" ht="15.75" customHeight="1">
      <c r="A167" s="230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</row>
    <row r="168" spans="1:26" ht="15.75" customHeight="1">
      <c r="A168" s="230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</row>
    <row r="169" spans="1:26" ht="15.75" customHeight="1">
      <c r="A169" s="230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V169" s="230"/>
      <c r="W169" s="230"/>
      <c r="X169" s="230"/>
      <c r="Y169" s="230"/>
      <c r="Z169" s="230"/>
    </row>
    <row r="170" spans="1:26" ht="15.75" customHeight="1">
      <c r="A170" s="230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V170" s="230"/>
      <c r="W170" s="230"/>
      <c r="X170" s="230"/>
      <c r="Y170" s="230"/>
      <c r="Z170" s="230"/>
    </row>
    <row r="171" spans="1:26" ht="15.75" customHeight="1">
      <c r="A171" s="230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</row>
    <row r="172" spans="1:26" ht="15.75" customHeight="1">
      <c r="A172" s="230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30"/>
      <c r="S172" s="230"/>
      <c r="T172" s="230"/>
      <c r="U172" s="230"/>
      <c r="V172" s="230"/>
      <c r="W172" s="230"/>
      <c r="X172" s="230"/>
      <c r="Y172" s="230"/>
      <c r="Z172" s="230"/>
    </row>
    <row r="173" spans="1:26" ht="15.75" customHeight="1">
      <c r="A173" s="230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</row>
    <row r="174" spans="1:26" ht="15.75" customHeight="1">
      <c r="A174" s="230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0"/>
      <c r="S174" s="230"/>
      <c r="T174" s="230"/>
      <c r="U174" s="230"/>
      <c r="V174" s="230"/>
      <c r="W174" s="230"/>
      <c r="X174" s="230"/>
      <c r="Y174" s="230"/>
      <c r="Z174" s="230"/>
    </row>
    <row r="175" spans="1:26" ht="15.75" customHeight="1">
      <c r="A175" s="230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0"/>
      <c r="V175" s="230"/>
      <c r="W175" s="230"/>
      <c r="X175" s="230"/>
      <c r="Y175" s="230"/>
      <c r="Z175" s="230"/>
    </row>
    <row r="176" spans="1:26" ht="15.75" customHeight="1">
      <c r="A176" s="230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0"/>
      <c r="Y176" s="230"/>
      <c r="Z176" s="230"/>
    </row>
    <row r="177" spans="1:26" ht="15.75" customHeight="1">
      <c r="A177" s="230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</row>
    <row r="178" spans="1:26" ht="15.75" customHeight="1">
      <c r="A178" s="230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</row>
    <row r="179" spans="1:26" ht="15.75" customHeight="1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V179" s="230"/>
      <c r="W179" s="230"/>
      <c r="X179" s="230"/>
      <c r="Y179" s="230"/>
      <c r="Z179" s="230"/>
    </row>
    <row r="180" spans="1:26" ht="15.75" customHeight="1">
      <c r="A180" s="230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V180" s="230"/>
      <c r="W180" s="230"/>
      <c r="X180" s="230"/>
      <c r="Y180" s="230"/>
      <c r="Z180" s="230"/>
    </row>
    <row r="181" spans="1:26" ht="15.75" customHeight="1">
      <c r="A181" s="230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V181" s="230"/>
      <c r="W181" s="230"/>
      <c r="X181" s="230"/>
      <c r="Y181" s="230"/>
      <c r="Z181" s="230"/>
    </row>
    <row r="182" spans="1:26" ht="15.75" customHeight="1">
      <c r="A182" s="230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</row>
    <row r="183" spans="1:26" ht="15.75" customHeight="1">
      <c r="A183" s="230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</row>
    <row r="184" spans="1:26" ht="15.75" customHeight="1">
      <c r="A184" s="230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</row>
    <row r="185" spans="1:26" ht="15.75" customHeight="1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</row>
    <row r="186" spans="1:26" ht="15.75" customHeight="1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</row>
    <row r="187" spans="1:26" ht="15.75" customHeight="1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</row>
    <row r="188" spans="1:26" ht="15.75" customHeight="1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</row>
    <row r="189" spans="1:26" ht="15.75" customHeight="1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</row>
    <row r="190" spans="1:26" ht="15.75" customHeight="1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</row>
    <row r="191" spans="1:26" ht="15.75" customHeight="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</row>
    <row r="192" spans="1:26" ht="15.75" customHeight="1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</row>
    <row r="193" spans="1:26" ht="15.75" customHeight="1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</row>
    <row r="194" spans="1:26" ht="15.75" customHeight="1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</row>
    <row r="195" spans="1:26" ht="15.75" customHeight="1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</row>
    <row r="196" spans="1:26" ht="15.75" customHeight="1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</row>
    <row r="197" spans="1:26" ht="15.75" customHeight="1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</row>
    <row r="198" spans="1:26" ht="15.75" customHeight="1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</row>
    <row r="199" spans="1:26" ht="15.75" customHeight="1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</row>
    <row r="200" spans="1:26" ht="15.75" customHeight="1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</row>
    <row r="201" spans="1:26" ht="15.75" customHeight="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</row>
    <row r="202" spans="1:26" ht="15.75" customHeight="1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</row>
    <row r="203" spans="1:26" ht="15.75" customHeight="1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</row>
    <row r="204" spans="1:26" ht="15.75" customHeight="1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</row>
    <row r="205" spans="1:26" ht="15.75" customHeight="1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</row>
    <row r="206" spans="1:26" ht="15.75" customHeight="1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</row>
    <row r="207" spans="1:26" ht="15.75" customHeight="1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</row>
    <row r="208" spans="1:26" ht="15.75" customHeight="1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</row>
    <row r="209" spans="1:26" ht="15.75" customHeight="1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</row>
    <row r="210" spans="1:26" ht="15.75" customHeight="1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</row>
    <row r="211" spans="1:26" ht="15.75" customHeight="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</row>
    <row r="212" spans="1:26" ht="15.75" customHeight="1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</row>
    <row r="213" spans="1:26" ht="15.75" customHeight="1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</row>
    <row r="214" spans="1:26" ht="15.75" customHeight="1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</row>
    <row r="215" spans="1:26" ht="15.75" customHeight="1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</row>
    <row r="216" spans="1:26" ht="15.75" customHeight="1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</row>
    <row r="217" spans="1:26" ht="15.75" customHeight="1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</row>
    <row r="218" spans="1:26" ht="15.75" customHeight="1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</row>
    <row r="219" spans="1:26" ht="15.75" customHeight="1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</row>
    <row r="220" spans="1:26" ht="15.75" customHeight="1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</row>
    <row r="221" spans="1:26" ht="15.75" customHeight="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</row>
    <row r="222" spans="1:26" ht="15.75" customHeight="1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</row>
    <row r="223" spans="1:26" ht="15.75" customHeight="1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</row>
    <row r="224" spans="1:26" ht="15.75" customHeight="1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</row>
    <row r="225" spans="1:26" ht="15.75" customHeight="1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</row>
    <row r="226" spans="1:26" ht="15.75" customHeight="1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</row>
    <row r="227" spans="1:26" ht="15.75" customHeight="1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</row>
    <row r="228" spans="1:26" ht="15.75" customHeight="1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</row>
    <row r="229" spans="1:26" ht="15.75" customHeight="1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</row>
    <row r="230" spans="1:26" ht="15.75" customHeight="1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</row>
    <row r="231" spans="1:26" ht="15.75" customHeight="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</row>
    <row r="232" spans="1:26" ht="15.75" customHeight="1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</row>
    <row r="233" spans="1:26" ht="15.75" customHeight="1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</row>
    <row r="234" spans="1:26" ht="15.75" customHeight="1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</row>
    <row r="235" spans="1:26" ht="15.75" customHeight="1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</row>
    <row r="236" spans="1:26" ht="15.75" customHeight="1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</row>
    <row r="237" spans="1:26" ht="15.75" customHeight="1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</row>
    <row r="238" spans="1:26" ht="15.75" customHeight="1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</row>
    <row r="239" spans="1:26" ht="15.75" customHeight="1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</row>
    <row r="240" spans="1:26" ht="15.75" customHeight="1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</row>
    <row r="241" spans="1:26" ht="15.75" customHeight="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</row>
    <row r="242" spans="1:26" ht="15.75" customHeight="1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</row>
    <row r="243" spans="1:26" ht="15.75" customHeight="1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</row>
    <row r="244" spans="1:26" ht="15.75" customHeight="1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</row>
    <row r="245" spans="1:26" ht="15.75" customHeight="1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</row>
    <row r="246" spans="1:26" ht="15.75" customHeight="1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</row>
    <row r="247" spans="1:26" ht="15.75" customHeight="1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</row>
    <row r="248" spans="1:26" ht="15.75" customHeight="1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</row>
    <row r="249" spans="1:26" ht="15.75" customHeight="1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</row>
    <row r="250" spans="1:26" ht="15.75" customHeight="1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</row>
    <row r="251" spans="1:26" ht="15.75" customHeight="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</row>
    <row r="252" spans="1:26" ht="15.75" customHeight="1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</row>
    <row r="253" spans="1:26" ht="15.75" customHeight="1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</row>
    <row r="254" spans="1:26" ht="15.75" customHeight="1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</row>
    <row r="255" spans="1:26" ht="15.75" customHeight="1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</row>
    <row r="256" spans="1:26" ht="15.75" customHeight="1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</row>
    <row r="257" spans="1:26" ht="15.75" customHeight="1">
      <c r="A257" s="230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0"/>
      <c r="S257" s="230"/>
      <c r="T257" s="230"/>
      <c r="U257" s="230"/>
      <c r="V257" s="230"/>
      <c r="W257" s="230"/>
      <c r="X257" s="230"/>
      <c r="Y257" s="230"/>
      <c r="Z257" s="230"/>
    </row>
    <row r="258" spans="1:26" ht="15.75" customHeight="1">
      <c r="A258" s="230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0"/>
      <c r="S258" s="230"/>
      <c r="T258" s="230"/>
      <c r="U258" s="230"/>
      <c r="V258" s="230"/>
      <c r="W258" s="230"/>
      <c r="X258" s="230"/>
      <c r="Y258" s="230"/>
      <c r="Z258" s="230"/>
    </row>
    <row r="259" spans="1:26" ht="15.75" customHeight="1">
      <c r="A259" s="230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0"/>
      <c r="P259" s="230"/>
      <c r="Q259" s="230"/>
      <c r="R259" s="230"/>
      <c r="S259" s="230"/>
      <c r="T259" s="230"/>
      <c r="U259" s="230"/>
      <c r="V259" s="230"/>
      <c r="W259" s="230"/>
      <c r="X259" s="230"/>
      <c r="Y259" s="230"/>
      <c r="Z259" s="230"/>
    </row>
    <row r="260" spans="1:26" ht="15.75" customHeight="1">
      <c r="A260" s="230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0"/>
      <c r="P260" s="230"/>
      <c r="Q260" s="230"/>
      <c r="R260" s="230"/>
      <c r="S260" s="230"/>
      <c r="T260" s="230"/>
      <c r="U260" s="230"/>
      <c r="V260" s="230"/>
      <c r="W260" s="230"/>
      <c r="X260" s="230"/>
      <c r="Y260" s="230"/>
      <c r="Z260" s="230"/>
    </row>
    <row r="261" spans="1:26" ht="15.75" customHeight="1">
      <c r="A261" s="230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0"/>
      <c r="P261" s="230"/>
      <c r="Q261" s="230"/>
      <c r="R261" s="230"/>
      <c r="S261" s="230"/>
      <c r="T261" s="230"/>
      <c r="U261" s="230"/>
      <c r="V261" s="230"/>
      <c r="W261" s="230"/>
      <c r="X261" s="230"/>
      <c r="Y261" s="230"/>
      <c r="Z261" s="230"/>
    </row>
    <row r="262" spans="1:26" ht="15.75" customHeight="1">
      <c r="A262" s="230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0"/>
      <c r="P262" s="230"/>
      <c r="Q262" s="230"/>
      <c r="R262" s="230"/>
      <c r="S262" s="230"/>
      <c r="T262" s="230"/>
      <c r="U262" s="230"/>
      <c r="V262" s="230"/>
      <c r="W262" s="230"/>
      <c r="X262" s="230"/>
      <c r="Y262" s="230"/>
      <c r="Z262" s="230"/>
    </row>
    <row r="263" spans="1:26" ht="15.75" customHeight="1">
      <c r="A263" s="230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0"/>
      <c r="P263" s="230"/>
      <c r="Q263" s="230"/>
      <c r="R263" s="230"/>
      <c r="S263" s="230"/>
      <c r="T263" s="230"/>
      <c r="U263" s="230"/>
      <c r="V263" s="230"/>
      <c r="W263" s="230"/>
      <c r="X263" s="230"/>
      <c r="Y263" s="230"/>
      <c r="Z263" s="230"/>
    </row>
    <row r="264" spans="1:26" ht="15.75" customHeight="1">
      <c r="A264" s="230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0"/>
      <c r="V264" s="230"/>
      <c r="W264" s="230"/>
      <c r="X264" s="230"/>
      <c r="Y264" s="230"/>
      <c r="Z264" s="230"/>
    </row>
    <row r="265" spans="1:26" ht="15.75" customHeight="1">
      <c r="A265" s="230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0"/>
      <c r="P265" s="230"/>
      <c r="Q265" s="230"/>
      <c r="R265" s="230"/>
      <c r="S265" s="230"/>
      <c r="T265" s="230"/>
      <c r="U265" s="230"/>
      <c r="V265" s="230"/>
      <c r="W265" s="230"/>
      <c r="X265" s="230"/>
      <c r="Y265" s="230"/>
      <c r="Z265" s="230"/>
    </row>
    <row r="266" spans="1:26" ht="15.75" customHeight="1">
      <c r="A266" s="230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0"/>
      <c r="P266" s="230"/>
      <c r="Q266" s="230"/>
      <c r="R266" s="230"/>
      <c r="S266" s="230"/>
      <c r="T266" s="230"/>
      <c r="U266" s="230"/>
      <c r="V266" s="230"/>
      <c r="W266" s="230"/>
      <c r="X266" s="230"/>
      <c r="Y266" s="230"/>
      <c r="Z266" s="230"/>
    </row>
    <row r="267" spans="1:26" ht="15.75" customHeight="1">
      <c r="A267" s="230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0"/>
      <c r="P267" s="230"/>
      <c r="Q267" s="230"/>
      <c r="R267" s="230"/>
      <c r="S267" s="230"/>
      <c r="T267" s="230"/>
      <c r="U267" s="230"/>
      <c r="V267" s="230"/>
      <c r="W267" s="230"/>
      <c r="X267" s="230"/>
      <c r="Y267" s="230"/>
      <c r="Z267" s="230"/>
    </row>
    <row r="268" spans="1:26" ht="15.75" customHeight="1">
      <c r="A268" s="230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0"/>
      <c r="P268" s="230"/>
      <c r="Q268" s="230"/>
      <c r="R268" s="230"/>
      <c r="S268" s="230"/>
      <c r="T268" s="230"/>
      <c r="U268" s="230"/>
      <c r="V268" s="230"/>
      <c r="W268" s="230"/>
      <c r="X268" s="230"/>
      <c r="Y268" s="230"/>
      <c r="Z268" s="230"/>
    </row>
    <row r="269" spans="1:26" ht="15.75" customHeight="1">
      <c r="A269" s="230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0"/>
      <c r="S269" s="230"/>
      <c r="T269" s="230"/>
      <c r="U269" s="230"/>
      <c r="V269" s="230"/>
      <c r="W269" s="230"/>
      <c r="X269" s="230"/>
      <c r="Y269" s="230"/>
      <c r="Z269" s="230"/>
    </row>
    <row r="270" spans="1:26" ht="15.75" customHeight="1">
      <c r="A270" s="230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0"/>
      <c r="S270" s="230"/>
      <c r="T270" s="230"/>
      <c r="U270" s="230"/>
      <c r="V270" s="230"/>
      <c r="W270" s="230"/>
      <c r="X270" s="230"/>
      <c r="Y270" s="230"/>
      <c r="Z270" s="230"/>
    </row>
    <row r="271" spans="1:26" ht="15.75" customHeight="1">
      <c r="A271" s="230"/>
      <c r="B271" s="230"/>
      <c r="C271" s="230"/>
      <c r="D271" s="230"/>
      <c r="E271" s="230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0"/>
      <c r="S271" s="230"/>
      <c r="T271" s="230"/>
      <c r="U271" s="230"/>
      <c r="V271" s="230"/>
      <c r="W271" s="230"/>
      <c r="X271" s="230"/>
      <c r="Y271" s="230"/>
      <c r="Z271" s="230"/>
    </row>
    <row r="272" spans="1:26" ht="15.75" customHeight="1">
      <c r="A272" s="230"/>
      <c r="B272" s="230"/>
      <c r="C272" s="230"/>
      <c r="D272" s="230"/>
      <c r="E272" s="230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0"/>
      <c r="S272" s="230"/>
      <c r="T272" s="230"/>
      <c r="U272" s="230"/>
      <c r="V272" s="230"/>
      <c r="W272" s="230"/>
      <c r="X272" s="230"/>
      <c r="Y272" s="230"/>
      <c r="Z272" s="230"/>
    </row>
    <row r="273" spans="1:26" ht="15.75" customHeight="1">
      <c r="A273" s="230"/>
      <c r="B273" s="230"/>
      <c r="C273" s="230"/>
      <c r="D273" s="230"/>
      <c r="E273" s="230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0"/>
      <c r="S273" s="230"/>
      <c r="T273" s="230"/>
      <c r="U273" s="230"/>
      <c r="V273" s="230"/>
      <c r="W273" s="230"/>
      <c r="X273" s="230"/>
      <c r="Y273" s="230"/>
      <c r="Z273" s="230"/>
    </row>
    <row r="274" spans="1:26" ht="15.75" customHeight="1">
      <c r="A274" s="230"/>
      <c r="B274" s="230"/>
      <c r="C274" s="230"/>
      <c r="D274" s="230"/>
      <c r="E274" s="230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0"/>
      <c r="S274" s="230"/>
      <c r="T274" s="230"/>
      <c r="U274" s="230"/>
      <c r="V274" s="230"/>
      <c r="W274" s="230"/>
      <c r="X274" s="230"/>
      <c r="Y274" s="230"/>
      <c r="Z274" s="230"/>
    </row>
    <row r="275" spans="1:26" ht="15.75" customHeight="1">
      <c r="A275" s="230"/>
      <c r="B275" s="230"/>
      <c r="C275" s="230"/>
      <c r="D275" s="230"/>
      <c r="E275" s="230"/>
      <c r="F275" s="230"/>
      <c r="G275" s="230"/>
      <c r="H275" s="230"/>
      <c r="I275" s="230"/>
      <c r="J275" s="230"/>
      <c r="K275" s="230"/>
      <c r="L275" s="230"/>
      <c r="M275" s="230"/>
      <c r="N275" s="230"/>
      <c r="O275" s="230"/>
      <c r="P275" s="230"/>
      <c r="Q275" s="230"/>
      <c r="R275" s="230"/>
      <c r="S275" s="230"/>
      <c r="T275" s="230"/>
      <c r="U275" s="230"/>
      <c r="V275" s="230"/>
      <c r="W275" s="230"/>
      <c r="X275" s="230"/>
      <c r="Y275" s="230"/>
      <c r="Z275" s="230"/>
    </row>
    <row r="276" spans="1:26" ht="15.75" customHeight="1">
      <c r="A276" s="230"/>
      <c r="B276" s="230"/>
      <c r="C276" s="230"/>
      <c r="D276" s="230"/>
      <c r="E276" s="230"/>
      <c r="F276" s="230"/>
      <c r="G276" s="230"/>
      <c r="H276" s="230"/>
      <c r="I276" s="230"/>
      <c r="J276" s="230"/>
      <c r="K276" s="230"/>
      <c r="L276" s="230"/>
      <c r="M276" s="230"/>
      <c r="N276" s="230"/>
      <c r="O276" s="230"/>
      <c r="P276" s="230"/>
      <c r="Q276" s="230"/>
      <c r="R276" s="230"/>
      <c r="S276" s="230"/>
      <c r="T276" s="230"/>
      <c r="U276" s="230"/>
      <c r="V276" s="230"/>
      <c r="W276" s="230"/>
      <c r="X276" s="230"/>
      <c r="Y276" s="230"/>
      <c r="Z276" s="230"/>
    </row>
    <row r="277" spans="1:26" ht="15.75" customHeight="1">
      <c r="A277" s="230"/>
      <c r="B277" s="230"/>
      <c r="C277" s="230"/>
      <c r="D277" s="230"/>
      <c r="E277" s="230"/>
      <c r="F277" s="230"/>
      <c r="G277" s="230"/>
      <c r="H277" s="230"/>
      <c r="I277" s="230"/>
      <c r="J277" s="230"/>
      <c r="K277" s="230"/>
      <c r="L277" s="230"/>
      <c r="M277" s="230"/>
      <c r="N277" s="230"/>
      <c r="O277" s="230"/>
      <c r="P277" s="230"/>
      <c r="Q277" s="230"/>
      <c r="R277" s="230"/>
      <c r="S277" s="230"/>
      <c r="T277" s="230"/>
      <c r="U277" s="230"/>
      <c r="V277" s="230"/>
      <c r="W277" s="230"/>
      <c r="X277" s="230"/>
      <c r="Y277" s="230"/>
      <c r="Z277" s="230"/>
    </row>
    <row r="278" spans="1:26" ht="15.75" customHeight="1">
      <c r="A278" s="230"/>
      <c r="B278" s="230"/>
      <c r="C278" s="230"/>
      <c r="D278" s="230"/>
      <c r="E278" s="230"/>
      <c r="F278" s="230"/>
      <c r="G278" s="230"/>
      <c r="H278" s="230"/>
      <c r="I278" s="230"/>
      <c r="J278" s="230"/>
      <c r="K278" s="230"/>
      <c r="L278" s="230"/>
      <c r="M278" s="230"/>
      <c r="N278" s="230"/>
      <c r="O278" s="230"/>
      <c r="P278" s="230"/>
      <c r="Q278" s="230"/>
      <c r="R278" s="230"/>
      <c r="S278" s="230"/>
      <c r="T278" s="230"/>
      <c r="U278" s="230"/>
      <c r="V278" s="230"/>
      <c r="W278" s="230"/>
      <c r="X278" s="230"/>
      <c r="Y278" s="230"/>
      <c r="Z278" s="230"/>
    </row>
    <row r="279" spans="1:26" ht="15.75" customHeight="1">
      <c r="A279" s="230"/>
      <c r="B279" s="230"/>
      <c r="C279" s="230"/>
      <c r="D279" s="230"/>
      <c r="E279" s="230"/>
      <c r="F279" s="230"/>
      <c r="G279" s="230"/>
      <c r="H279" s="230"/>
      <c r="I279" s="230"/>
      <c r="J279" s="230"/>
      <c r="K279" s="230"/>
      <c r="L279" s="230"/>
      <c r="M279" s="230"/>
      <c r="N279" s="230"/>
      <c r="O279" s="230"/>
      <c r="P279" s="230"/>
      <c r="Q279" s="230"/>
      <c r="R279" s="230"/>
      <c r="S279" s="230"/>
      <c r="T279" s="230"/>
      <c r="U279" s="230"/>
      <c r="V279" s="230"/>
      <c r="W279" s="230"/>
      <c r="X279" s="230"/>
      <c r="Y279" s="230"/>
      <c r="Z279" s="230"/>
    </row>
    <row r="280" spans="1:26" ht="15.75" customHeight="1">
      <c r="A280" s="230"/>
      <c r="B280" s="230"/>
      <c r="C280" s="230"/>
      <c r="D280" s="230"/>
      <c r="E280" s="230"/>
      <c r="F280" s="230"/>
      <c r="G280" s="230"/>
      <c r="H280" s="230"/>
      <c r="I280" s="230"/>
      <c r="J280" s="230"/>
      <c r="K280" s="230"/>
      <c r="L280" s="230"/>
      <c r="M280" s="230"/>
      <c r="N280" s="230"/>
      <c r="O280" s="230"/>
      <c r="P280" s="230"/>
      <c r="Q280" s="230"/>
      <c r="R280" s="230"/>
      <c r="S280" s="230"/>
      <c r="T280" s="230"/>
      <c r="U280" s="230"/>
      <c r="V280" s="230"/>
      <c r="W280" s="230"/>
      <c r="X280" s="230"/>
      <c r="Y280" s="230"/>
      <c r="Z280" s="230"/>
    </row>
    <row r="281" spans="1:26" ht="15.75" customHeight="1">
      <c r="A281" s="230"/>
      <c r="B281" s="230"/>
      <c r="C281" s="230"/>
      <c r="D281" s="230"/>
      <c r="E281" s="230"/>
      <c r="F281" s="230"/>
      <c r="G281" s="230"/>
      <c r="H281" s="230"/>
      <c r="I281" s="230"/>
      <c r="J281" s="230"/>
      <c r="K281" s="230"/>
      <c r="L281" s="230"/>
      <c r="M281" s="230"/>
      <c r="N281" s="230"/>
      <c r="O281" s="230"/>
      <c r="P281" s="230"/>
      <c r="Q281" s="230"/>
      <c r="R281" s="230"/>
      <c r="S281" s="230"/>
      <c r="T281" s="230"/>
      <c r="U281" s="230"/>
      <c r="V281" s="230"/>
      <c r="W281" s="230"/>
      <c r="X281" s="230"/>
      <c r="Y281" s="230"/>
      <c r="Z281" s="230"/>
    </row>
    <row r="282" spans="1:26" ht="15.75" customHeight="1">
      <c r="A282" s="230"/>
      <c r="B282" s="230"/>
      <c r="C282" s="230"/>
      <c r="D282" s="230"/>
      <c r="E282" s="230"/>
      <c r="F282" s="230"/>
      <c r="G282" s="230"/>
      <c r="H282" s="230"/>
      <c r="I282" s="230"/>
      <c r="J282" s="230"/>
      <c r="K282" s="230"/>
      <c r="L282" s="230"/>
      <c r="M282" s="230"/>
      <c r="N282" s="230"/>
      <c r="O282" s="230"/>
      <c r="P282" s="230"/>
      <c r="Q282" s="230"/>
      <c r="R282" s="230"/>
      <c r="S282" s="230"/>
      <c r="T282" s="230"/>
      <c r="U282" s="230"/>
      <c r="V282" s="230"/>
      <c r="W282" s="230"/>
      <c r="X282" s="230"/>
      <c r="Y282" s="230"/>
      <c r="Z282" s="230"/>
    </row>
    <row r="283" spans="1:26" ht="15.75" customHeight="1">
      <c r="A283" s="230"/>
      <c r="B283" s="230"/>
      <c r="C283" s="230"/>
      <c r="D283" s="230"/>
      <c r="E283" s="230"/>
      <c r="F283" s="230"/>
      <c r="G283" s="230"/>
      <c r="H283" s="230"/>
      <c r="I283" s="230"/>
      <c r="J283" s="230"/>
      <c r="K283" s="230"/>
      <c r="L283" s="230"/>
      <c r="M283" s="230"/>
      <c r="N283" s="230"/>
      <c r="O283" s="230"/>
      <c r="P283" s="230"/>
      <c r="Q283" s="230"/>
      <c r="R283" s="230"/>
      <c r="S283" s="230"/>
      <c r="T283" s="230"/>
      <c r="U283" s="230"/>
      <c r="V283" s="230"/>
      <c r="W283" s="230"/>
      <c r="X283" s="230"/>
      <c r="Y283" s="230"/>
      <c r="Z283" s="230"/>
    </row>
    <row r="284" spans="1:26" ht="15.75" customHeight="1">
      <c r="A284" s="230"/>
      <c r="B284" s="230"/>
      <c r="C284" s="230"/>
      <c r="D284" s="230"/>
      <c r="E284" s="230"/>
      <c r="F284" s="230"/>
      <c r="G284" s="230"/>
      <c r="H284" s="230"/>
      <c r="I284" s="230"/>
      <c r="J284" s="230"/>
      <c r="K284" s="230"/>
      <c r="L284" s="230"/>
      <c r="M284" s="230"/>
      <c r="N284" s="230"/>
      <c r="O284" s="230"/>
      <c r="P284" s="230"/>
      <c r="Q284" s="230"/>
      <c r="R284" s="230"/>
      <c r="S284" s="230"/>
      <c r="T284" s="230"/>
      <c r="U284" s="230"/>
      <c r="V284" s="230"/>
      <c r="W284" s="230"/>
      <c r="X284" s="230"/>
      <c r="Y284" s="230"/>
      <c r="Z284" s="230"/>
    </row>
    <row r="285" spans="1:26" ht="15.75" customHeight="1">
      <c r="A285" s="230"/>
      <c r="B285" s="230"/>
      <c r="C285" s="230"/>
      <c r="D285" s="230"/>
      <c r="E285" s="230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0"/>
      <c r="S285" s="230"/>
      <c r="T285" s="230"/>
      <c r="U285" s="230"/>
      <c r="V285" s="230"/>
      <c r="W285" s="230"/>
      <c r="X285" s="230"/>
      <c r="Y285" s="230"/>
      <c r="Z285" s="230"/>
    </row>
    <row r="286" spans="1:26" ht="15.75" customHeight="1">
      <c r="A286" s="230"/>
      <c r="B286" s="230"/>
      <c r="C286" s="230"/>
      <c r="D286" s="230"/>
      <c r="E286" s="230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0"/>
      <c r="S286" s="230"/>
      <c r="T286" s="230"/>
      <c r="U286" s="230"/>
      <c r="V286" s="230"/>
      <c r="W286" s="230"/>
      <c r="X286" s="230"/>
      <c r="Y286" s="230"/>
      <c r="Z286" s="230"/>
    </row>
    <row r="287" spans="1:26" ht="15.75" customHeight="1">
      <c r="A287" s="230"/>
      <c r="B287" s="230"/>
      <c r="C287" s="230"/>
      <c r="D287" s="230"/>
      <c r="E287" s="230"/>
      <c r="F287" s="230"/>
      <c r="G287" s="230"/>
      <c r="H287" s="230"/>
      <c r="I287" s="230"/>
      <c r="J287" s="230"/>
      <c r="K287" s="230"/>
      <c r="L287" s="230"/>
      <c r="M287" s="230"/>
      <c r="N287" s="230"/>
      <c r="O287" s="230"/>
      <c r="P287" s="230"/>
      <c r="Q287" s="230"/>
      <c r="R287" s="230"/>
      <c r="S287" s="230"/>
      <c r="T287" s="230"/>
      <c r="U287" s="230"/>
      <c r="V287" s="230"/>
      <c r="W287" s="230"/>
      <c r="X287" s="230"/>
      <c r="Y287" s="230"/>
      <c r="Z287" s="230"/>
    </row>
    <row r="288" spans="1:26" ht="15.75" customHeight="1">
      <c r="A288" s="230"/>
      <c r="B288" s="230"/>
      <c r="C288" s="230"/>
      <c r="D288" s="230"/>
      <c r="E288" s="230"/>
      <c r="F288" s="230"/>
      <c r="G288" s="230"/>
      <c r="H288" s="230"/>
      <c r="I288" s="230"/>
      <c r="J288" s="230"/>
      <c r="K288" s="230"/>
      <c r="L288" s="230"/>
      <c r="M288" s="230"/>
      <c r="N288" s="230"/>
      <c r="O288" s="230"/>
      <c r="P288" s="230"/>
      <c r="Q288" s="230"/>
      <c r="R288" s="230"/>
      <c r="S288" s="230"/>
      <c r="T288" s="230"/>
      <c r="U288" s="230"/>
      <c r="V288" s="230"/>
      <c r="W288" s="230"/>
      <c r="X288" s="230"/>
      <c r="Y288" s="230"/>
      <c r="Z288" s="230"/>
    </row>
    <row r="289" spans="1:26" ht="15.75" customHeight="1">
      <c r="A289" s="230"/>
      <c r="B289" s="230"/>
      <c r="C289" s="230"/>
      <c r="D289" s="230"/>
      <c r="E289" s="230"/>
      <c r="F289" s="230"/>
      <c r="G289" s="230"/>
      <c r="H289" s="230"/>
      <c r="I289" s="230"/>
      <c r="J289" s="230"/>
      <c r="K289" s="230"/>
      <c r="L289" s="230"/>
      <c r="M289" s="230"/>
      <c r="N289" s="230"/>
      <c r="O289" s="230"/>
      <c r="P289" s="230"/>
      <c r="Q289" s="230"/>
      <c r="R289" s="230"/>
      <c r="S289" s="230"/>
      <c r="T289" s="230"/>
      <c r="U289" s="230"/>
      <c r="V289" s="230"/>
      <c r="W289" s="230"/>
      <c r="X289" s="230"/>
      <c r="Y289" s="230"/>
      <c r="Z289" s="230"/>
    </row>
    <row r="290" spans="1:26" ht="15.75" customHeight="1">
      <c r="A290" s="230"/>
      <c r="B290" s="230"/>
      <c r="C290" s="230"/>
      <c r="D290" s="230"/>
      <c r="E290" s="230"/>
      <c r="F290" s="230"/>
      <c r="G290" s="230"/>
      <c r="H290" s="230"/>
      <c r="I290" s="230"/>
      <c r="J290" s="230"/>
      <c r="K290" s="230"/>
      <c r="L290" s="230"/>
      <c r="M290" s="230"/>
      <c r="N290" s="230"/>
      <c r="O290" s="230"/>
      <c r="P290" s="230"/>
      <c r="Q290" s="230"/>
      <c r="R290" s="230"/>
      <c r="S290" s="230"/>
      <c r="T290" s="230"/>
      <c r="U290" s="230"/>
      <c r="V290" s="230"/>
      <c r="W290" s="230"/>
      <c r="X290" s="230"/>
      <c r="Y290" s="230"/>
      <c r="Z290" s="230"/>
    </row>
    <row r="291" spans="1:26" ht="15.75" customHeight="1">
      <c r="A291" s="230"/>
      <c r="B291" s="230"/>
      <c r="C291" s="230"/>
      <c r="D291" s="230"/>
      <c r="E291" s="230"/>
      <c r="F291" s="230"/>
      <c r="G291" s="230"/>
      <c r="H291" s="230"/>
      <c r="I291" s="230"/>
      <c r="J291" s="230"/>
      <c r="K291" s="230"/>
      <c r="L291" s="230"/>
      <c r="M291" s="230"/>
      <c r="N291" s="230"/>
      <c r="O291" s="230"/>
      <c r="P291" s="230"/>
      <c r="Q291" s="230"/>
      <c r="R291" s="230"/>
      <c r="S291" s="230"/>
      <c r="T291" s="230"/>
      <c r="U291" s="230"/>
      <c r="V291" s="230"/>
      <c r="W291" s="230"/>
      <c r="X291" s="230"/>
      <c r="Y291" s="230"/>
      <c r="Z291" s="230"/>
    </row>
    <row r="292" spans="1:26" ht="15.75" customHeight="1">
      <c r="A292" s="230"/>
      <c r="B292" s="230"/>
      <c r="C292" s="230"/>
      <c r="D292" s="230"/>
      <c r="E292" s="230"/>
      <c r="F292" s="230"/>
      <c r="G292" s="230"/>
      <c r="H292" s="230"/>
      <c r="I292" s="230"/>
      <c r="J292" s="230"/>
      <c r="K292" s="230"/>
      <c r="L292" s="230"/>
      <c r="M292" s="230"/>
      <c r="N292" s="230"/>
      <c r="O292" s="230"/>
      <c r="P292" s="230"/>
      <c r="Q292" s="230"/>
      <c r="R292" s="230"/>
      <c r="S292" s="230"/>
      <c r="T292" s="230"/>
      <c r="U292" s="230"/>
      <c r="V292" s="230"/>
      <c r="W292" s="230"/>
      <c r="X292" s="230"/>
      <c r="Y292" s="230"/>
      <c r="Z292" s="230"/>
    </row>
    <row r="293" spans="1:26" ht="15.75" customHeight="1">
      <c r="A293" s="230"/>
      <c r="B293" s="230"/>
      <c r="C293" s="230"/>
      <c r="D293" s="230"/>
      <c r="E293" s="230"/>
      <c r="F293" s="230"/>
      <c r="G293" s="230"/>
      <c r="H293" s="230"/>
      <c r="I293" s="230"/>
      <c r="J293" s="230"/>
      <c r="K293" s="230"/>
      <c r="L293" s="230"/>
      <c r="M293" s="230"/>
      <c r="N293" s="230"/>
      <c r="O293" s="230"/>
      <c r="P293" s="230"/>
      <c r="Q293" s="230"/>
      <c r="R293" s="230"/>
      <c r="S293" s="230"/>
      <c r="T293" s="230"/>
      <c r="U293" s="230"/>
      <c r="V293" s="230"/>
      <c r="W293" s="230"/>
      <c r="X293" s="230"/>
      <c r="Y293" s="230"/>
      <c r="Z293" s="230"/>
    </row>
    <row r="294" spans="1:26" ht="15.75" customHeight="1">
      <c r="A294" s="230"/>
      <c r="B294" s="230"/>
      <c r="C294" s="230"/>
      <c r="D294" s="230"/>
      <c r="E294" s="230"/>
      <c r="F294" s="230"/>
      <c r="G294" s="230"/>
      <c r="H294" s="230"/>
      <c r="I294" s="230"/>
      <c r="J294" s="230"/>
      <c r="K294" s="230"/>
      <c r="L294" s="230"/>
      <c r="M294" s="230"/>
      <c r="N294" s="230"/>
      <c r="O294" s="230"/>
      <c r="P294" s="230"/>
      <c r="Q294" s="230"/>
      <c r="R294" s="230"/>
      <c r="S294" s="230"/>
      <c r="T294" s="230"/>
      <c r="U294" s="230"/>
      <c r="V294" s="230"/>
      <c r="W294" s="230"/>
      <c r="X294" s="230"/>
      <c r="Y294" s="230"/>
      <c r="Z294" s="230"/>
    </row>
    <row r="295" spans="1:26" ht="15.75" customHeight="1">
      <c r="A295" s="230"/>
      <c r="B295" s="230"/>
      <c r="C295" s="230"/>
      <c r="D295" s="230"/>
      <c r="E295" s="230"/>
      <c r="F295" s="230"/>
      <c r="G295" s="230"/>
      <c r="H295" s="230"/>
      <c r="I295" s="230"/>
      <c r="J295" s="230"/>
      <c r="K295" s="230"/>
      <c r="L295" s="230"/>
      <c r="M295" s="230"/>
      <c r="N295" s="230"/>
      <c r="O295" s="230"/>
      <c r="P295" s="230"/>
      <c r="Q295" s="230"/>
      <c r="R295" s="230"/>
      <c r="S295" s="230"/>
      <c r="T295" s="230"/>
      <c r="U295" s="230"/>
      <c r="V295" s="230"/>
      <c r="W295" s="230"/>
      <c r="X295" s="230"/>
      <c r="Y295" s="230"/>
      <c r="Z295" s="230"/>
    </row>
    <row r="296" spans="1:26" ht="15.75" customHeight="1">
      <c r="A296" s="230"/>
      <c r="B296" s="230"/>
      <c r="C296" s="230"/>
      <c r="D296" s="230"/>
      <c r="E296" s="230"/>
      <c r="F296" s="230"/>
      <c r="G296" s="230"/>
      <c r="H296" s="230"/>
      <c r="I296" s="230"/>
      <c r="J296" s="230"/>
      <c r="K296" s="230"/>
      <c r="L296" s="230"/>
      <c r="M296" s="230"/>
      <c r="N296" s="230"/>
      <c r="O296" s="230"/>
      <c r="P296" s="230"/>
      <c r="Q296" s="230"/>
      <c r="R296" s="230"/>
      <c r="S296" s="230"/>
      <c r="T296" s="230"/>
      <c r="U296" s="230"/>
      <c r="V296" s="230"/>
      <c r="W296" s="230"/>
      <c r="X296" s="230"/>
      <c r="Y296" s="230"/>
      <c r="Z296" s="230"/>
    </row>
    <row r="297" spans="1:26" ht="15.75" customHeight="1">
      <c r="A297" s="230"/>
      <c r="B297" s="230"/>
      <c r="C297" s="230"/>
      <c r="D297" s="230"/>
      <c r="E297" s="230"/>
      <c r="F297" s="230"/>
      <c r="G297" s="230"/>
      <c r="H297" s="230"/>
      <c r="I297" s="230"/>
      <c r="J297" s="230"/>
      <c r="K297" s="230"/>
      <c r="L297" s="230"/>
      <c r="M297" s="230"/>
      <c r="N297" s="230"/>
      <c r="O297" s="230"/>
      <c r="P297" s="230"/>
      <c r="Q297" s="230"/>
      <c r="R297" s="230"/>
      <c r="S297" s="230"/>
      <c r="T297" s="230"/>
      <c r="U297" s="230"/>
      <c r="V297" s="230"/>
      <c r="W297" s="230"/>
      <c r="X297" s="230"/>
      <c r="Y297" s="230"/>
      <c r="Z297" s="230"/>
    </row>
    <row r="298" spans="1:26" ht="15.75" customHeight="1">
      <c r="A298" s="230"/>
      <c r="B298" s="230"/>
      <c r="C298" s="230"/>
      <c r="D298" s="230"/>
      <c r="E298" s="230"/>
      <c r="F298" s="230"/>
      <c r="G298" s="230"/>
      <c r="H298" s="230"/>
      <c r="I298" s="230"/>
      <c r="J298" s="230"/>
      <c r="K298" s="230"/>
      <c r="L298" s="230"/>
      <c r="M298" s="230"/>
      <c r="N298" s="230"/>
      <c r="O298" s="230"/>
      <c r="P298" s="230"/>
      <c r="Q298" s="230"/>
      <c r="R298" s="230"/>
      <c r="S298" s="230"/>
      <c r="T298" s="230"/>
      <c r="U298" s="230"/>
      <c r="V298" s="230"/>
      <c r="W298" s="230"/>
      <c r="X298" s="230"/>
      <c r="Y298" s="230"/>
      <c r="Z298" s="230"/>
    </row>
    <row r="299" spans="1:26" ht="15.75" customHeight="1">
      <c r="A299" s="230"/>
      <c r="B299" s="230"/>
      <c r="C299" s="230"/>
      <c r="D299" s="230"/>
      <c r="E299" s="230"/>
      <c r="F299" s="230"/>
      <c r="G299" s="230"/>
      <c r="H299" s="230"/>
      <c r="I299" s="230"/>
      <c r="J299" s="230"/>
      <c r="K299" s="230"/>
      <c r="L299" s="230"/>
      <c r="M299" s="230"/>
      <c r="N299" s="230"/>
      <c r="O299" s="230"/>
      <c r="P299" s="230"/>
      <c r="Q299" s="230"/>
      <c r="R299" s="230"/>
      <c r="S299" s="230"/>
      <c r="T299" s="230"/>
      <c r="U299" s="230"/>
      <c r="V299" s="230"/>
      <c r="W299" s="230"/>
      <c r="X299" s="230"/>
      <c r="Y299" s="230"/>
      <c r="Z299" s="230"/>
    </row>
    <row r="300" spans="1:26" ht="15.75" customHeight="1">
      <c r="A300" s="230"/>
      <c r="B300" s="230"/>
      <c r="C300" s="230"/>
      <c r="D300" s="230"/>
      <c r="E300" s="230"/>
      <c r="F300" s="230"/>
      <c r="G300" s="230"/>
      <c r="H300" s="230"/>
      <c r="I300" s="230"/>
      <c r="J300" s="230"/>
      <c r="K300" s="230"/>
      <c r="L300" s="230"/>
      <c r="M300" s="230"/>
      <c r="N300" s="230"/>
      <c r="O300" s="230"/>
      <c r="P300" s="230"/>
      <c r="Q300" s="230"/>
      <c r="R300" s="230"/>
      <c r="S300" s="230"/>
      <c r="T300" s="230"/>
      <c r="U300" s="230"/>
      <c r="V300" s="230"/>
      <c r="W300" s="230"/>
      <c r="X300" s="230"/>
      <c r="Y300" s="230"/>
      <c r="Z300" s="230"/>
    </row>
    <row r="301" spans="1:26" ht="15.75" customHeight="1">
      <c r="A301" s="230"/>
      <c r="B301" s="230"/>
      <c r="C301" s="230"/>
      <c r="D301" s="230"/>
      <c r="E301" s="230"/>
      <c r="F301" s="230"/>
      <c r="G301" s="230"/>
      <c r="H301" s="230"/>
      <c r="I301" s="230"/>
      <c r="J301" s="230"/>
      <c r="K301" s="230"/>
      <c r="L301" s="230"/>
      <c r="M301" s="230"/>
      <c r="N301" s="230"/>
      <c r="O301" s="230"/>
      <c r="P301" s="230"/>
      <c r="Q301" s="230"/>
      <c r="R301" s="230"/>
      <c r="S301" s="230"/>
      <c r="T301" s="230"/>
      <c r="U301" s="230"/>
      <c r="V301" s="230"/>
      <c r="W301" s="230"/>
      <c r="X301" s="230"/>
      <c r="Y301" s="230"/>
      <c r="Z301" s="230"/>
    </row>
    <row r="302" spans="1:26" ht="15.75" customHeight="1">
      <c r="A302" s="230"/>
      <c r="B302" s="230"/>
      <c r="C302" s="230"/>
      <c r="D302" s="230"/>
      <c r="E302" s="230"/>
      <c r="F302" s="230"/>
      <c r="G302" s="230"/>
      <c r="H302" s="230"/>
      <c r="I302" s="230"/>
      <c r="J302" s="230"/>
      <c r="K302" s="230"/>
      <c r="L302" s="230"/>
      <c r="M302" s="230"/>
      <c r="N302" s="230"/>
      <c r="O302" s="230"/>
      <c r="P302" s="230"/>
      <c r="Q302" s="230"/>
      <c r="R302" s="230"/>
      <c r="S302" s="230"/>
      <c r="T302" s="230"/>
      <c r="U302" s="230"/>
      <c r="V302" s="230"/>
      <c r="W302" s="230"/>
      <c r="X302" s="230"/>
      <c r="Y302" s="230"/>
      <c r="Z302" s="230"/>
    </row>
    <row r="303" spans="1:26" ht="15.75" customHeight="1">
      <c r="A303" s="230"/>
      <c r="B303" s="230"/>
      <c r="C303" s="230"/>
      <c r="D303" s="230"/>
      <c r="E303" s="230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30"/>
      <c r="S303" s="230"/>
      <c r="T303" s="230"/>
      <c r="U303" s="230"/>
      <c r="V303" s="230"/>
      <c r="W303" s="230"/>
      <c r="X303" s="230"/>
      <c r="Y303" s="230"/>
      <c r="Z303" s="230"/>
    </row>
    <row r="304" spans="1:26" ht="15.75" customHeight="1">
      <c r="A304" s="230"/>
      <c r="B304" s="230"/>
      <c r="C304" s="230"/>
      <c r="D304" s="230"/>
      <c r="E304" s="230"/>
      <c r="F304" s="230"/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0"/>
      <c r="S304" s="230"/>
      <c r="T304" s="230"/>
      <c r="U304" s="230"/>
      <c r="V304" s="230"/>
      <c r="W304" s="230"/>
      <c r="X304" s="230"/>
      <c r="Y304" s="230"/>
      <c r="Z304" s="230"/>
    </row>
    <row r="305" spans="1:26" ht="15.75" customHeight="1">
      <c r="A305" s="230"/>
      <c r="B305" s="230"/>
      <c r="C305" s="230"/>
      <c r="D305" s="230"/>
      <c r="E305" s="230"/>
      <c r="F305" s="230"/>
      <c r="G305" s="230"/>
      <c r="H305" s="230"/>
      <c r="I305" s="230"/>
      <c r="J305" s="230"/>
      <c r="K305" s="230"/>
      <c r="L305" s="230"/>
      <c r="M305" s="230"/>
      <c r="N305" s="230"/>
      <c r="O305" s="230"/>
      <c r="P305" s="230"/>
      <c r="Q305" s="230"/>
      <c r="R305" s="230"/>
      <c r="S305" s="230"/>
      <c r="T305" s="230"/>
      <c r="U305" s="230"/>
      <c r="V305" s="230"/>
      <c r="W305" s="230"/>
      <c r="X305" s="230"/>
      <c r="Y305" s="230"/>
      <c r="Z305" s="230"/>
    </row>
    <row r="306" spans="1:26" ht="15.75" customHeight="1">
      <c r="A306" s="230"/>
      <c r="B306" s="230"/>
      <c r="C306" s="230"/>
      <c r="D306" s="230"/>
      <c r="E306" s="230"/>
      <c r="F306" s="230"/>
      <c r="G306" s="230"/>
      <c r="H306" s="230"/>
      <c r="I306" s="230"/>
      <c r="J306" s="230"/>
      <c r="K306" s="230"/>
      <c r="L306" s="230"/>
      <c r="M306" s="230"/>
      <c r="N306" s="230"/>
      <c r="O306" s="230"/>
      <c r="P306" s="230"/>
      <c r="Q306" s="230"/>
      <c r="R306" s="230"/>
      <c r="S306" s="230"/>
      <c r="T306" s="230"/>
      <c r="U306" s="230"/>
      <c r="V306" s="230"/>
      <c r="W306" s="230"/>
      <c r="X306" s="230"/>
      <c r="Y306" s="230"/>
      <c r="Z306" s="230"/>
    </row>
    <row r="307" spans="1:26" ht="15.75" customHeight="1">
      <c r="A307" s="230"/>
      <c r="B307" s="230"/>
      <c r="C307" s="230"/>
      <c r="D307" s="230"/>
      <c r="E307" s="230"/>
      <c r="F307" s="230"/>
      <c r="G307" s="230"/>
      <c r="H307" s="230"/>
      <c r="I307" s="230"/>
      <c r="J307" s="230"/>
      <c r="K307" s="230"/>
      <c r="L307" s="230"/>
      <c r="M307" s="230"/>
      <c r="N307" s="230"/>
      <c r="O307" s="230"/>
      <c r="P307" s="230"/>
      <c r="Q307" s="230"/>
      <c r="R307" s="230"/>
      <c r="S307" s="230"/>
      <c r="T307" s="230"/>
      <c r="U307" s="230"/>
      <c r="V307" s="230"/>
      <c r="W307" s="230"/>
      <c r="X307" s="230"/>
      <c r="Y307" s="230"/>
      <c r="Z307" s="230"/>
    </row>
    <row r="308" spans="1:26" ht="15.75" customHeight="1">
      <c r="A308" s="230"/>
      <c r="B308" s="230"/>
      <c r="C308" s="230"/>
      <c r="D308" s="230"/>
      <c r="E308" s="230"/>
      <c r="F308" s="230"/>
      <c r="G308" s="230"/>
      <c r="H308" s="230"/>
      <c r="I308" s="230"/>
      <c r="J308" s="230"/>
      <c r="K308" s="230"/>
      <c r="L308" s="230"/>
      <c r="M308" s="230"/>
      <c r="N308" s="230"/>
      <c r="O308" s="230"/>
      <c r="P308" s="230"/>
      <c r="Q308" s="230"/>
      <c r="R308" s="230"/>
      <c r="S308" s="230"/>
      <c r="T308" s="230"/>
      <c r="U308" s="230"/>
      <c r="V308" s="230"/>
      <c r="W308" s="230"/>
      <c r="X308" s="230"/>
      <c r="Y308" s="230"/>
      <c r="Z308" s="230"/>
    </row>
    <row r="309" spans="1:26" ht="15.75" customHeight="1">
      <c r="A309" s="230"/>
      <c r="B309" s="230"/>
      <c r="C309" s="230"/>
      <c r="D309" s="230"/>
      <c r="E309" s="230"/>
      <c r="F309" s="230"/>
      <c r="G309" s="230"/>
      <c r="H309" s="230"/>
      <c r="I309" s="230"/>
      <c r="J309" s="230"/>
      <c r="K309" s="230"/>
      <c r="L309" s="230"/>
      <c r="M309" s="230"/>
      <c r="N309" s="230"/>
      <c r="O309" s="230"/>
      <c r="P309" s="230"/>
      <c r="Q309" s="230"/>
      <c r="R309" s="230"/>
      <c r="S309" s="230"/>
      <c r="T309" s="230"/>
      <c r="U309" s="230"/>
      <c r="V309" s="230"/>
      <c r="W309" s="230"/>
      <c r="X309" s="230"/>
      <c r="Y309" s="230"/>
      <c r="Z309" s="230"/>
    </row>
    <row r="310" spans="1:26" ht="15.75" customHeight="1">
      <c r="A310" s="230"/>
      <c r="B310" s="230"/>
      <c r="C310" s="230"/>
      <c r="D310" s="230"/>
      <c r="E310" s="230"/>
      <c r="F310" s="230"/>
      <c r="G310" s="230"/>
      <c r="H310" s="230"/>
      <c r="I310" s="230"/>
      <c r="J310" s="230"/>
      <c r="K310" s="230"/>
      <c r="L310" s="230"/>
      <c r="M310" s="230"/>
      <c r="N310" s="230"/>
      <c r="O310" s="230"/>
      <c r="P310" s="230"/>
      <c r="Q310" s="230"/>
      <c r="R310" s="230"/>
      <c r="S310" s="230"/>
      <c r="T310" s="230"/>
      <c r="U310" s="230"/>
      <c r="V310" s="230"/>
      <c r="W310" s="230"/>
      <c r="X310" s="230"/>
      <c r="Y310" s="230"/>
      <c r="Z310" s="230"/>
    </row>
    <row r="311" spans="1:26" ht="15.75" customHeight="1">
      <c r="A311" s="230"/>
      <c r="B311" s="230"/>
      <c r="C311" s="230"/>
      <c r="D311" s="230"/>
      <c r="E311" s="230"/>
      <c r="F311" s="230"/>
      <c r="G311" s="230"/>
      <c r="H311" s="230"/>
      <c r="I311" s="230"/>
      <c r="J311" s="230"/>
      <c r="K311" s="230"/>
      <c r="L311" s="230"/>
      <c r="M311" s="230"/>
      <c r="N311" s="230"/>
      <c r="O311" s="230"/>
      <c r="P311" s="230"/>
      <c r="Q311" s="230"/>
      <c r="R311" s="230"/>
      <c r="S311" s="230"/>
      <c r="T311" s="230"/>
      <c r="U311" s="230"/>
      <c r="V311" s="230"/>
      <c r="W311" s="230"/>
      <c r="X311" s="230"/>
      <c r="Y311" s="230"/>
      <c r="Z311" s="230"/>
    </row>
    <row r="312" spans="1:26" ht="15.75" customHeight="1">
      <c r="A312" s="230"/>
      <c r="B312" s="230"/>
      <c r="C312" s="230"/>
      <c r="D312" s="230"/>
      <c r="E312" s="230"/>
      <c r="F312" s="230"/>
      <c r="G312" s="230"/>
      <c r="H312" s="230"/>
      <c r="I312" s="230"/>
      <c r="J312" s="230"/>
      <c r="K312" s="230"/>
      <c r="L312" s="230"/>
      <c r="M312" s="230"/>
      <c r="N312" s="230"/>
      <c r="O312" s="230"/>
      <c r="P312" s="230"/>
      <c r="Q312" s="230"/>
      <c r="R312" s="230"/>
      <c r="S312" s="230"/>
      <c r="T312" s="230"/>
      <c r="U312" s="230"/>
      <c r="V312" s="230"/>
      <c r="W312" s="230"/>
      <c r="X312" s="230"/>
      <c r="Y312" s="230"/>
      <c r="Z312" s="230"/>
    </row>
    <row r="313" spans="1:26" ht="15.75" customHeight="1">
      <c r="A313" s="230"/>
      <c r="B313" s="230"/>
      <c r="C313" s="230"/>
      <c r="D313" s="230"/>
      <c r="E313" s="230"/>
      <c r="F313" s="230"/>
      <c r="G313" s="230"/>
      <c r="H313" s="230"/>
      <c r="I313" s="230"/>
      <c r="J313" s="230"/>
      <c r="K313" s="230"/>
      <c r="L313" s="230"/>
      <c r="M313" s="230"/>
      <c r="N313" s="230"/>
      <c r="O313" s="230"/>
      <c r="P313" s="230"/>
      <c r="Q313" s="230"/>
      <c r="R313" s="230"/>
      <c r="S313" s="230"/>
      <c r="T313" s="230"/>
      <c r="U313" s="230"/>
      <c r="V313" s="230"/>
      <c r="W313" s="230"/>
      <c r="X313" s="230"/>
      <c r="Y313" s="230"/>
      <c r="Z313" s="230"/>
    </row>
    <row r="314" spans="1:26" ht="15.75" customHeight="1">
      <c r="A314" s="230"/>
      <c r="B314" s="230"/>
      <c r="C314" s="230"/>
      <c r="D314" s="230"/>
      <c r="E314" s="230"/>
      <c r="F314" s="230"/>
      <c r="G314" s="230"/>
      <c r="H314" s="230"/>
      <c r="I314" s="230"/>
      <c r="J314" s="230"/>
      <c r="K314" s="230"/>
      <c r="L314" s="230"/>
      <c r="M314" s="230"/>
      <c r="N314" s="230"/>
      <c r="O314" s="230"/>
      <c r="P314" s="230"/>
      <c r="Q314" s="230"/>
      <c r="R314" s="230"/>
      <c r="S314" s="230"/>
      <c r="T314" s="230"/>
      <c r="U314" s="230"/>
      <c r="V314" s="230"/>
      <c r="W314" s="230"/>
      <c r="X314" s="230"/>
      <c r="Y314" s="230"/>
      <c r="Z314" s="230"/>
    </row>
    <row r="315" spans="1:26" ht="15.75" customHeight="1">
      <c r="A315" s="230"/>
      <c r="B315" s="230"/>
      <c r="C315" s="230"/>
      <c r="D315" s="230"/>
      <c r="E315" s="230"/>
      <c r="F315" s="230"/>
      <c r="G315" s="230"/>
      <c r="H315" s="230"/>
      <c r="I315" s="230"/>
      <c r="J315" s="230"/>
      <c r="K315" s="230"/>
      <c r="L315" s="230"/>
      <c r="M315" s="230"/>
      <c r="N315" s="230"/>
      <c r="O315" s="230"/>
      <c r="P315" s="230"/>
      <c r="Q315" s="230"/>
      <c r="R315" s="230"/>
      <c r="S315" s="230"/>
      <c r="T315" s="230"/>
      <c r="U315" s="230"/>
      <c r="V315" s="230"/>
      <c r="W315" s="230"/>
      <c r="X315" s="230"/>
      <c r="Y315" s="230"/>
      <c r="Z315" s="230"/>
    </row>
    <row r="316" spans="1:26" ht="15.75" customHeight="1">
      <c r="A316" s="230"/>
      <c r="B316" s="230"/>
      <c r="C316" s="230"/>
      <c r="D316" s="230"/>
      <c r="E316" s="230"/>
      <c r="F316" s="230"/>
      <c r="G316" s="230"/>
      <c r="H316" s="230"/>
      <c r="I316" s="230"/>
      <c r="J316" s="230"/>
      <c r="K316" s="230"/>
      <c r="L316" s="230"/>
      <c r="M316" s="230"/>
      <c r="N316" s="230"/>
      <c r="O316" s="230"/>
      <c r="P316" s="230"/>
      <c r="Q316" s="230"/>
      <c r="R316" s="230"/>
      <c r="S316" s="230"/>
      <c r="T316" s="230"/>
      <c r="U316" s="230"/>
      <c r="V316" s="230"/>
      <c r="W316" s="230"/>
      <c r="X316" s="230"/>
      <c r="Y316" s="230"/>
      <c r="Z316" s="230"/>
    </row>
    <row r="317" spans="1:26" ht="15.75" customHeight="1">
      <c r="A317" s="230"/>
      <c r="B317" s="230"/>
      <c r="C317" s="230"/>
      <c r="D317" s="230"/>
      <c r="E317" s="230"/>
      <c r="F317" s="230"/>
      <c r="G317" s="230"/>
      <c r="H317" s="230"/>
      <c r="I317" s="230"/>
      <c r="J317" s="230"/>
      <c r="K317" s="230"/>
      <c r="L317" s="230"/>
      <c r="M317" s="230"/>
      <c r="N317" s="230"/>
      <c r="O317" s="230"/>
      <c r="P317" s="230"/>
      <c r="Q317" s="230"/>
      <c r="R317" s="230"/>
      <c r="S317" s="230"/>
      <c r="T317" s="230"/>
      <c r="U317" s="230"/>
      <c r="V317" s="230"/>
      <c r="W317" s="230"/>
      <c r="X317" s="230"/>
      <c r="Y317" s="230"/>
      <c r="Z317" s="230"/>
    </row>
    <row r="318" spans="1:26" ht="15.75" customHeight="1">
      <c r="A318" s="230"/>
      <c r="B318" s="230"/>
      <c r="C318" s="230"/>
      <c r="D318" s="230"/>
      <c r="E318" s="230"/>
      <c r="F318" s="230"/>
      <c r="G318" s="230"/>
      <c r="H318" s="230"/>
      <c r="I318" s="230"/>
      <c r="J318" s="230"/>
      <c r="K318" s="230"/>
      <c r="L318" s="230"/>
      <c r="M318" s="230"/>
      <c r="N318" s="230"/>
      <c r="O318" s="230"/>
      <c r="P318" s="230"/>
      <c r="Q318" s="230"/>
      <c r="R318" s="230"/>
      <c r="S318" s="230"/>
      <c r="T318" s="230"/>
      <c r="U318" s="230"/>
      <c r="V318" s="230"/>
      <c r="W318" s="230"/>
      <c r="X318" s="230"/>
      <c r="Y318" s="230"/>
      <c r="Z318" s="230"/>
    </row>
    <row r="319" spans="1:26" ht="15.75" customHeight="1">
      <c r="A319" s="230"/>
      <c r="B319" s="230"/>
      <c r="C319" s="230"/>
      <c r="D319" s="230"/>
      <c r="E319" s="230"/>
      <c r="F319" s="230"/>
      <c r="G319" s="230"/>
      <c r="H319" s="230"/>
      <c r="I319" s="230"/>
      <c r="J319" s="230"/>
      <c r="K319" s="230"/>
      <c r="L319" s="230"/>
      <c r="M319" s="230"/>
      <c r="N319" s="230"/>
      <c r="O319" s="230"/>
      <c r="P319" s="230"/>
      <c r="Q319" s="230"/>
      <c r="R319" s="230"/>
      <c r="S319" s="230"/>
      <c r="T319" s="230"/>
      <c r="U319" s="230"/>
      <c r="V319" s="230"/>
      <c r="W319" s="230"/>
      <c r="X319" s="230"/>
      <c r="Y319" s="230"/>
      <c r="Z319" s="230"/>
    </row>
    <row r="320" spans="1:26" ht="15.75" customHeight="1">
      <c r="A320" s="230"/>
      <c r="B320" s="230"/>
      <c r="C320" s="230"/>
      <c r="D320" s="230"/>
      <c r="E320" s="230"/>
      <c r="F320" s="230"/>
      <c r="G320" s="230"/>
      <c r="H320" s="230"/>
      <c r="I320" s="230"/>
      <c r="J320" s="230"/>
      <c r="K320" s="230"/>
      <c r="L320" s="230"/>
      <c r="M320" s="230"/>
      <c r="N320" s="230"/>
      <c r="O320" s="230"/>
      <c r="P320" s="230"/>
      <c r="Q320" s="230"/>
      <c r="R320" s="230"/>
      <c r="S320" s="230"/>
      <c r="T320" s="230"/>
      <c r="U320" s="230"/>
      <c r="V320" s="230"/>
      <c r="W320" s="230"/>
      <c r="X320" s="230"/>
      <c r="Y320" s="230"/>
      <c r="Z320" s="230"/>
    </row>
    <row r="321" spans="1:26" ht="15.75" customHeight="1">
      <c r="A321" s="230"/>
      <c r="B321" s="230"/>
      <c r="C321" s="230"/>
      <c r="D321" s="230"/>
      <c r="E321" s="230"/>
      <c r="F321" s="230"/>
      <c r="G321" s="230"/>
      <c r="H321" s="230"/>
      <c r="I321" s="230"/>
      <c r="J321" s="230"/>
      <c r="K321" s="230"/>
      <c r="L321" s="230"/>
      <c r="M321" s="230"/>
      <c r="N321" s="230"/>
      <c r="O321" s="230"/>
      <c r="P321" s="230"/>
      <c r="Q321" s="230"/>
      <c r="R321" s="230"/>
      <c r="S321" s="230"/>
      <c r="T321" s="230"/>
      <c r="U321" s="230"/>
      <c r="V321" s="230"/>
      <c r="W321" s="230"/>
      <c r="X321" s="230"/>
      <c r="Y321" s="230"/>
      <c r="Z321" s="230"/>
    </row>
    <row r="322" spans="1:26" ht="15.75" customHeight="1">
      <c r="A322" s="230"/>
      <c r="B322" s="230"/>
      <c r="C322" s="230"/>
      <c r="D322" s="230"/>
      <c r="E322" s="230"/>
      <c r="F322" s="230"/>
      <c r="G322" s="230"/>
      <c r="H322" s="230"/>
      <c r="I322" s="230"/>
      <c r="J322" s="230"/>
      <c r="K322" s="230"/>
      <c r="L322" s="230"/>
      <c r="M322" s="230"/>
      <c r="N322" s="230"/>
      <c r="O322" s="230"/>
      <c r="P322" s="230"/>
      <c r="Q322" s="230"/>
      <c r="R322" s="230"/>
      <c r="S322" s="230"/>
      <c r="T322" s="230"/>
      <c r="U322" s="230"/>
      <c r="V322" s="230"/>
      <c r="W322" s="230"/>
      <c r="X322" s="230"/>
      <c r="Y322" s="230"/>
      <c r="Z322" s="230"/>
    </row>
    <row r="323" spans="1:26" ht="15.75" customHeight="1">
      <c r="A323" s="230"/>
      <c r="B323" s="230"/>
      <c r="C323" s="230"/>
      <c r="D323" s="230"/>
      <c r="E323" s="230"/>
      <c r="F323" s="230"/>
      <c r="G323" s="230"/>
      <c r="H323" s="230"/>
      <c r="I323" s="230"/>
      <c r="J323" s="230"/>
      <c r="K323" s="230"/>
      <c r="L323" s="230"/>
      <c r="M323" s="230"/>
      <c r="N323" s="230"/>
      <c r="O323" s="230"/>
      <c r="P323" s="230"/>
      <c r="Q323" s="230"/>
      <c r="R323" s="230"/>
      <c r="S323" s="230"/>
      <c r="T323" s="230"/>
      <c r="U323" s="230"/>
      <c r="V323" s="230"/>
      <c r="W323" s="230"/>
      <c r="X323" s="230"/>
      <c r="Y323" s="230"/>
      <c r="Z323" s="230"/>
    </row>
    <row r="324" spans="1:26" ht="15.75" customHeight="1">
      <c r="A324" s="230"/>
      <c r="B324" s="230"/>
      <c r="C324" s="230"/>
      <c r="D324" s="230"/>
      <c r="E324" s="230"/>
      <c r="F324" s="230"/>
      <c r="G324" s="230"/>
      <c r="H324" s="230"/>
      <c r="I324" s="230"/>
      <c r="J324" s="230"/>
      <c r="K324" s="230"/>
      <c r="L324" s="230"/>
      <c r="M324" s="230"/>
      <c r="N324" s="230"/>
      <c r="O324" s="230"/>
      <c r="P324" s="230"/>
      <c r="Q324" s="230"/>
      <c r="R324" s="230"/>
      <c r="S324" s="230"/>
      <c r="T324" s="230"/>
      <c r="U324" s="230"/>
      <c r="V324" s="230"/>
      <c r="W324" s="230"/>
      <c r="X324" s="230"/>
      <c r="Y324" s="230"/>
      <c r="Z324" s="230"/>
    </row>
    <row r="325" spans="1:26" ht="15.75" customHeight="1">
      <c r="A325" s="230"/>
      <c r="B325" s="230"/>
      <c r="C325" s="230"/>
      <c r="D325" s="230"/>
      <c r="E325" s="230"/>
      <c r="F325" s="230"/>
      <c r="G325" s="230"/>
      <c r="H325" s="230"/>
      <c r="I325" s="230"/>
      <c r="J325" s="230"/>
      <c r="K325" s="230"/>
      <c r="L325" s="230"/>
      <c r="M325" s="230"/>
      <c r="N325" s="230"/>
      <c r="O325" s="230"/>
      <c r="P325" s="230"/>
      <c r="Q325" s="230"/>
      <c r="R325" s="230"/>
      <c r="S325" s="230"/>
      <c r="T325" s="230"/>
      <c r="U325" s="230"/>
      <c r="V325" s="230"/>
      <c r="W325" s="230"/>
      <c r="X325" s="230"/>
      <c r="Y325" s="230"/>
      <c r="Z325" s="230"/>
    </row>
    <row r="326" spans="1:26" ht="15.75" customHeight="1">
      <c r="A326" s="230"/>
      <c r="B326" s="230"/>
      <c r="C326" s="230"/>
      <c r="D326" s="230"/>
      <c r="E326" s="230"/>
      <c r="F326" s="230"/>
      <c r="G326" s="230"/>
      <c r="H326" s="230"/>
      <c r="I326" s="230"/>
      <c r="J326" s="230"/>
      <c r="K326" s="230"/>
      <c r="L326" s="230"/>
      <c r="M326" s="230"/>
      <c r="N326" s="230"/>
      <c r="O326" s="230"/>
      <c r="P326" s="230"/>
      <c r="Q326" s="230"/>
      <c r="R326" s="230"/>
      <c r="S326" s="230"/>
      <c r="T326" s="230"/>
      <c r="U326" s="230"/>
      <c r="V326" s="230"/>
      <c r="W326" s="230"/>
      <c r="X326" s="230"/>
      <c r="Y326" s="230"/>
      <c r="Z326" s="230"/>
    </row>
    <row r="327" spans="1:26" ht="15.75" customHeight="1">
      <c r="A327" s="230"/>
      <c r="B327" s="230"/>
      <c r="C327" s="230"/>
      <c r="D327" s="230"/>
      <c r="E327" s="230"/>
      <c r="F327" s="230"/>
      <c r="G327" s="230"/>
      <c r="H327" s="230"/>
      <c r="I327" s="230"/>
      <c r="J327" s="230"/>
      <c r="K327" s="230"/>
      <c r="L327" s="230"/>
      <c r="M327" s="230"/>
      <c r="N327" s="230"/>
      <c r="O327" s="230"/>
      <c r="P327" s="230"/>
      <c r="Q327" s="230"/>
      <c r="R327" s="230"/>
      <c r="S327" s="230"/>
      <c r="T327" s="230"/>
      <c r="U327" s="230"/>
      <c r="V327" s="230"/>
      <c r="W327" s="230"/>
      <c r="X327" s="230"/>
      <c r="Y327" s="230"/>
      <c r="Z327" s="230"/>
    </row>
    <row r="328" spans="1:26" ht="15.75" customHeight="1">
      <c r="A328" s="230"/>
      <c r="B328" s="230"/>
      <c r="C328" s="230"/>
      <c r="D328" s="230"/>
      <c r="E328" s="230"/>
      <c r="F328" s="230"/>
      <c r="G328" s="230"/>
      <c r="H328" s="230"/>
      <c r="I328" s="230"/>
      <c r="J328" s="230"/>
      <c r="K328" s="230"/>
      <c r="L328" s="230"/>
      <c r="M328" s="230"/>
      <c r="N328" s="230"/>
      <c r="O328" s="230"/>
      <c r="P328" s="230"/>
      <c r="Q328" s="230"/>
      <c r="R328" s="230"/>
      <c r="S328" s="230"/>
      <c r="T328" s="230"/>
      <c r="U328" s="230"/>
      <c r="V328" s="230"/>
      <c r="W328" s="230"/>
      <c r="X328" s="230"/>
      <c r="Y328" s="230"/>
      <c r="Z328" s="230"/>
    </row>
    <row r="329" spans="1:26" ht="15.75" customHeight="1">
      <c r="A329" s="230"/>
      <c r="B329" s="230"/>
      <c r="C329" s="230"/>
      <c r="D329" s="230"/>
      <c r="E329" s="230"/>
      <c r="F329" s="230"/>
      <c r="G329" s="230"/>
      <c r="H329" s="230"/>
      <c r="I329" s="230"/>
      <c r="J329" s="230"/>
      <c r="K329" s="230"/>
      <c r="L329" s="230"/>
      <c r="M329" s="230"/>
      <c r="N329" s="230"/>
      <c r="O329" s="230"/>
      <c r="P329" s="230"/>
      <c r="Q329" s="230"/>
      <c r="R329" s="230"/>
      <c r="S329" s="230"/>
      <c r="T329" s="230"/>
      <c r="U329" s="230"/>
      <c r="V329" s="230"/>
      <c r="W329" s="230"/>
      <c r="X329" s="230"/>
      <c r="Y329" s="230"/>
      <c r="Z329" s="230"/>
    </row>
    <row r="330" spans="1:26" ht="15.75" customHeight="1">
      <c r="A330" s="230"/>
      <c r="B330" s="230"/>
      <c r="C330" s="230"/>
      <c r="D330" s="230"/>
      <c r="E330" s="230"/>
      <c r="F330" s="230"/>
      <c r="G330" s="230"/>
      <c r="H330" s="230"/>
      <c r="I330" s="230"/>
      <c r="J330" s="230"/>
      <c r="K330" s="230"/>
      <c r="L330" s="230"/>
      <c r="M330" s="230"/>
      <c r="N330" s="230"/>
      <c r="O330" s="230"/>
      <c r="P330" s="230"/>
      <c r="Q330" s="230"/>
      <c r="R330" s="230"/>
      <c r="S330" s="230"/>
      <c r="T330" s="230"/>
      <c r="U330" s="230"/>
      <c r="V330" s="230"/>
      <c r="W330" s="230"/>
      <c r="X330" s="230"/>
      <c r="Y330" s="230"/>
      <c r="Z330" s="230"/>
    </row>
    <row r="331" spans="1:26" ht="15.75" customHeight="1">
      <c r="A331" s="230"/>
      <c r="B331" s="230"/>
      <c r="C331" s="230"/>
      <c r="D331" s="230"/>
      <c r="E331" s="230"/>
      <c r="F331" s="230"/>
      <c r="G331" s="230"/>
      <c r="H331" s="230"/>
      <c r="I331" s="230"/>
      <c r="J331" s="230"/>
      <c r="K331" s="230"/>
      <c r="L331" s="230"/>
      <c r="M331" s="230"/>
      <c r="N331" s="230"/>
      <c r="O331" s="230"/>
      <c r="P331" s="230"/>
      <c r="Q331" s="230"/>
      <c r="R331" s="230"/>
      <c r="S331" s="230"/>
      <c r="T331" s="230"/>
      <c r="U331" s="230"/>
      <c r="V331" s="230"/>
      <c r="W331" s="230"/>
      <c r="X331" s="230"/>
      <c r="Y331" s="230"/>
      <c r="Z331" s="230"/>
    </row>
    <row r="332" spans="1:26" ht="15.75" customHeight="1">
      <c r="A332" s="230"/>
      <c r="B332" s="230"/>
      <c r="C332" s="230"/>
      <c r="D332" s="230"/>
      <c r="E332" s="230"/>
      <c r="F332" s="230"/>
      <c r="G332" s="230"/>
      <c r="H332" s="230"/>
      <c r="I332" s="230"/>
      <c r="J332" s="230"/>
      <c r="K332" s="230"/>
      <c r="L332" s="230"/>
      <c r="M332" s="230"/>
      <c r="N332" s="230"/>
      <c r="O332" s="230"/>
      <c r="P332" s="230"/>
      <c r="Q332" s="230"/>
      <c r="R332" s="230"/>
      <c r="S332" s="230"/>
      <c r="T332" s="230"/>
      <c r="U332" s="230"/>
      <c r="V332" s="230"/>
      <c r="W332" s="230"/>
      <c r="X332" s="230"/>
      <c r="Y332" s="230"/>
      <c r="Z332" s="230"/>
    </row>
    <row r="333" spans="1:26" ht="15.75" customHeight="1">
      <c r="A333" s="230"/>
      <c r="B333" s="230"/>
      <c r="C333" s="230"/>
      <c r="D333" s="230"/>
      <c r="E333" s="230"/>
      <c r="F333" s="230"/>
      <c r="G333" s="230"/>
      <c r="H333" s="230"/>
      <c r="I333" s="230"/>
      <c r="J333" s="230"/>
      <c r="K333" s="230"/>
      <c r="L333" s="230"/>
      <c r="M333" s="230"/>
      <c r="N333" s="230"/>
      <c r="O333" s="230"/>
      <c r="P333" s="230"/>
      <c r="Q333" s="230"/>
      <c r="R333" s="230"/>
      <c r="S333" s="230"/>
      <c r="T333" s="230"/>
      <c r="U333" s="230"/>
      <c r="V333" s="230"/>
      <c r="W333" s="230"/>
      <c r="X333" s="230"/>
      <c r="Y333" s="230"/>
      <c r="Z333" s="230"/>
    </row>
    <row r="334" spans="1:26" ht="15.75" customHeight="1">
      <c r="A334" s="230"/>
      <c r="B334" s="230"/>
      <c r="C334" s="230"/>
      <c r="D334" s="230"/>
      <c r="E334" s="230"/>
      <c r="F334" s="230"/>
      <c r="G334" s="230"/>
      <c r="H334" s="230"/>
      <c r="I334" s="230"/>
      <c r="J334" s="230"/>
      <c r="K334" s="230"/>
      <c r="L334" s="230"/>
      <c r="M334" s="230"/>
      <c r="N334" s="230"/>
      <c r="O334" s="230"/>
      <c r="P334" s="230"/>
      <c r="Q334" s="230"/>
      <c r="R334" s="230"/>
      <c r="S334" s="230"/>
      <c r="T334" s="230"/>
      <c r="U334" s="230"/>
      <c r="V334" s="230"/>
      <c r="W334" s="230"/>
      <c r="X334" s="230"/>
      <c r="Y334" s="230"/>
      <c r="Z334" s="230"/>
    </row>
    <row r="335" spans="1:26" ht="15.75" customHeight="1">
      <c r="A335" s="230"/>
      <c r="B335" s="230"/>
      <c r="C335" s="230"/>
      <c r="D335" s="230"/>
      <c r="E335" s="230"/>
      <c r="F335" s="230"/>
      <c r="G335" s="230"/>
      <c r="H335" s="230"/>
      <c r="I335" s="230"/>
      <c r="J335" s="230"/>
      <c r="K335" s="230"/>
      <c r="L335" s="230"/>
      <c r="M335" s="230"/>
      <c r="N335" s="230"/>
      <c r="O335" s="230"/>
      <c r="P335" s="230"/>
      <c r="Q335" s="230"/>
      <c r="R335" s="230"/>
      <c r="S335" s="230"/>
      <c r="T335" s="230"/>
      <c r="U335" s="230"/>
      <c r="V335" s="230"/>
      <c r="W335" s="230"/>
      <c r="X335" s="230"/>
      <c r="Y335" s="230"/>
      <c r="Z335" s="230"/>
    </row>
    <row r="336" spans="1:26" ht="15.75" customHeight="1">
      <c r="A336" s="230"/>
      <c r="B336" s="230"/>
      <c r="C336" s="230"/>
      <c r="D336" s="230"/>
      <c r="E336" s="230"/>
      <c r="F336" s="230"/>
      <c r="G336" s="230"/>
      <c r="H336" s="230"/>
      <c r="I336" s="230"/>
      <c r="J336" s="230"/>
      <c r="K336" s="230"/>
      <c r="L336" s="230"/>
      <c r="M336" s="230"/>
      <c r="N336" s="230"/>
      <c r="O336" s="230"/>
      <c r="P336" s="230"/>
      <c r="Q336" s="230"/>
      <c r="R336" s="230"/>
      <c r="S336" s="230"/>
      <c r="T336" s="230"/>
      <c r="U336" s="230"/>
      <c r="V336" s="230"/>
      <c r="W336" s="230"/>
      <c r="X336" s="230"/>
      <c r="Y336" s="230"/>
      <c r="Z336" s="230"/>
    </row>
    <row r="337" spans="1:26" ht="15.75" customHeight="1">
      <c r="A337" s="230"/>
      <c r="B337" s="230"/>
      <c r="C337" s="230"/>
      <c r="D337" s="230"/>
      <c r="E337" s="230"/>
      <c r="F337" s="230"/>
      <c r="G337" s="230"/>
      <c r="H337" s="230"/>
      <c r="I337" s="230"/>
      <c r="J337" s="230"/>
      <c r="K337" s="230"/>
      <c r="L337" s="230"/>
      <c r="M337" s="230"/>
      <c r="N337" s="230"/>
      <c r="O337" s="230"/>
      <c r="P337" s="230"/>
      <c r="Q337" s="230"/>
      <c r="R337" s="230"/>
      <c r="S337" s="230"/>
      <c r="T337" s="230"/>
      <c r="U337" s="230"/>
      <c r="V337" s="230"/>
      <c r="W337" s="230"/>
      <c r="X337" s="230"/>
      <c r="Y337" s="230"/>
      <c r="Z337" s="230"/>
    </row>
    <row r="338" spans="1:26" ht="15.75" customHeight="1">
      <c r="A338" s="230"/>
      <c r="B338" s="230"/>
      <c r="C338" s="230"/>
      <c r="D338" s="230"/>
      <c r="E338" s="230"/>
      <c r="F338" s="230"/>
      <c r="G338" s="230"/>
      <c r="H338" s="230"/>
      <c r="I338" s="230"/>
      <c r="J338" s="230"/>
      <c r="K338" s="230"/>
      <c r="L338" s="230"/>
      <c r="M338" s="230"/>
      <c r="N338" s="230"/>
      <c r="O338" s="230"/>
      <c r="P338" s="230"/>
      <c r="Q338" s="230"/>
      <c r="R338" s="230"/>
      <c r="S338" s="230"/>
      <c r="T338" s="230"/>
      <c r="U338" s="230"/>
      <c r="V338" s="230"/>
      <c r="W338" s="230"/>
      <c r="X338" s="230"/>
      <c r="Y338" s="230"/>
      <c r="Z338" s="230"/>
    </row>
    <row r="339" spans="1:26" ht="15.75" customHeight="1">
      <c r="A339" s="230"/>
      <c r="B339" s="230"/>
      <c r="C339" s="230"/>
      <c r="D339" s="230"/>
      <c r="E339" s="230"/>
      <c r="F339" s="230"/>
      <c r="G339" s="230"/>
      <c r="H339" s="230"/>
      <c r="I339" s="230"/>
      <c r="J339" s="230"/>
      <c r="K339" s="230"/>
      <c r="L339" s="230"/>
      <c r="M339" s="230"/>
      <c r="N339" s="230"/>
      <c r="O339" s="230"/>
      <c r="P339" s="230"/>
      <c r="Q339" s="230"/>
      <c r="R339" s="230"/>
      <c r="S339" s="230"/>
      <c r="T339" s="230"/>
      <c r="U339" s="230"/>
      <c r="V339" s="230"/>
      <c r="W339" s="230"/>
      <c r="X339" s="230"/>
      <c r="Y339" s="230"/>
      <c r="Z339" s="230"/>
    </row>
    <row r="340" spans="1:26" ht="15.75" customHeight="1">
      <c r="A340" s="230"/>
      <c r="B340" s="230"/>
      <c r="C340" s="230"/>
      <c r="D340" s="230"/>
      <c r="E340" s="230"/>
      <c r="F340" s="230"/>
      <c r="G340" s="230"/>
      <c r="H340" s="230"/>
      <c r="I340" s="230"/>
      <c r="J340" s="230"/>
      <c r="K340" s="230"/>
      <c r="L340" s="230"/>
      <c r="M340" s="230"/>
      <c r="N340" s="230"/>
      <c r="O340" s="230"/>
      <c r="P340" s="230"/>
      <c r="Q340" s="230"/>
      <c r="R340" s="230"/>
      <c r="S340" s="230"/>
      <c r="T340" s="230"/>
      <c r="U340" s="230"/>
      <c r="V340" s="230"/>
      <c r="W340" s="230"/>
      <c r="X340" s="230"/>
      <c r="Y340" s="230"/>
      <c r="Z340" s="230"/>
    </row>
    <row r="341" spans="1:26" ht="15.75" customHeight="1">
      <c r="A341" s="230"/>
      <c r="B341" s="230"/>
      <c r="C341" s="230"/>
      <c r="D341" s="230"/>
      <c r="E341" s="230"/>
      <c r="F341" s="230"/>
      <c r="G341" s="230"/>
      <c r="H341" s="230"/>
      <c r="I341" s="230"/>
      <c r="J341" s="230"/>
      <c r="K341" s="230"/>
      <c r="L341" s="230"/>
      <c r="M341" s="230"/>
      <c r="N341" s="230"/>
      <c r="O341" s="230"/>
      <c r="P341" s="230"/>
      <c r="Q341" s="230"/>
      <c r="R341" s="230"/>
      <c r="S341" s="230"/>
      <c r="T341" s="230"/>
      <c r="U341" s="230"/>
      <c r="V341" s="230"/>
      <c r="W341" s="230"/>
      <c r="X341" s="230"/>
      <c r="Y341" s="230"/>
      <c r="Z341" s="230"/>
    </row>
    <row r="342" spans="1:26" ht="15.75" customHeight="1">
      <c r="A342" s="230"/>
      <c r="B342" s="230"/>
      <c r="C342" s="230"/>
      <c r="D342" s="230"/>
      <c r="E342" s="230"/>
      <c r="F342" s="230"/>
      <c r="G342" s="230"/>
      <c r="H342" s="230"/>
      <c r="I342" s="230"/>
      <c r="J342" s="230"/>
      <c r="K342" s="230"/>
      <c r="L342" s="230"/>
      <c r="M342" s="230"/>
      <c r="N342" s="230"/>
      <c r="O342" s="230"/>
      <c r="P342" s="230"/>
      <c r="Q342" s="230"/>
      <c r="R342" s="230"/>
      <c r="S342" s="230"/>
      <c r="T342" s="230"/>
      <c r="U342" s="230"/>
      <c r="V342" s="230"/>
      <c r="W342" s="230"/>
      <c r="X342" s="230"/>
      <c r="Y342" s="230"/>
      <c r="Z342" s="230"/>
    </row>
    <row r="343" spans="1:26" ht="15.75" customHeight="1">
      <c r="A343" s="230"/>
      <c r="B343" s="230"/>
      <c r="C343" s="230"/>
      <c r="D343" s="230"/>
      <c r="E343" s="230"/>
      <c r="F343" s="230"/>
      <c r="G343" s="230"/>
      <c r="H343" s="230"/>
      <c r="I343" s="230"/>
      <c r="J343" s="230"/>
      <c r="K343" s="230"/>
      <c r="L343" s="230"/>
      <c r="M343" s="230"/>
      <c r="N343" s="230"/>
      <c r="O343" s="230"/>
      <c r="P343" s="230"/>
      <c r="Q343" s="230"/>
      <c r="R343" s="230"/>
      <c r="S343" s="230"/>
      <c r="T343" s="230"/>
      <c r="U343" s="230"/>
      <c r="V343" s="230"/>
      <c r="W343" s="230"/>
      <c r="X343" s="230"/>
      <c r="Y343" s="230"/>
      <c r="Z343" s="230"/>
    </row>
    <row r="344" spans="1:26" ht="15.75" customHeight="1">
      <c r="A344" s="230"/>
      <c r="B344" s="230"/>
      <c r="C344" s="230"/>
      <c r="D344" s="230"/>
      <c r="E344" s="230"/>
      <c r="F344" s="230"/>
      <c r="G344" s="230"/>
      <c r="H344" s="230"/>
      <c r="I344" s="230"/>
      <c r="J344" s="230"/>
      <c r="K344" s="230"/>
      <c r="L344" s="230"/>
      <c r="M344" s="230"/>
      <c r="N344" s="230"/>
      <c r="O344" s="230"/>
      <c r="P344" s="230"/>
      <c r="Q344" s="230"/>
      <c r="R344" s="230"/>
      <c r="S344" s="230"/>
      <c r="T344" s="230"/>
      <c r="U344" s="230"/>
      <c r="V344" s="230"/>
      <c r="W344" s="230"/>
      <c r="X344" s="230"/>
      <c r="Y344" s="230"/>
      <c r="Z344" s="230"/>
    </row>
    <row r="345" spans="1:26" ht="15.75" customHeight="1">
      <c r="A345" s="230"/>
      <c r="B345" s="230"/>
      <c r="C345" s="230"/>
      <c r="D345" s="230"/>
      <c r="E345" s="230"/>
      <c r="F345" s="230"/>
      <c r="G345" s="230"/>
      <c r="H345" s="230"/>
      <c r="I345" s="230"/>
      <c r="J345" s="230"/>
      <c r="K345" s="230"/>
      <c r="L345" s="230"/>
      <c r="M345" s="230"/>
      <c r="N345" s="230"/>
      <c r="O345" s="230"/>
      <c r="P345" s="230"/>
      <c r="Q345" s="230"/>
      <c r="R345" s="230"/>
      <c r="S345" s="230"/>
      <c r="T345" s="230"/>
      <c r="U345" s="230"/>
      <c r="V345" s="230"/>
      <c r="W345" s="230"/>
      <c r="X345" s="230"/>
      <c r="Y345" s="230"/>
      <c r="Z345" s="230"/>
    </row>
    <row r="346" spans="1:26" ht="15.75" customHeight="1">
      <c r="A346" s="230"/>
      <c r="B346" s="230"/>
      <c r="C346" s="230"/>
      <c r="D346" s="230"/>
      <c r="E346" s="230"/>
      <c r="F346" s="230"/>
      <c r="G346" s="230"/>
      <c r="H346" s="230"/>
      <c r="I346" s="230"/>
      <c r="J346" s="230"/>
      <c r="K346" s="230"/>
      <c r="L346" s="230"/>
      <c r="M346" s="230"/>
      <c r="N346" s="230"/>
      <c r="O346" s="230"/>
      <c r="P346" s="230"/>
      <c r="Q346" s="230"/>
      <c r="R346" s="230"/>
      <c r="S346" s="230"/>
      <c r="T346" s="230"/>
      <c r="U346" s="230"/>
      <c r="V346" s="230"/>
      <c r="W346" s="230"/>
      <c r="X346" s="230"/>
      <c r="Y346" s="230"/>
      <c r="Z346" s="230"/>
    </row>
    <row r="347" spans="1:26" ht="15.75" customHeight="1">
      <c r="A347" s="230"/>
      <c r="B347" s="230"/>
      <c r="C347" s="230"/>
      <c r="D347" s="230"/>
      <c r="E347" s="230"/>
      <c r="F347" s="230"/>
      <c r="G347" s="230"/>
      <c r="H347" s="230"/>
      <c r="I347" s="230"/>
      <c r="J347" s="230"/>
      <c r="K347" s="230"/>
      <c r="L347" s="230"/>
      <c r="M347" s="230"/>
      <c r="N347" s="230"/>
      <c r="O347" s="230"/>
      <c r="P347" s="230"/>
      <c r="Q347" s="230"/>
      <c r="R347" s="230"/>
      <c r="S347" s="230"/>
      <c r="T347" s="230"/>
      <c r="U347" s="230"/>
      <c r="V347" s="230"/>
      <c r="W347" s="230"/>
      <c r="X347" s="230"/>
      <c r="Y347" s="230"/>
      <c r="Z347" s="230"/>
    </row>
    <row r="348" spans="1:26" ht="15.75" customHeight="1">
      <c r="A348" s="230"/>
      <c r="B348" s="230"/>
      <c r="C348" s="230"/>
      <c r="D348" s="230"/>
      <c r="E348" s="230"/>
      <c r="F348" s="230"/>
      <c r="G348" s="230"/>
      <c r="H348" s="230"/>
      <c r="I348" s="230"/>
      <c r="J348" s="230"/>
      <c r="K348" s="230"/>
      <c r="L348" s="230"/>
      <c r="M348" s="230"/>
      <c r="N348" s="230"/>
      <c r="O348" s="230"/>
      <c r="P348" s="230"/>
      <c r="Q348" s="230"/>
      <c r="R348" s="230"/>
      <c r="S348" s="230"/>
      <c r="T348" s="230"/>
      <c r="U348" s="230"/>
      <c r="V348" s="230"/>
      <c r="W348" s="230"/>
      <c r="X348" s="230"/>
      <c r="Y348" s="230"/>
      <c r="Z348" s="230"/>
    </row>
    <row r="349" spans="1:26" ht="15.75" customHeight="1">
      <c r="A349" s="230"/>
      <c r="B349" s="230"/>
      <c r="C349" s="230"/>
      <c r="D349" s="230"/>
      <c r="E349" s="230"/>
      <c r="F349" s="230"/>
      <c r="G349" s="230"/>
      <c r="H349" s="230"/>
      <c r="I349" s="230"/>
      <c r="J349" s="230"/>
      <c r="K349" s="230"/>
      <c r="L349" s="230"/>
      <c r="M349" s="230"/>
      <c r="N349" s="230"/>
      <c r="O349" s="230"/>
      <c r="P349" s="230"/>
      <c r="Q349" s="230"/>
      <c r="R349" s="230"/>
      <c r="S349" s="230"/>
      <c r="T349" s="230"/>
      <c r="U349" s="230"/>
      <c r="V349" s="230"/>
      <c r="W349" s="230"/>
      <c r="X349" s="230"/>
      <c r="Y349" s="230"/>
      <c r="Z349" s="230"/>
    </row>
    <row r="350" spans="1:26" ht="15.75" customHeight="1">
      <c r="A350" s="230"/>
      <c r="B350" s="230"/>
      <c r="C350" s="230"/>
      <c r="D350" s="230"/>
      <c r="E350" s="230"/>
      <c r="F350" s="230"/>
      <c r="G350" s="230"/>
      <c r="H350" s="230"/>
      <c r="I350" s="230"/>
      <c r="J350" s="230"/>
      <c r="K350" s="230"/>
      <c r="L350" s="230"/>
      <c r="M350" s="230"/>
      <c r="N350" s="230"/>
      <c r="O350" s="230"/>
      <c r="P350" s="230"/>
      <c r="Q350" s="230"/>
      <c r="R350" s="230"/>
      <c r="S350" s="230"/>
      <c r="T350" s="230"/>
      <c r="U350" s="230"/>
      <c r="V350" s="230"/>
      <c r="W350" s="230"/>
      <c r="X350" s="230"/>
      <c r="Y350" s="230"/>
      <c r="Z350" s="230"/>
    </row>
    <row r="351" spans="1:26" ht="15.75" customHeight="1">
      <c r="A351" s="230"/>
      <c r="B351" s="230"/>
      <c r="C351" s="230"/>
      <c r="D351" s="230"/>
      <c r="E351" s="230"/>
      <c r="F351" s="230"/>
      <c r="G351" s="230"/>
      <c r="H351" s="230"/>
      <c r="I351" s="230"/>
      <c r="J351" s="230"/>
      <c r="K351" s="230"/>
      <c r="L351" s="230"/>
      <c r="M351" s="230"/>
      <c r="N351" s="230"/>
      <c r="O351" s="230"/>
      <c r="P351" s="230"/>
      <c r="Q351" s="230"/>
      <c r="R351" s="230"/>
      <c r="S351" s="230"/>
      <c r="T351" s="230"/>
      <c r="U351" s="230"/>
      <c r="V351" s="230"/>
      <c r="W351" s="230"/>
      <c r="X351" s="230"/>
      <c r="Y351" s="230"/>
      <c r="Z351" s="230"/>
    </row>
    <row r="352" spans="1:26" ht="15.75" customHeight="1">
      <c r="A352" s="230"/>
      <c r="B352" s="230"/>
      <c r="C352" s="230"/>
      <c r="D352" s="230"/>
      <c r="E352" s="230"/>
      <c r="F352" s="230"/>
      <c r="G352" s="230"/>
      <c r="H352" s="230"/>
      <c r="I352" s="230"/>
      <c r="J352" s="230"/>
      <c r="K352" s="230"/>
      <c r="L352" s="230"/>
      <c r="M352" s="230"/>
      <c r="N352" s="230"/>
      <c r="O352" s="230"/>
      <c r="P352" s="230"/>
      <c r="Q352" s="230"/>
      <c r="R352" s="230"/>
      <c r="S352" s="230"/>
      <c r="T352" s="230"/>
      <c r="U352" s="230"/>
      <c r="V352" s="230"/>
      <c r="W352" s="230"/>
      <c r="X352" s="230"/>
      <c r="Y352" s="230"/>
      <c r="Z352" s="230"/>
    </row>
    <row r="353" spans="1:26" ht="15.75" customHeight="1">
      <c r="A353" s="230"/>
      <c r="B353" s="230"/>
      <c r="C353" s="230"/>
      <c r="D353" s="230"/>
      <c r="E353" s="230"/>
      <c r="F353" s="230"/>
      <c r="G353" s="230"/>
      <c r="H353" s="230"/>
      <c r="I353" s="230"/>
      <c r="J353" s="230"/>
      <c r="K353" s="230"/>
      <c r="L353" s="230"/>
      <c r="M353" s="230"/>
      <c r="N353" s="230"/>
      <c r="O353" s="230"/>
      <c r="P353" s="230"/>
      <c r="Q353" s="230"/>
      <c r="R353" s="230"/>
      <c r="S353" s="230"/>
      <c r="T353" s="230"/>
      <c r="U353" s="230"/>
      <c r="V353" s="230"/>
      <c r="W353" s="230"/>
      <c r="X353" s="230"/>
      <c r="Y353" s="230"/>
      <c r="Z353" s="230"/>
    </row>
    <row r="354" spans="1:26" ht="15.75" customHeight="1">
      <c r="A354" s="230"/>
      <c r="B354" s="230"/>
      <c r="C354" s="230"/>
      <c r="D354" s="230"/>
      <c r="E354" s="230"/>
      <c r="F354" s="230"/>
      <c r="G354" s="230"/>
      <c r="H354" s="230"/>
      <c r="I354" s="230"/>
      <c r="J354" s="230"/>
      <c r="K354" s="230"/>
      <c r="L354" s="230"/>
      <c r="M354" s="230"/>
      <c r="N354" s="230"/>
      <c r="O354" s="230"/>
      <c r="P354" s="230"/>
      <c r="Q354" s="230"/>
      <c r="R354" s="230"/>
      <c r="S354" s="230"/>
      <c r="T354" s="230"/>
      <c r="U354" s="230"/>
      <c r="V354" s="230"/>
      <c r="W354" s="230"/>
      <c r="X354" s="230"/>
      <c r="Y354" s="230"/>
      <c r="Z354" s="230"/>
    </row>
    <row r="355" spans="1:26" ht="15.75" customHeight="1">
      <c r="A355" s="230"/>
      <c r="B355" s="230"/>
      <c r="C355" s="230"/>
      <c r="D355" s="230"/>
      <c r="E355" s="230"/>
      <c r="F355" s="230"/>
      <c r="G355" s="230"/>
      <c r="H355" s="230"/>
      <c r="I355" s="230"/>
      <c r="J355" s="230"/>
      <c r="K355" s="230"/>
      <c r="L355" s="230"/>
      <c r="M355" s="230"/>
      <c r="N355" s="230"/>
      <c r="O355" s="230"/>
      <c r="P355" s="230"/>
      <c r="Q355" s="230"/>
      <c r="R355" s="230"/>
      <c r="S355" s="230"/>
      <c r="T355" s="230"/>
      <c r="U355" s="230"/>
      <c r="V355" s="230"/>
      <c r="W355" s="230"/>
      <c r="X355" s="230"/>
      <c r="Y355" s="230"/>
      <c r="Z355" s="230"/>
    </row>
    <row r="356" spans="1:26" ht="15.75" customHeight="1">
      <c r="A356" s="230"/>
      <c r="B356" s="230"/>
      <c r="C356" s="230"/>
      <c r="D356" s="230"/>
      <c r="E356" s="230"/>
      <c r="F356" s="230"/>
      <c r="G356" s="230"/>
      <c r="H356" s="230"/>
      <c r="I356" s="230"/>
      <c r="J356" s="230"/>
      <c r="K356" s="230"/>
      <c r="L356" s="230"/>
      <c r="M356" s="230"/>
      <c r="N356" s="230"/>
      <c r="O356" s="230"/>
      <c r="P356" s="230"/>
      <c r="Q356" s="230"/>
      <c r="R356" s="230"/>
      <c r="S356" s="230"/>
      <c r="T356" s="230"/>
      <c r="U356" s="230"/>
      <c r="V356" s="230"/>
      <c r="W356" s="230"/>
      <c r="X356" s="230"/>
      <c r="Y356" s="230"/>
      <c r="Z356" s="230"/>
    </row>
    <row r="357" spans="1:26" ht="15.75" customHeight="1">
      <c r="A357" s="230"/>
      <c r="B357" s="230"/>
      <c r="C357" s="230"/>
      <c r="D357" s="230"/>
      <c r="E357" s="230"/>
      <c r="F357" s="230"/>
      <c r="G357" s="230"/>
      <c r="H357" s="230"/>
      <c r="I357" s="230"/>
      <c r="J357" s="230"/>
      <c r="K357" s="230"/>
      <c r="L357" s="230"/>
      <c r="M357" s="230"/>
      <c r="N357" s="230"/>
      <c r="O357" s="230"/>
      <c r="P357" s="230"/>
      <c r="Q357" s="230"/>
      <c r="R357" s="230"/>
      <c r="S357" s="230"/>
      <c r="T357" s="230"/>
      <c r="U357" s="230"/>
      <c r="V357" s="230"/>
      <c r="W357" s="230"/>
      <c r="X357" s="230"/>
      <c r="Y357" s="230"/>
      <c r="Z357" s="230"/>
    </row>
    <row r="358" spans="1:26" ht="15.75" customHeight="1">
      <c r="A358" s="230"/>
      <c r="B358" s="230"/>
      <c r="C358" s="230"/>
      <c r="D358" s="230"/>
      <c r="E358" s="230"/>
      <c r="F358" s="230"/>
      <c r="G358" s="230"/>
      <c r="H358" s="230"/>
      <c r="I358" s="230"/>
      <c r="J358" s="230"/>
      <c r="K358" s="230"/>
      <c r="L358" s="230"/>
      <c r="M358" s="230"/>
      <c r="N358" s="230"/>
      <c r="O358" s="230"/>
      <c r="P358" s="230"/>
      <c r="Q358" s="230"/>
      <c r="R358" s="230"/>
      <c r="S358" s="230"/>
      <c r="T358" s="230"/>
      <c r="U358" s="230"/>
      <c r="V358" s="230"/>
      <c r="W358" s="230"/>
      <c r="X358" s="230"/>
      <c r="Y358" s="230"/>
      <c r="Z358" s="230"/>
    </row>
    <row r="359" spans="1:26" ht="15.75" customHeight="1">
      <c r="A359" s="230"/>
      <c r="B359" s="230"/>
      <c r="C359" s="230"/>
      <c r="D359" s="230"/>
      <c r="E359" s="230"/>
      <c r="F359" s="230"/>
      <c r="G359" s="230"/>
      <c r="H359" s="230"/>
      <c r="I359" s="230"/>
      <c r="J359" s="230"/>
      <c r="K359" s="230"/>
      <c r="L359" s="230"/>
      <c r="M359" s="230"/>
      <c r="N359" s="230"/>
      <c r="O359" s="230"/>
      <c r="P359" s="230"/>
      <c r="Q359" s="230"/>
      <c r="R359" s="230"/>
      <c r="S359" s="230"/>
      <c r="T359" s="230"/>
      <c r="U359" s="230"/>
      <c r="V359" s="230"/>
      <c r="W359" s="230"/>
      <c r="X359" s="230"/>
      <c r="Y359" s="230"/>
      <c r="Z359" s="230"/>
    </row>
    <row r="360" spans="1:26" ht="15.75" customHeight="1">
      <c r="A360" s="230"/>
      <c r="B360" s="230"/>
      <c r="C360" s="230"/>
      <c r="D360" s="230"/>
      <c r="E360" s="230"/>
      <c r="F360" s="230"/>
      <c r="G360" s="230"/>
      <c r="H360" s="230"/>
      <c r="I360" s="230"/>
      <c r="J360" s="230"/>
      <c r="K360" s="230"/>
      <c r="L360" s="230"/>
      <c r="M360" s="230"/>
      <c r="N360" s="230"/>
      <c r="O360" s="230"/>
      <c r="P360" s="230"/>
      <c r="Q360" s="230"/>
      <c r="R360" s="230"/>
      <c r="S360" s="230"/>
      <c r="T360" s="230"/>
      <c r="U360" s="230"/>
      <c r="V360" s="230"/>
      <c r="W360" s="230"/>
      <c r="X360" s="230"/>
      <c r="Y360" s="230"/>
      <c r="Z360" s="230"/>
    </row>
    <row r="361" spans="1:26" ht="15.75" customHeight="1">
      <c r="A361" s="230"/>
      <c r="B361" s="230"/>
      <c r="C361" s="230"/>
      <c r="D361" s="230"/>
      <c r="E361" s="230"/>
      <c r="F361" s="230"/>
      <c r="G361" s="230"/>
      <c r="H361" s="230"/>
      <c r="I361" s="230"/>
      <c r="J361" s="230"/>
      <c r="K361" s="230"/>
      <c r="L361" s="230"/>
      <c r="M361" s="230"/>
      <c r="N361" s="230"/>
      <c r="O361" s="230"/>
      <c r="P361" s="230"/>
      <c r="Q361" s="230"/>
      <c r="R361" s="230"/>
      <c r="S361" s="230"/>
      <c r="T361" s="230"/>
      <c r="U361" s="230"/>
      <c r="V361" s="230"/>
      <c r="W361" s="230"/>
      <c r="X361" s="230"/>
      <c r="Y361" s="230"/>
      <c r="Z361" s="230"/>
    </row>
    <row r="362" spans="1:26" ht="15.75" customHeight="1">
      <c r="A362" s="230"/>
      <c r="B362" s="230"/>
      <c r="C362" s="230"/>
      <c r="D362" s="230"/>
      <c r="E362" s="230"/>
      <c r="F362" s="230"/>
      <c r="G362" s="230"/>
      <c r="H362" s="230"/>
      <c r="I362" s="230"/>
      <c r="J362" s="230"/>
      <c r="K362" s="230"/>
      <c r="L362" s="230"/>
      <c r="M362" s="230"/>
      <c r="N362" s="230"/>
      <c r="O362" s="230"/>
      <c r="P362" s="230"/>
      <c r="Q362" s="230"/>
      <c r="R362" s="230"/>
      <c r="S362" s="230"/>
      <c r="T362" s="230"/>
      <c r="U362" s="230"/>
      <c r="V362" s="230"/>
      <c r="W362" s="230"/>
      <c r="X362" s="230"/>
      <c r="Y362" s="230"/>
      <c r="Z362" s="230"/>
    </row>
    <row r="363" spans="1:26" ht="15.75" customHeight="1">
      <c r="A363" s="230"/>
      <c r="B363" s="230"/>
      <c r="C363" s="230"/>
      <c r="D363" s="230"/>
      <c r="E363" s="230"/>
      <c r="F363" s="230"/>
      <c r="G363" s="230"/>
      <c r="H363" s="230"/>
      <c r="I363" s="230"/>
      <c r="J363" s="230"/>
      <c r="K363" s="230"/>
      <c r="L363" s="230"/>
      <c r="M363" s="230"/>
      <c r="N363" s="230"/>
      <c r="O363" s="230"/>
      <c r="P363" s="230"/>
      <c r="Q363" s="230"/>
      <c r="R363" s="230"/>
      <c r="S363" s="230"/>
      <c r="T363" s="230"/>
      <c r="U363" s="230"/>
      <c r="V363" s="230"/>
      <c r="W363" s="230"/>
      <c r="X363" s="230"/>
      <c r="Y363" s="230"/>
      <c r="Z363" s="230"/>
    </row>
    <row r="364" spans="1:26" ht="15.75" customHeight="1">
      <c r="A364" s="230"/>
      <c r="B364" s="230"/>
      <c r="C364" s="230"/>
      <c r="D364" s="230"/>
      <c r="E364" s="230"/>
      <c r="F364" s="230"/>
      <c r="G364" s="230"/>
      <c r="H364" s="230"/>
      <c r="I364" s="230"/>
      <c r="J364" s="230"/>
      <c r="K364" s="230"/>
      <c r="L364" s="230"/>
      <c r="M364" s="230"/>
      <c r="N364" s="230"/>
      <c r="O364" s="230"/>
      <c r="P364" s="230"/>
      <c r="Q364" s="230"/>
      <c r="R364" s="230"/>
      <c r="S364" s="230"/>
      <c r="T364" s="230"/>
      <c r="U364" s="230"/>
      <c r="V364" s="230"/>
      <c r="W364" s="230"/>
      <c r="X364" s="230"/>
      <c r="Y364" s="230"/>
      <c r="Z364" s="230"/>
    </row>
    <row r="365" spans="1:26" ht="15.75" customHeight="1">
      <c r="A365" s="230"/>
      <c r="B365" s="230"/>
      <c r="C365" s="230"/>
      <c r="D365" s="230"/>
      <c r="E365" s="230"/>
      <c r="F365" s="230"/>
      <c r="G365" s="230"/>
      <c r="H365" s="230"/>
      <c r="I365" s="230"/>
      <c r="J365" s="230"/>
      <c r="K365" s="230"/>
      <c r="L365" s="230"/>
      <c r="M365" s="230"/>
      <c r="N365" s="230"/>
      <c r="O365" s="230"/>
      <c r="P365" s="230"/>
      <c r="Q365" s="230"/>
      <c r="R365" s="230"/>
      <c r="S365" s="230"/>
      <c r="T365" s="230"/>
      <c r="U365" s="230"/>
      <c r="V365" s="230"/>
      <c r="W365" s="230"/>
      <c r="X365" s="230"/>
      <c r="Y365" s="230"/>
      <c r="Z365" s="230"/>
    </row>
    <row r="366" spans="1:26" ht="15.75" customHeight="1">
      <c r="A366" s="230"/>
      <c r="B366" s="230"/>
      <c r="C366" s="230"/>
      <c r="D366" s="230"/>
      <c r="E366" s="230"/>
      <c r="F366" s="230"/>
      <c r="G366" s="230"/>
      <c r="H366" s="230"/>
      <c r="I366" s="230"/>
      <c r="J366" s="230"/>
      <c r="K366" s="230"/>
      <c r="L366" s="230"/>
      <c r="M366" s="230"/>
      <c r="N366" s="230"/>
      <c r="O366" s="230"/>
      <c r="P366" s="230"/>
      <c r="Q366" s="230"/>
      <c r="R366" s="230"/>
      <c r="S366" s="230"/>
      <c r="T366" s="230"/>
      <c r="U366" s="230"/>
      <c r="V366" s="230"/>
      <c r="W366" s="230"/>
      <c r="X366" s="230"/>
      <c r="Y366" s="230"/>
      <c r="Z366" s="230"/>
    </row>
    <row r="367" spans="1:26" ht="15.75" customHeight="1">
      <c r="A367" s="230"/>
      <c r="B367" s="230"/>
      <c r="C367" s="230"/>
      <c r="D367" s="230"/>
      <c r="E367" s="230"/>
      <c r="F367" s="230"/>
      <c r="G367" s="230"/>
      <c r="H367" s="230"/>
      <c r="I367" s="230"/>
      <c r="J367" s="230"/>
      <c r="K367" s="230"/>
      <c r="L367" s="230"/>
      <c r="M367" s="230"/>
      <c r="N367" s="230"/>
      <c r="O367" s="230"/>
      <c r="P367" s="230"/>
      <c r="Q367" s="230"/>
      <c r="R367" s="230"/>
      <c r="S367" s="230"/>
      <c r="T367" s="230"/>
      <c r="U367" s="230"/>
      <c r="V367" s="230"/>
      <c r="W367" s="230"/>
      <c r="X367" s="230"/>
      <c r="Y367" s="230"/>
      <c r="Z367" s="230"/>
    </row>
    <row r="368" spans="1:26" ht="15.75" customHeight="1">
      <c r="A368" s="230"/>
      <c r="B368" s="230"/>
      <c r="C368" s="230"/>
      <c r="D368" s="230"/>
      <c r="E368" s="230"/>
      <c r="F368" s="230"/>
      <c r="G368" s="230"/>
      <c r="H368" s="230"/>
      <c r="I368" s="230"/>
      <c r="J368" s="230"/>
      <c r="K368" s="230"/>
      <c r="L368" s="230"/>
      <c r="M368" s="230"/>
      <c r="N368" s="230"/>
      <c r="O368" s="230"/>
      <c r="P368" s="230"/>
      <c r="Q368" s="230"/>
      <c r="R368" s="230"/>
      <c r="S368" s="230"/>
      <c r="T368" s="230"/>
      <c r="U368" s="230"/>
      <c r="V368" s="230"/>
      <c r="W368" s="230"/>
      <c r="X368" s="230"/>
      <c r="Y368" s="230"/>
      <c r="Z368" s="230"/>
    </row>
    <row r="369" spans="1:26" ht="15.75" customHeight="1">
      <c r="A369" s="230"/>
      <c r="B369" s="230"/>
      <c r="C369" s="230"/>
      <c r="D369" s="230"/>
      <c r="E369" s="230"/>
      <c r="F369" s="230"/>
      <c r="G369" s="230"/>
      <c r="H369" s="230"/>
      <c r="I369" s="230"/>
      <c r="J369" s="230"/>
      <c r="K369" s="230"/>
      <c r="L369" s="230"/>
      <c r="M369" s="230"/>
      <c r="N369" s="230"/>
      <c r="O369" s="230"/>
      <c r="P369" s="230"/>
      <c r="Q369" s="230"/>
      <c r="R369" s="230"/>
      <c r="S369" s="230"/>
      <c r="T369" s="230"/>
      <c r="U369" s="230"/>
      <c r="V369" s="230"/>
      <c r="W369" s="230"/>
      <c r="X369" s="230"/>
      <c r="Y369" s="230"/>
      <c r="Z369" s="230"/>
    </row>
    <row r="370" spans="1:26" ht="15.75" customHeight="1">
      <c r="A370" s="230"/>
      <c r="B370" s="230"/>
      <c r="C370" s="230"/>
      <c r="D370" s="230"/>
      <c r="E370" s="230"/>
      <c r="F370" s="230"/>
      <c r="G370" s="230"/>
      <c r="H370" s="230"/>
      <c r="I370" s="230"/>
      <c r="J370" s="230"/>
      <c r="K370" s="230"/>
      <c r="L370" s="230"/>
      <c r="M370" s="230"/>
      <c r="N370" s="230"/>
      <c r="O370" s="230"/>
      <c r="P370" s="230"/>
      <c r="Q370" s="230"/>
      <c r="R370" s="230"/>
      <c r="S370" s="230"/>
      <c r="T370" s="230"/>
      <c r="U370" s="230"/>
      <c r="V370" s="230"/>
      <c r="W370" s="230"/>
      <c r="X370" s="230"/>
      <c r="Y370" s="230"/>
      <c r="Z370" s="230"/>
    </row>
    <row r="371" spans="1:26" ht="15.75" customHeight="1">
      <c r="A371" s="230"/>
      <c r="B371" s="230"/>
      <c r="C371" s="230"/>
      <c r="D371" s="230"/>
      <c r="E371" s="230"/>
      <c r="F371" s="230"/>
      <c r="G371" s="230"/>
      <c r="H371" s="230"/>
      <c r="I371" s="230"/>
      <c r="J371" s="230"/>
      <c r="K371" s="230"/>
      <c r="L371" s="230"/>
      <c r="M371" s="230"/>
      <c r="N371" s="230"/>
      <c r="O371" s="230"/>
      <c r="P371" s="230"/>
      <c r="Q371" s="230"/>
      <c r="R371" s="230"/>
      <c r="S371" s="230"/>
      <c r="T371" s="230"/>
      <c r="U371" s="230"/>
      <c r="V371" s="230"/>
      <c r="W371" s="230"/>
      <c r="X371" s="230"/>
      <c r="Y371" s="230"/>
      <c r="Z371" s="230"/>
    </row>
    <row r="372" spans="1:26" ht="15.75" customHeight="1">
      <c r="A372" s="230"/>
      <c r="B372" s="230"/>
      <c r="C372" s="230"/>
      <c r="D372" s="230"/>
      <c r="E372" s="230"/>
      <c r="F372" s="230"/>
      <c r="G372" s="230"/>
      <c r="H372" s="230"/>
      <c r="I372" s="230"/>
      <c r="J372" s="230"/>
      <c r="K372" s="230"/>
      <c r="L372" s="230"/>
      <c r="M372" s="230"/>
      <c r="N372" s="230"/>
      <c r="O372" s="230"/>
      <c r="P372" s="230"/>
      <c r="Q372" s="230"/>
      <c r="R372" s="230"/>
      <c r="S372" s="230"/>
      <c r="T372" s="230"/>
      <c r="U372" s="230"/>
      <c r="V372" s="230"/>
      <c r="W372" s="230"/>
      <c r="X372" s="230"/>
      <c r="Y372" s="230"/>
      <c r="Z372" s="230"/>
    </row>
    <row r="373" spans="1:26" ht="15.75" customHeight="1">
      <c r="A373" s="230"/>
      <c r="B373" s="230"/>
      <c r="C373" s="230"/>
      <c r="D373" s="230"/>
      <c r="E373" s="230"/>
      <c r="F373" s="230"/>
      <c r="G373" s="230"/>
      <c r="H373" s="230"/>
      <c r="I373" s="230"/>
      <c r="J373" s="230"/>
      <c r="K373" s="230"/>
      <c r="L373" s="230"/>
      <c r="M373" s="230"/>
      <c r="N373" s="230"/>
      <c r="O373" s="230"/>
      <c r="P373" s="230"/>
      <c r="Q373" s="230"/>
      <c r="R373" s="230"/>
      <c r="S373" s="230"/>
      <c r="T373" s="230"/>
      <c r="U373" s="230"/>
      <c r="V373" s="230"/>
      <c r="W373" s="230"/>
      <c r="X373" s="230"/>
      <c r="Y373" s="230"/>
      <c r="Z373" s="230"/>
    </row>
    <row r="374" spans="1:26" ht="15.75" customHeight="1">
      <c r="A374" s="230"/>
      <c r="B374" s="230"/>
      <c r="C374" s="230"/>
      <c r="D374" s="230"/>
      <c r="E374" s="230"/>
      <c r="F374" s="230"/>
      <c r="G374" s="230"/>
      <c r="H374" s="230"/>
      <c r="I374" s="230"/>
      <c r="J374" s="230"/>
      <c r="K374" s="230"/>
      <c r="L374" s="230"/>
      <c r="M374" s="230"/>
      <c r="N374" s="230"/>
      <c r="O374" s="230"/>
      <c r="P374" s="230"/>
      <c r="Q374" s="230"/>
      <c r="R374" s="230"/>
      <c r="S374" s="230"/>
      <c r="T374" s="230"/>
      <c r="U374" s="230"/>
      <c r="V374" s="230"/>
      <c r="W374" s="230"/>
      <c r="X374" s="230"/>
      <c r="Y374" s="230"/>
      <c r="Z374" s="230"/>
    </row>
    <row r="375" spans="1:26" ht="15.75" customHeight="1">
      <c r="A375" s="230"/>
      <c r="B375" s="230"/>
      <c r="C375" s="230"/>
      <c r="D375" s="230"/>
      <c r="E375" s="230"/>
      <c r="F375" s="230"/>
      <c r="G375" s="230"/>
      <c r="H375" s="230"/>
      <c r="I375" s="230"/>
      <c r="J375" s="230"/>
      <c r="K375" s="230"/>
      <c r="L375" s="230"/>
      <c r="M375" s="230"/>
      <c r="N375" s="230"/>
      <c r="O375" s="230"/>
      <c r="P375" s="230"/>
      <c r="Q375" s="230"/>
      <c r="R375" s="230"/>
      <c r="S375" s="230"/>
      <c r="T375" s="230"/>
      <c r="U375" s="230"/>
      <c r="V375" s="230"/>
      <c r="W375" s="230"/>
      <c r="X375" s="230"/>
      <c r="Y375" s="230"/>
      <c r="Z375" s="230"/>
    </row>
    <row r="376" spans="1:26" ht="15.75" customHeight="1">
      <c r="A376" s="230"/>
      <c r="B376" s="230"/>
      <c r="C376" s="230"/>
      <c r="D376" s="230"/>
      <c r="E376" s="230"/>
      <c r="F376" s="230"/>
      <c r="G376" s="230"/>
      <c r="H376" s="230"/>
      <c r="I376" s="230"/>
      <c r="J376" s="230"/>
      <c r="K376" s="230"/>
      <c r="L376" s="230"/>
      <c r="M376" s="230"/>
      <c r="N376" s="230"/>
      <c r="O376" s="230"/>
      <c r="P376" s="230"/>
      <c r="Q376" s="230"/>
      <c r="R376" s="230"/>
      <c r="S376" s="230"/>
      <c r="T376" s="230"/>
      <c r="U376" s="230"/>
      <c r="V376" s="230"/>
      <c r="W376" s="230"/>
      <c r="X376" s="230"/>
      <c r="Y376" s="230"/>
      <c r="Z376" s="230"/>
    </row>
    <row r="377" spans="1:26" ht="15.75" customHeight="1">
      <c r="A377" s="230"/>
      <c r="B377" s="230"/>
      <c r="C377" s="230"/>
      <c r="D377" s="230"/>
      <c r="E377" s="230"/>
      <c r="F377" s="230"/>
      <c r="G377" s="230"/>
      <c r="H377" s="230"/>
      <c r="I377" s="230"/>
      <c r="J377" s="230"/>
      <c r="K377" s="230"/>
      <c r="L377" s="230"/>
      <c r="M377" s="230"/>
      <c r="N377" s="230"/>
      <c r="O377" s="230"/>
      <c r="P377" s="230"/>
      <c r="Q377" s="230"/>
      <c r="R377" s="230"/>
      <c r="S377" s="230"/>
      <c r="T377" s="230"/>
      <c r="U377" s="230"/>
      <c r="V377" s="230"/>
      <c r="W377" s="230"/>
      <c r="X377" s="230"/>
      <c r="Y377" s="230"/>
      <c r="Z377" s="230"/>
    </row>
    <row r="378" spans="1:26" ht="15.75" customHeight="1">
      <c r="A378" s="230"/>
      <c r="B378" s="230"/>
      <c r="C378" s="230"/>
      <c r="D378" s="230"/>
      <c r="E378" s="230"/>
      <c r="F378" s="230"/>
      <c r="G378" s="230"/>
      <c r="H378" s="230"/>
      <c r="I378" s="230"/>
      <c r="J378" s="230"/>
      <c r="K378" s="230"/>
      <c r="L378" s="230"/>
      <c r="M378" s="230"/>
      <c r="N378" s="230"/>
      <c r="O378" s="230"/>
      <c r="P378" s="230"/>
      <c r="Q378" s="230"/>
      <c r="R378" s="230"/>
      <c r="S378" s="230"/>
      <c r="T378" s="230"/>
      <c r="U378" s="230"/>
      <c r="V378" s="230"/>
      <c r="W378" s="230"/>
      <c r="X378" s="230"/>
      <c r="Y378" s="230"/>
      <c r="Z378" s="230"/>
    </row>
    <row r="379" spans="1:26" ht="15.75" customHeight="1">
      <c r="A379" s="230"/>
      <c r="B379" s="230"/>
      <c r="C379" s="230"/>
      <c r="D379" s="230"/>
      <c r="E379" s="230"/>
      <c r="F379" s="230"/>
      <c r="G379" s="230"/>
      <c r="H379" s="230"/>
      <c r="I379" s="230"/>
      <c r="J379" s="230"/>
      <c r="K379" s="230"/>
      <c r="L379" s="230"/>
      <c r="M379" s="230"/>
      <c r="N379" s="230"/>
      <c r="O379" s="230"/>
      <c r="P379" s="230"/>
      <c r="Q379" s="230"/>
      <c r="R379" s="230"/>
      <c r="S379" s="230"/>
      <c r="T379" s="230"/>
      <c r="U379" s="230"/>
      <c r="V379" s="230"/>
      <c r="W379" s="230"/>
      <c r="X379" s="230"/>
      <c r="Y379" s="230"/>
      <c r="Z379" s="230"/>
    </row>
    <row r="380" spans="1:26" ht="15.75" customHeight="1">
      <c r="A380" s="230"/>
      <c r="B380" s="230"/>
      <c r="C380" s="230"/>
      <c r="D380" s="230"/>
      <c r="E380" s="230"/>
      <c r="F380" s="230"/>
      <c r="G380" s="230"/>
      <c r="H380" s="230"/>
      <c r="I380" s="230"/>
      <c r="J380" s="230"/>
      <c r="K380" s="230"/>
      <c r="L380" s="230"/>
      <c r="M380" s="230"/>
      <c r="N380" s="230"/>
      <c r="O380" s="230"/>
      <c r="P380" s="230"/>
      <c r="Q380" s="230"/>
      <c r="R380" s="230"/>
      <c r="S380" s="230"/>
      <c r="T380" s="230"/>
      <c r="U380" s="230"/>
      <c r="V380" s="230"/>
      <c r="W380" s="230"/>
      <c r="X380" s="230"/>
      <c r="Y380" s="230"/>
      <c r="Z380" s="230"/>
    </row>
    <row r="381" spans="1:26" ht="15.75" customHeight="1">
      <c r="A381" s="230"/>
      <c r="B381" s="230"/>
      <c r="C381" s="230"/>
      <c r="D381" s="230"/>
      <c r="E381" s="230"/>
      <c r="F381" s="230"/>
      <c r="G381" s="230"/>
      <c r="H381" s="230"/>
      <c r="I381" s="230"/>
      <c r="J381" s="230"/>
      <c r="K381" s="230"/>
      <c r="L381" s="230"/>
      <c r="M381" s="230"/>
      <c r="N381" s="230"/>
      <c r="O381" s="230"/>
      <c r="P381" s="230"/>
      <c r="Q381" s="230"/>
      <c r="R381" s="230"/>
      <c r="S381" s="230"/>
      <c r="T381" s="230"/>
      <c r="U381" s="230"/>
      <c r="V381" s="230"/>
      <c r="W381" s="230"/>
      <c r="X381" s="230"/>
      <c r="Y381" s="230"/>
      <c r="Z381" s="230"/>
    </row>
    <row r="382" spans="1:26" ht="15.75" customHeight="1">
      <c r="A382" s="230"/>
      <c r="B382" s="230"/>
      <c r="C382" s="230"/>
      <c r="D382" s="230"/>
      <c r="E382" s="230"/>
      <c r="F382" s="230"/>
      <c r="G382" s="230"/>
      <c r="H382" s="230"/>
      <c r="I382" s="230"/>
      <c r="J382" s="230"/>
      <c r="K382" s="230"/>
      <c r="L382" s="230"/>
      <c r="M382" s="230"/>
      <c r="N382" s="230"/>
      <c r="O382" s="230"/>
      <c r="P382" s="230"/>
      <c r="Q382" s="230"/>
      <c r="R382" s="230"/>
      <c r="S382" s="230"/>
      <c r="T382" s="230"/>
      <c r="U382" s="230"/>
      <c r="V382" s="230"/>
      <c r="W382" s="230"/>
      <c r="X382" s="230"/>
      <c r="Y382" s="230"/>
      <c r="Z382" s="230"/>
    </row>
    <row r="383" spans="1:26" ht="15.75" customHeight="1">
      <c r="A383" s="230"/>
      <c r="B383" s="230"/>
      <c r="C383" s="230"/>
      <c r="D383" s="230"/>
      <c r="E383" s="230"/>
      <c r="F383" s="230"/>
      <c r="G383" s="230"/>
      <c r="H383" s="230"/>
      <c r="I383" s="230"/>
      <c r="J383" s="230"/>
      <c r="K383" s="230"/>
      <c r="L383" s="230"/>
      <c r="M383" s="230"/>
      <c r="N383" s="230"/>
      <c r="O383" s="230"/>
      <c r="P383" s="230"/>
      <c r="Q383" s="230"/>
      <c r="R383" s="230"/>
      <c r="S383" s="230"/>
      <c r="T383" s="230"/>
      <c r="U383" s="230"/>
      <c r="V383" s="230"/>
      <c r="W383" s="230"/>
      <c r="X383" s="230"/>
      <c r="Y383" s="230"/>
      <c r="Z383" s="230"/>
    </row>
    <row r="384" spans="1:26" ht="15.75" customHeight="1">
      <c r="A384" s="230"/>
      <c r="B384" s="230"/>
      <c r="C384" s="230"/>
      <c r="D384" s="230"/>
      <c r="E384" s="230"/>
      <c r="F384" s="230"/>
      <c r="G384" s="230"/>
      <c r="H384" s="230"/>
      <c r="I384" s="230"/>
      <c r="J384" s="230"/>
      <c r="K384" s="230"/>
      <c r="L384" s="230"/>
      <c r="M384" s="230"/>
      <c r="N384" s="230"/>
      <c r="O384" s="230"/>
      <c r="P384" s="230"/>
      <c r="Q384" s="230"/>
      <c r="R384" s="230"/>
      <c r="S384" s="230"/>
      <c r="T384" s="230"/>
      <c r="U384" s="230"/>
      <c r="V384" s="230"/>
      <c r="W384" s="230"/>
      <c r="X384" s="230"/>
      <c r="Y384" s="230"/>
      <c r="Z384" s="230"/>
    </row>
    <row r="385" spans="1:26" ht="15.75" customHeight="1">
      <c r="A385" s="230"/>
      <c r="B385" s="230"/>
      <c r="C385" s="230"/>
      <c r="D385" s="230"/>
      <c r="E385" s="230"/>
      <c r="F385" s="230"/>
      <c r="G385" s="230"/>
      <c r="H385" s="230"/>
      <c r="I385" s="230"/>
      <c r="J385" s="230"/>
      <c r="K385" s="230"/>
      <c r="L385" s="230"/>
      <c r="M385" s="230"/>
      <c r="N385" s="230"/>
      <c r="O385" s="230"/>
      <c r="P385" s="230"/>
      <c r="Q385" s="230"/>
      <c r="R385" s="230"/>
      <c r="S385" s="230"/>
      <c r="T385" s="230"/>
      <c r="U385" s="230"/>
      <c r="V385" s="230"/>
      <c r="W385" s="230"/>
      <c r="X385" s="230"/>
      <c r="Y385" s="230"/>
      <c r="Z385" s="230"/>
    </row>
    <row r="386" spans="1:26" ht="15.75" customHeight="1">
      <c r="A386" s="230"/>
      <c r="B386" s="230"/>
      <c r="C386" s="230"/>
      <c r="D386" s="230"/>
      <c r="E386" s="230"/>
      <c r="F386" s="230"/>
      <c r="G386" s="230"/>
      <c r="H386" s="230"/>
      <c r="I386" s="230"/>
      <c r="J386" s="230"/>
      <c r="K386" s="230"/>
      <c r="L386" s="230"/>
      <c r="M386" s="230"/>
      <c r="N386" s="230"/>
      <c r="O386" s="230"/>
      <c r="P386" s="230"/>
      <c r="Q386" s="230"/>
      <c r="R386" s="230"/>
      <c r="S386" s="230"/>
      <c r="T386" s="230"/>
      <c r="U386" s="230"/>
      <c r="V386" s="230"/>
      <c r="W386" s="230"/>
      <c r="X386" s="230"/>
      <c r="Y386" s="230"/>
      <c r="Z386" s="230"/>
    </row>
    <row r="387" spans="1:26" ht="15.75" customHeight="1">
      <c r="A387" s="230"/>
      <c r="B387" s="230"/>
      <c r="C387" s="230"/>
      <c r="D387" s="230"/>
      <c r="E387" s="230"/>
      <c r="F387" s="230"/>
      <c r="G387" s="230"/>
      <c r="H387" s="230"/>
      <c r="I387" s="230"/>
      <c r="J387" s="230"/>
      <c r="K387" s="230"/>
      <c r="L387" s="230"/>
      <c r="M387" s="230"/>
      <c r="N387" s="230"/>
      <c r="O387" s="230"/>
      <c r="P387" s="230"/>
      <c r="Q387" s="230"/>
      <c r="R387" s="230"/>
      <c r="S387" s="230"/>
      <c r="T387" s="230"/>
      <c r="U387" s="230"/>
      <c r="V387" s="230"/>
      <c r="W387" s="230"/>
      <c r="X387" s="230"/>
      <c r="Y387" s="230"/>
      <c r="Z387" s="230"/>
    </row>
    <row r="388" spans="1:26" ht="15.75" customHeight="1">
      <c r="A388" s="230"/>
      <c r="B388" s="230"/>
      <c r="C388" s="230"/>
      <c r="D388" s="230"/>
      <c r="E388" s="230"/>
      <c r="F388" s="230"/>
      <c r="G388" s="230"/>
      <c r="H388" s="230"/>
      <c r="I388" s="230"/>
      <c r="J388" s="230"/>
      <c r="K388" s="230"/>
      <c r="L388" s="230"/>
      <c r="M388" s="230"/>
      <c r="N388" s="230"/>
      <c r="O388" s="230"/>
      <c r="P388" s="230"/>
      <c r="Q388" s="230"/>
      <c r="R388" s="230"/>
      <c r="S388" s="230"/>
      <c r="T388" s="230"/>
      <c r="U388" s="230"/>
      <c r="V388" s="230"/>
      <c r="W388" s="230"/>
      <c r="X388" s="230"/>
      <c r="Y388" s="230"/>
      <c r="Z388" s="230"/>
    </row>
    <row r="389" spans="1:26" ht="15.75" customHeight="1">
      <c r="A389" s="230"/>
      <c r="B389" s="230"/>
      <c r="C389" s="230"/>
      <c r="D389" s="230"/>
      <c r="E389" s="230"/>
      <c r="F389" s="230"/>
      <c r="G389" s="230"/>
      <c r="H389" s="230"/>
      <c r="I389" s="230"/>
      <c r="J389" s="230"/>
      <c r="K389" s="230"/>
      <c r="L389" s="230"/>
      <c r="M389" s="230"/>
      <c r="N389" s="230"/>
      <c r="O389" s="230"/>
      <c r="P389" s="230"/>
      <c r="Q389" s="230"/>
      <c r="R389" s="230"/>
      <c r="S389" s="230"/>
      <c r="T389" s="230"/>
      <c r="U389" s="230"/>
      <c r="V389" s="230"/>
      <c r="W389" s="230"/>
      <c r="X389" s="230"/>
      <c r="Y389" s="230"/>
      <c r="Z389" s="230"/>
    </row>
    <row r="390" spans="1:26" ht="15.75" customHeight="1">
      <c r="A390" s="230"/>
      <c r="B390" s="230"/>
      <c r="C390" s="230"/>
      <c r="D390" s="230"/>
      <c r="E390" s="230"/>
      <c r="F390" s="230"/>
      <c r="G390" s="230"/>
      <c r="H390" s="230"/>
      <c r="I390" s="230"/>
      <c r="J390" s="230"/>
      <c r="K390" s="230"/>
      <c r="L390" s="230"/>
      <c r="M390" s="230"/>
      <c r="N390" s="230"/>
      <c r="O390" s="230"/>
      <c r="P390" s="230"/>
      <c r="Q390" s="230"/>
      <c r="R390" s="230"/>
      <c r="S390" s="230"/>
      <c r="T390" s="230"/>
      <c r="U390" s="230"/>
      <c r="V390" s="230"/>
      <c r="W390" s="230"/>
      <c r="X390" s="230"/>
      <c r="Y390" s="230"/>
      <c r="Z390" s="230"/>
    </row>
    <row r="391" spans="1:26" ht="15.75" customHeight="1">
      <c r="A391" s="230"/>
      <c r="B391" s="230"/>
      <c r="C391" s="230"/>
      <c r="D391" s="230"/>
      <c r="E391" s="230"/>
      <c r="F391" s="230"/>
      <c r="G391" s="230"/>
      <c r="H391" s="230"/>
      <c r="I391" s="230"/>
      <c r="J391" s="230"/>
      <c r="K391" s="230"/>
      <c r="L391" s="230"/>
      <c r="M391" s="230"/>
      <c r="N391" s="230"/>
      <c r="O391" s="230"/>
      <c r="P391" s="230"/>
      <c r="Q391" s="230"/>
      <c r="R391" s="230"/>
      <c r="S391" s="230"/>
      <c r="T391" s="230"/>
      <c r="U391" s="230"/>
      <c r="V391" s="230"/>
      <c r="W391" s="230"/>
      <c r="X391" s="230"/>
      <c r="Y391" s="230"/>
      <c r="Z391" s="230"/>
    </row>
    <row r="392" spans="1:26" ht="15.75" customHeight="1">
      <c r="A392" s="230"/>
      <c r="B392" s="230"/>
      <c r="C392" s="230"/>
      <c r="D392" s="230"/>
      <c r="E392" s="230"/>
      <c r="F392" s="230"/>
      <c r="G392" s="230"/>
      <c r="H392" s="230"/>
      <c r="I392" s="230"/>
      <c r="J392" s="230"/>
      <c r="K392" s="230"/>
      <c r="L392" s="230"/>
      <c r="M392" s="230"/>
      <c r="N392" s="230"/>
      <c r="O392" s="230"/>
      <c r="P392" s="230"/>
      <c r="Q392" s="230"/>
      <c r="R392" s="230"/>
      <c r="S392" s="230"/>
      <c r="T392" s="230"/>
      <c r="U392" s="230"/>
      <c r="V392" s="230"/>
      <c r="W392" s="230"/>
      <c r="X392" s="230"/>
      <c r="Y392" s="230"/>
      <c r="Z392" s="230"/>
    </row>
    <row r="393" spans="1:26" ht="15.75" customHeight="1">
      <c r="A393" s="230"/>
      <c r="B393" s="230"/>
      <c r="C393" s="230"/>
      <c r="D393" s="230"/>
      <c r="E393" s="230"/>
      <c r="F393" s="230"/>
      <c r="G393" s="230"/>
      <c r="H393" s="230"/>
      <c r="I393" s="230"/>
      <c r="J393" s="230"/>
      <c r="K393" s="230"/>
      <c r="L393" s="230"/>
      <c r="M393" s="230"/>
      <c r="N393" s="230"/>
      <c r="O393" s="230"/>
      <c r="P393" s="230"/>
      <c r="Q393" s="230"/>
      <c r="R393" s="230"/>
      <c r="S393" s="230"/>
      <c r="T393" s="230"/>
      <c r="U393" s="230"/>
      <c r="V393" s="230"/>
      <c r="W393" s="230"/>
      <c r="X393" s="230"/>
      <c r="Y393" s="230"/>
      <c r="Z393" s="230"/>
    </row>
    <row r="394" spans="1:26" ht="15.75" customHeight="1">
      <c r="A394" s="230"/>
      <c r="B394" s="230"/>
      <c r="C394" s="230"/>
      <c r="D394" s="230"/>
      <c r="E394" s="230"/>
      <c r="F394" s="230"/>
      <c r="G394" s="230"/>
      <c r="H394" s="230"/>
      <c r="I394" s="230"/>
      <c r="J394" s="230"/>
      <c r="K394" s="230"/>
      <c r="L394" s="230"/>
      <c r="M394" s="230"/>
      <c r="N394" s="230"/>
      <c r="O394" s="230"/>
      <c r="P394" s="230"/>
      <c r="Q394" s="230"/>
      <c r="R394" s="230"/>
      <c r="S394" s="230"/>
      <c r="T394" s="230"/>
      <c r="U394" s="230"/>
      <c r="V394" s="230"/>
      <c r="W394" s="230"/>
      <c r="X394" s="230"/>
      <c r="Y394" s="230"/>
      <c r="Z394" s="230"/>
    </row>
    <row r="395" spans="1:26" ht="15.75" customHeight="1">
      <c r="A395" s="230"/>
      <c r="B395" s="230"/>
      <c r="C395" s="230"/>
      <c r="D395" s="230"/>
      <c r="E395" s="230"/>
      <c r="F395" s="230"/>
      <c r="G395" s="230"/>
      <c r="H395" s="230"/>
      <c r="I395" s="230"/>
      <c r="J395" s="230"/>
      <c r="K395" s="230"/>
      <c r="L395" s="230"/>
      <c r="M395" s="230"/>
      <c r="N395" s="230"/>
      <c r="O395" s="230"/>
      <c r="P395" s="230"/>
      <c r="Q395" s="230"/>
      <c r="R395" s="230"/>
      <c r="S395" s="230"/>
      <c r="T395" s="230"/>
      <c r="U395" s="230"/>
      <c r="V395" s="230"/>
      <c r="W395" s="230"/>
      <c r="X395" s="230"/>
      <c r="Y395" s="230"/>
      <c r="Z395" s="230"/>
    </row>
    <row r="396" spans="1:26" ht="15.75" customHeight="1">
      <c r="A396" s="230"/>
      <c r="B396" s="230"/>
      <c r="C396" s="230"/>
      <c r="D396" s="230"/>
      <c r="E396" s="230"/>
      <c r="F396" s="230"/>
      <c r="G396" s="230"/>
      <c r="H396" s="230"/>
      <c r="I396" s="230"/>
      <c r="J396" s="230"/>
      <c r="K396" s="230"/>
      <c r="L396" s="230"/>
      <c r="M396" s="230"/>
      <c r="N396" s="230"/>
      <c r="O396" s="230"/>
      <c r="P396" s="230"/>
      <c r="Q396" s="230"/>
      <c r="R396" s="230"/>
      <c r="S396" s="230"/>
      <c r="T396" s="230"/>
      <c r="U396" s="230"/>
      <c r="V396" s="230"/>
      <c r="W396" s="230"/>
      <c r="X396" s="230"/>
      <c r="Y396" s="230"/>
      <c r="Z396" s="230"/>
    </row>
    <row r="397" spans="1:26" ht="15.75" customHeight="1">
      <c r="A397" s="230"/>
      <c r="B397" s="230"/>
      <c r="C397" s="230"/>
      <c r="D397" s="230"/>
      <c r="E397" s="230"/>
      <c r="F397" s="230"/>
      <c r="G397" s="230"/>
      <c r="H397" s="230"/>
      <c r="I397" s="230"/>
      <c r="J397" s="230"/>
      <c r="K397" s="230"/>
      <c r="L397" s="230"/>
      <c r="M397" s="230"/>
      <c r="N397" s="230"/>
      <c r="O397" s="230"/>
      <c r="P397" s="230"/>
      <c r="Q397" s="230"/>
      <c r="R397" s="230"/>
      <c r="S397" s="230"/>
      <c r="T397" s="230"/>
      <c r="U397" s="230"/>
      <c r="V397" s="230"/>
      <c r="W397" s="230"/>
      <c r="X397" s="230"/>
      <c r="Y397" s="230"/>
      <c r="Z397" s="230"/>
    </row>
    <row r="398" spans="1:26" ht="15.75" customHeight="1">
      <c r="A398" s="230"/>
      <c r="B398" s="230"/>
      <c r="C398" s="230"/>
      <c r="D398" s="230"/>
      <c r="E398" s="230"/>
      <c r="F398" s="230"/>
      <c r="G398" s="230"/>
      <c r="H398" s="230"/>
      <c r="I398" s="230"/>
      <c r="J398" s="230"/>
      <c r="K398" s="230"/>
      <c r="L398" s="230"/>
      <c r="M398" s="230"/>
      <c r="N398" s="230"/>
      <c r="O398" s="230"/>
      <c r="P398" s="230"/>
      <c r="Q398" s="230"/>
      <c r="R398" s="230"/>
      <c r="S398" s="230"/>
      <c r="T398" s="230"/>
      <c r="U398" s="230"/>
      <c r="V398" s="230"/>
      <c r="W398" s="230"/>
      <c r="X398" s="230"/>
      <c r="Y398" s="230"/>
      <c r="Z398" s="230"/>
    </row>
    <row r="399" spans="1:26" ht="15.75" customHeight="1">
      <c r="A399" s="230"/>
      <c r="B399" s="230"/>
      <c r="C399" s="230"/>
      <c r="D399" s="230"/>
      <c r="E399" s="230"/>
      <c r="F399" s="230"/>
      <c r="G399" s="230"/>
      <c r="H399" s="230"/>
      <c r="I399" s="230"/>
      <c r="J399" s="230"/>
      <c r="K399" s="230"/>
      <c r="L399" s="230"/>
      <c r="M399" s="230"/>
      <c r="N399" s="230"/>
      <c r="O399" s="230"/>
      <c r="P399" s="230"/>
      <c r="Q399" s="230"/>
      <c r="R399" s="230"/>
      <c r="S399" s="230"/>
      <c r="T399" s="230"/>
      <c r="U399" s="230"/>
      <c r="V399" s="230"/>
      <c r="W399" s="230"/>
      <c r="X399" s="230"/>
      <c r="Y399" s="230"/>
      <c r="Z399" s="230"/>
    </row>
    <row r="400" spans="1:26" ht="15.75" customHeight="1">
      <c r="A400" s="230"/>
      <c r="B400" s="230"/>
      <c r="C400" s="230"/>
      <c r="D400" s="230"/>
      <c r="E400" s="230"/>
      <c r="F400" s="230"/>
      <c r="G400" s="230"/>
      <c r="H400" s="230"/>
      <c r="I400" s="230"/>
      <c r="J400" s="230"/>
      <c r="K400" s="230"/>
      <c r="L400" s="230"/>
      <c r="M400" s="230"/>
      <c r="N400" s="230"/>
      <c r="O400" s="230"/>
      <c r="P400" s="230"/>
      <c r="Q400" s="230"/>
      <c r="R400" s="230"/>
      <c r="S400" s="230"/>
      <c r="T400" s="230"/>
      <c r="U400" s="230"/>
      <c r="V400" s="230"/>
      <c r="W400" s="230"/>
      <c r="X400" s="230"/>
      <c r="Y400" s="230"/>
      <c r="Z400" s="230"/>
    </row>
    <row r="401" spans="1:26" ht="15.75" customHeight="1">
      <c r="A401" s="230"/>
      <c r="B401" s="230"/>
      <c r="C401" s="230"/>
      <c r="D401" s="230"/>
      <c r="E401" s="230"/>
      <c r="F401" s="230"/>
      <c r="G401" s="230"/>
      <c r="H401" s="230"/>
      <c r="I401" s="230"/>
      <c r="J401" s="230"/>
      <c r="K401" s="230"/>
      <c r="L401" s="230"/>
      <c r="M401" s="230"/>
      <c r="N401" s="230"/>
      <c r="O401" s="230"/>
      <c r="P401" s="230"/>
      <c r="Q401" s="230"/>
      <c r="R401" s="230"/>
      <c r="S401" s="230"/>
      <c r="T401" s="230"/>
      <c r="U401" s="230"/>
      <c r="V401" s="230"/>
      <c r="W401" s="230"/>
      <c r="X401" s="230"/>
      <c r="Y401" s="230"/>
      <c r="Z401" s="230"/>
    </row>
    <row r="402" spans="1:26" ht="15.75" customHeight="1">
      <c r="A402" s="230"/>
      <c r="B402" s="230"/>
      <c r="C402" s="230"/>
      <c r="D402" s="230"/>
      <c r="E402" s="230"/>
      <c r="F402" s="230"/>
      <c r="G402" s="230"/>
      <c r="H402" s="230"/>
      <c r="I402" s="230"/>
      <c r="J402" s="230"/>
      <c r="K402" s="230"/>
      <c r="L402" s="230"/>
      <c r="M402" s="230"/>
      <c r="N402" s="230"/>
      <c r="O402" s="230"/>
      <c r="P402" s="230"/>
      <c r="Q402" s="230"/>
      <c r="R402" s="230"/>
      <c r="S402" s="230"/>
      <c r="T402" s="230"/>
      <c r="U402" s="230"/>
      <c r="V402" s="230"/>
      <c r="W402" s="230"/>
      <c r="X402" s="230"/>
      <c r="Y402" s="230"/>
      <c r="Z402" s="230"/>
    </row>
    <row r="403" spans="1:26" ht="15.75" customHeight="1">
      <c r="A403" s="230"/>
      <c r="B403" s="230"/>
      <c r="C403" s="230"/>
      <c r="D403" s="230"/>
      <c r="E403" s="230"/>
      <c r="F403" s="230"/>
      <c r="G403" s="230"/>
      <c r="H403" s="230"/>
      <c r="I403" s="230"/>
      <c r="J403" s="230"/>
      <c r="K403" s="230"/>
      <c r="L403" s="230"/>
      <c r="M403" s="230"/>
      <c r="N403" s="230"/>
      <c r="O403" s="230"/>
      <c r="P403" s="230"/>
      <c r="Q403" s="230"/>
      <c r="R403" s="230"/>
      <c r="S403" s="230"/>
      <c r="T403" s="230"/>
      <c r="U403" s="230"/>
      <c r="V403" s="230"/>
      <c r="W403" s="230"/>
      <c r="X403" s="230"/>
      <c r="Y403" s="230"/>
      <c r="Z403" s="230"/>
    </row>
    <row r="404" spans="1:26" ht="15.75" customHeight="1">
      <c r="A404" s="230"/>
      <c r="B404" s="230"/>
      <c r="C404" s="230"/>
      <c r="D404" s="230"/>
      <c r="E404" s="230"/>
      <c r="F404" s="230"/>
      <c r="G404" s="230"/>
      <c r="H404" s="230"/>
      <c r="I404" s="230"/>
      <c r="J404" s="230"/>
      <c r="K404" s="230"/>
      <c r="L404" s="230"/>
      <c r="M404" s="230"/>
      <c r="N404" s="230"/>
      <c r="O404" s="230"/>
      <c r="P404" s="230"/>
      <c r="Q404" s="230"/>
      <c r="R404" s="230"/>
      <c r="S404" s="230"/>
      <c r="T404" s="230"/>
      <c r="U404" s="230"/>
      <c r="V404" s="230"/>
      <c r="W404" s="230"/>
      <c r="X404" s="230"/>
      <c r="Y404" s="230"/>
      <c r="Z404" s="230"/>
    </row>
    <row r="405" spans="1:26" ht="15.75" customHeight="1">
      <c r="A405" s="230"/>
      <c r="B405" s="230"/>
      <c r="C405" s="230"/>
      <c r="D405" s="230"/>
      <c r="E405" s="230"/>
      <c r="F405" s="230"/>
      <c r="G405" s="230"/>
      <c r="H405" s="230"/>
      <c r="I405" s="230"/>
      <c r="J405" s="230"/>
      <c r="K405" s="230"/>
      <c r="L405" s="230"/>
      <c r="M405" s="230"/>
      <c r="N405" s="230"/>
      <c r="O405" s="230"/>
      <c r="P405" s="230"/>
      <c r="Q405" s="230"/>
      <c r="R405" s="230"/>
      <c r="S405" s="230"/>
      <c r="T405" s="230"/>
      <c r="U405" s="230"/>
      <c r="V405" s="230"/>
      <c r="W405" s="230"/>
      <c r="X405" s="230"/>
      <c r="Y405" s="230"/>
      <c r="Z405" s="230"/>
    </row>
    <row r="406" spans="1:26" ht="15.75" customHeight="1">
      <c r="A406" s="230"/>
      <c r="B406" s="230"/>
      <c r="C406" s="230"/>
      <c r="D406" s="230"/>
      <c r="E406" s="230"/>
      <c r="F406" s="230"/>
      <c r="G406" s="230"/>
      <c r="H406" s="230"/>
      <c r="I406" s="230"/>
      <c r="J406" s="230"/>
      <c r="K406" s="230"/>
      <c r="L406" s="230"/>
      <c r="M406" s="230"/>
      <c r="N406" s="230"/>
      <c r="O406" s="230"/>
      <c r="P406" s="230"/>
      <c r="Q406" s="230"/>
      <c r="R406" s="230"/>
      <c r="S406" s="230"/>
      <c r="T406" s="230"/>
      <c r="U406" s="230"/>
      <c r="V406" s="230"/>
      <c r="W406" s="230"/>
      <c r="X406" s="230"/>
      <c r="Y406" s="230"/>
      <c r="Z406" s="230"/>
    </row>
    <row r="407" spans="1:26" ht="15.75" customHeight="1">
      <c r="A407" s="230"/>
      <c r="B407" s="230"/>
      <c r="C407" s="230"/>
      <c r="D407" s="230"/>
      <c r="E407" s="230"/>
      <c r="F407" s="230"/>
      <c r="G407" s="230"/>
      <c r="H407" s="230"/>
      <c r="I407" s="230"/>
      <c r="J407" s="230"/>
      <c r="K407" s="230"/>
      <c r="L407" s="230"/>
      <c r="M407" s="230"/>
      <c r="N407" s="230"/>
      <c r="O407" s="230"/>
      <c r="P407" s="230"/>
      <c r="Q407" s="230"/>
      <c r="R407" s="230"/>
      <c r="S407" s="230"/>
      <c r="T407" s="230"/>
      <c r="U407" s="230"/>
      <c r="V407" s="230"/>
      <c r="W407" s="230"/>
      <c r="X407" s="230"/>
      <c r="Y407" s="230"/>
      <c r="Z407" s="230"/>
    </row>
    <row r="408" spans="1:26" ht="15.75" customHeight="1">
      <c r="A408" s="230"/>
      <c r="B408" s="230"/>
      <c r="C408" s="230"/>
      <c r="D408" s="230"/>
      <c r="E408" s="230"/>
      <c r="F408" s="230"/>
      <c r="G408" s="230"/>
      <c r="H408" s="230"/>
      <c r="I408" s="230"/>
      <c r="J408" s="230"/>
      <c r="K408" s="230"/>
      <c r="L408" s="230"/>
      <c r="M408" s="230"/>
      <c r="N408" s="230"/>
      <c r="O408" s="230"/>
      <c r="P408" s="230"/>
      <c r="Q408" s="230"/>
      <c r="R408" s="230"/>
      <c r="S408" s="230"/>
      <c r="T408" s="230"/>
      <c r="U408" s="230"/>
      <c r="V408" s="230"/>
      <c r="W408" s="230"/>
      <c r="X408" s="230"/>
      <c r="Y408" s="230"/>
      <c r="Z408" s="230"/>
    </row>
    <row r="409" spans="1:26" ht="15.75" customHeight="1">
      <c r="A409" s="230"/>
      <c r="B409" s="230"/>
      <c r="C409" s="230"/>
      <c r="D409" s="230"/>
      <c r="E409" s="230"/>
      <c r="F409" s="230"/>
      <c r="G409" s="230"/>
      <c r="H409" s="230"/>
      <c r="I409" s="230"/>
      <c r="J409" s="230"/>
      <c r="K409" s="230"/>
      <c r="L409" s="230"/>
      <c r="M409" s="230"/>
      <c r="N409" s="230"/>
      <c r="O409" s="230"/>
      <c r="P409" s="230"/>
      <c r="Q409" s="230"/>
      <c r="R409" s="230"/>
      <c r="S409" s="230"/>
      <c r="T409" s="230"/>
      <c r="U409" s="230"/>
      <c r="V409" s="230"/>
      <c r="W409" s="230"/>
      <c r="X409" s="230"/>
      <c r="Y409" s="230"/>
      <c r="Z409" s="230"/>
    </row>
    <row r="410" spans="1:26" ht="15.75" customHeight="1">
      <c r="A410" s="230"/>
      <c r="B410" s="230"/>
      <c r="C410" s="230"/>
      <c r="D410" s="230"/>
      <c r="E410" s="230"/>
      <c r="F410" s="230"/>
      <c r="G410" s="230"/>
      <c r="H410" s="230"/>
      <c r="I410" s="230"/>
      <c r="J410" s="230"/>
      <c r="K410" s="230"/>
      <c r="L410" s="230"/>
      <c r="M410" s="230"/>
      <c r="N410" s="230"/>
      <c r="O410" s="230"/>
      <c r="P410" s="230"/>
      <c r="Q410" s="230"/>
      <c r="R410" s="230"/>
      <c r="S410" s="230"/>
      <c r="T410" s="230"/>
      <c r="U410" s="230"/>
      <c r="V410" s="230"/>
      <c r="W410" s="230"/>
      <c r="X410" s="230"/>
      <c r="Y410" s="230"/>
      <c r="Z410" s="230"/>
    </row>
    <row r="411" spans="1:26" ht="15.75" customHeight="1">
      <c r="A411" s="230"/>
      <c r="B411" s="230"/>
      <c r="C411" s="230"/>
      <c r="D411" s="230"/>
      <c r="E411" s="230"/>
      <c r="F411" s="230"/>
      <c r="G411" s="230"/>
      <c r="H411" s="230"/>
      <c r="I411" s="230"/>
      <c r="J411" s="230"/>
      <c r="K411" s="230"/>
      <c r="L411" s="230"/>
      <c r="M411" s="230"/>
      <c r="N411" s="230"/>
      <c r="O411" s="230"/>
      <c r="P411" s="230"/>
      <c r="Q411" s="230"/>
      <c r="R411" s="230"/>
      <c r="S411" s="230"/>
      <c r="T411" s="230"/>
      <c r="U411" s="230"/>
      <c r="V411" s="230"/>
      <c r="W411" s="230"/>
      <c r="X411" s="230"/>
      <c r="Y411" s="230"/>
      <c r="Z411" s="230"/>
    </row>
    <row r="412" spans="1:26" ht="15.75" customHeight="1">
      <c r="A412" s="230"/>
      <c r="B412" s="230"/>
      <c r="C412" s="230"/>
      <c r="D412" s="230"/>
      <c r="E412" s="230"/>
      <c r="F412" s="230"/>
      <c r="G412" s="230"/>
      <c r="H412" s="230"/>
      <c r="I412" s="230"/>
      <c r="J412" s="230"/>
      <c r="K412" s="230"/>
      <c r="L412" s="230"/>
      <c r="M412" s="230"/>
      <c r="N412" s="230"/>
      <c r="O412" s="230"/>
      <c r="P412" s="230"/>
      <c r="Q412" s="230"/>
      <c r="R412" s="230"/>
      <c r="S412" s="230"/>
      <c r="T412" s="230"/>
      <c r="U412" s="230"/>
      <c r="V412" s="230"/>
      <c r="W412" s="230"/>
      <c r="X412" s="230"/>
      <c r="Y412" s="230"/>
      <c r="Z412" s="230"/>
    </row>
    <row r="413" spans="1:26" ht="15.75" customHeight="1">
      <c r="A413" s="230"/>
      <c r="B413" s="230"/>
      <c r="C413" s="230"/>
      <c r="D413" s="230"/>
      <c r="E413" s="230"/>
      <c r="F413" s="230"/>
      <c r="G413" s="230"/>
      <c r="H413" s="230"/>
      <c r="I413" s="230"/>
      <c r="J413" s="230"/>
      <c r="K413" s="230"/>
      <c r="L413" s="230"/>
      <c r="M413" s="230"/>
      <c r="N413" s="230"/>
      <c r="O413" s="230"/>
      <c r="P413" s="230"/>
      <c r="Q413" s="230"/>
      <c r="R413" s="230"/>
      <c r="S413" s="230"/>
      <c r="T413" s="230"/>
      <c r="U413" s="230"/>
      <c r="V413" s="230"/>
      <c r="W413" s="230"/>
      <c r="X413" s="230"/>
      <c r="Y413" s="230"/>
      <c r="Z413" s="230"/>
    </row>
    <row r="414" spans="1:26" ht="15.75" customHeight="1">
      <c r="A414" s="230"/>
      <c r="B414" s="230"/>
      <c r="C414" s="230"/>
      <c r="D414" s="230"/>
      <c r="E414" s="230"/>
      <c r="F414" s="230"/>
      <c r="G414" s="230"/>
      <c r="H414" s="230"/>
      <c r="I414" s="230"/>
      <c r="J414" s="230"/>
      <c r="K414" s="230"/>
      <c r="L414" s="230"/>
      <c r="M414" s="230"/>
      <c r="N414" s="230"/>
      <c r="O414" s="230"/>
      <c r="P414" s="230"/>
      <c r="Q414" s="230"/>
      <c r="R414" s="230"/>
      <c r="S414" s="230"/>
      <c r="T414" s="230"/>
      <c r="U414" s="230"/>
      <c r="V414" s="230"/>
      <c r="W414" s="230"/>
      <c r="X414" s="230"/>
      <c r="Y414" s="230"/>
      <c r="Z414" s="230"/>
    </row>
    <row r="415" spans="1:26" ht="15.75" customHeight="1">
      <c r="A415" s="230"/>
      <c r="B415" s="230"/>
      <c r="C415" s="230"/>
      <c r="D415" s="230"/>
      <c r="E415" s="230"/>
      <c r="F415" s="230"/>
      <c r="G415" s="230"/>
      <c r="H415" s="230"/>
      <c r="I415" s="230"/>
      <c r="J415" s="230"/>
      <c r="K415" s="230"/>
      <c r="L415" s="230"/>
      <c r="M415" s="230"/>
      <c r="N415" s="230"/>
      <c r="O415" s="230"/>
      <c r="P415" s="230"/>
      <c r="Q415" s="230"/>
      <c r="R415" s="230"/>
      <c r="S415" s="230"/>
      <c r="T415" s="230"/>
      <c r="U415" s="230"/>
      <c r="V415" s="230"/>
      <c r="W415" s="230"/>
      <c r="X415" s="230"/>
      <c r="Y415" s="230"/>
      <c r="Z415" s="230"/>
    </row>
    <row r="416" spans="1:26" ht="15.75" customHeight="1">
      <c r="A416" s="230"/>
      <c r="B416" s="230"/>
      <c r="C416" s="230"/>
      <c r="D416" s="230"/>
      <c r="E416" s="230"/>
      <c r="F416" s="230"/>
      <c r="G416" s="230"/>
      <c r="H416" s="230"/>
      <c r="I416" s="230"/>
      <c r="J416" s="230"/>
      <c r="K416" s="230"/>
      <c r="L416" s="230"/>
      <c r="M416" s="230"/>
      <c r="N416" s="230"/>
      <c r="O416" s="230"/>
      <c r="P416" s="230"/>
      <c r="Q416" s="230"/>
      <c r="R416" s="230"/>
      <c r="S416" s="230"/>
      <c r="T416" s="230"/>
      <c r="U416" s="230"/>
      <c r="V416" s="230"/>
      <c r="W416" s="230"/>
      <c r="X416" s="230"/>
      <c r="Y416" s="230"/>
      <c r="Z416" s="230"/>
    </row>
    <row r="417" spans="1:26" ht="15.75" customHeight="1">
      <c r="A417" s="230"/>
      <c r="B417" s="230"/>
      <c r="C417" s="230"/>
      <c r="D417" s="230"/>
      <c r="E417" s="230"/>
      <c r="F417" s="230"/>
      <c r="G417" s="230"/>
      <c r="H417" s="230"/>
      <c r="I417" s="230"/>
      <c r="J417" s="230"/>
      <c r="K417" s="230"/>
      <c r="L417" s="230"/>
      <c r="M417" s="230"/>
      <c r="N417" s="230"/>
      <c r="O417" s="230"/>
      <c r="P417" s="230"/>
      <c r="Q417" s="230"/>
      <c r="R417" s="230"/>
      <c r="S417" s="230"/>
      <c r="T417" s="230"/>
      <c r="U417" s="230"/>
      <c r="V417" s="230"/>
      <c r="W417" s="230"/>
      <c r="X417" s="230"/>
      <c r="Y417" s="230"/>
      <c r="Z417" s="230"/>
    </row>
    <row r="418" spans="1:26" ht="15.75" customHeight="1">
      <c r="A418" s="230"/>
      <c r="B418" s="230"/>
      <c r="C418" s="230"/>
      <c r="D418" s="230"/>
      <c r="E418" s="230"/>
      <c r="F418" s="230"/>
      <c r="G418" s="230"/>
      <c r="H418" s="230"/>
      <c r="I418" s="230"/>
      <c r="J418" s="230"/>
      <c r="K418" s="230"/>
      <c r="L418" s="230"/>
      <c r="M418" s="230"/>
      <c r="N418" s="230"/>
      <c r="O418" s="230"/>
      <c r="P418" s="230"/>
      <c r="Q418" s="230"/>
      <c r="R418" s="230"/>
      <c r="S418" s="230"/>
      <c r="T418" s="230"/>
      <c r="U418" s="230"/>
      <c r="V418" s="230"/>
      <c r="W418" s="230"/>
      <c r="X418" s="230"/>
      <c r="Y418" s="230"/>
      <c r="Z418" s="230"/>
    </row>
    <row r="419" spans="1:26" ht="15.75" customHeight="1">
      <c r="A419" s="230"/>
      <c r="B419" s="230"/>
      <c r="C419" s="230"/>
      <c r="D419" s="230"/>
      <c r="E419" s="230"/>
      <c r="F419" s="230"/>
      <c r="G419" s="230"/>
      <c r="H419" s="230"/>
      <c r="I419" s="230"/>
      <c r="J419" s="230"/>
      <c r="K419" s="230"/>
      <c r="L419" s="230"/>
      <c r="M419" s="230"/>
      <c r="N419" s="230"/>
      <c r="O419" s="230"/>
      <c r="P419" s="230"/>
      <c r="Q419" s="230"/>
      <c r="R419" s="230"/>
      <c r="S419" s="230"/>
      <c r="T419" s="230"/>
      <c r="U419" s="230"/>
      <c r="V419" s="230"/>
      <c r="W419" s="230"/>
      <c r="X419" s="230"/>
      <c r="Y419" s="230"/>
      <c r="Z419" s="230"/>
    </row>
    <row r="420" spans="1:26" ht="15.75" customHeight="1">
      <c r="A420" s="230"/>
      <c r="B420" s="230"/>
      <c r="C420" s="230"/>
      <c r="D420" s="230"/>
      <c r="E420" s="230"/>
      <c r="F420" s="230"/>
      <c r="G420" s="230"/>
      <c r="H420" s="230"/>
      <c r="I420" s="230"/>
      <c r="J420" s="230"/>
      <c r="K420" s="230"/>
      <c r="L420" s="230"/>
      <c r="M420" s="230"/>
      <c r="N420" s="230"/>
      <c r="O420" s="230"/>
      <c r="P420" s="230"/>
      <c r="Q420" s="230"/>
      <c r="R420" s="230"/>
      <c r="S420" s="230"/>
      <c r="T420" s="230"/>
      <c r="U420" s="230"/>
      <c r="V420" s="230"/>
      <c r="W420" s="230"/>
      <c r="X420" s="230"/>
      <c r="Y420" s="230"/>
      <c r="Z420" s="230"/>
    </row>
    <row r="421" spans="1:26" ht="15.75" customHeight="1">
      <c r="A421" s="230"/>
      <c r="B421" s="230"/>
      <c r="C421" s="230"/>
      <c r="D421" s="230"/>
      <c r="E421" s="230"/>
      <c r="F421" s="230"/>
      <c r="G421" s="230"/>
      <c r="H421" s="230"/>
      <c r="I421" s="230"/>
      <c r="J421" s="230"/>
      <c r="K421" s="230"/>
      <c r="L421" s="230"/>
      <c r="M421" s="230"/>
      <c r="N421" s="230"/>
      <c r="O421" s="230"/>
      <c r="P421" s="230"/>
      <c r="Q421" s="230"/>
      <c r="R421" s="230"/>
      <c r="S421" s="230"/>
      <c r="T421" s="230"/>
      <c r="U421" s="230"/>
      <c r="V421" s="230"/>
      <c r="W421" s="230"/>
      <c r="X421" s="230"/>
      <c r="Y421" s="230"/>
      <c r="Z421" s="230"/>
    </row>
    <row r="422" spans="1:26" ht="15.75" customHeight="1">
      <c r="A422" s="230"/>
      <c r="B422" s="230"/>
      <c r="C422" s="230"/>
      <c r="D422" s="230"/>
      <c r="E422" s="230"/>
      <c r="F422" s="230"/>
      <c r="G422" s="230"/>
      <c r="H422" s="230"/>
      <c r="I422" s="230"/>
      <c r="J422" s="230"/>
      <c r="K422" s="230"/>
      <c r="L422" s="230"/>
      <c r="M422" s="230"/>
      <c r="N422" s="230"/>
      <c r="O422" s="230"/>
      <c r="P422" s="230"/>
      <c r="Q422" s="230"/>
      <c r="R422" s="230"/>
      <c r="S422" s="230"/>
      <c r="T422" s="230"/>
      <c r="U422" s="230"/>
      <c r="V422" s="230"/>
      <c r="W422" s="230"/>
      <c r="X422" s="230"/>
      <c r="Y422" s="230"/>
      <c r="Z422" s="230"/>
    </row>
    <row r="423" spans="1:26" ht="15.75" customHeight="1">
      <c r="A423" s="230"/>
      <c r="B423" s="230"/>
      <c r="C423" s="230"/>
      <c r="D423" s="230"/>
      <c r="E423" s="230"/>
      <c r="F423" s="230"/>
      <c r="G423" s="230"/>
      <c r="H423" s="230"/>
      <c r="I423" s="230"/>
      <c r="J423" s="230"/>
      <c r="K423" s="230"/>
      <c r="L423" s="230"/>
      <c r="M423" s="230"/>
      <c r="N423" s="230"/>
      <c r="O423" s="230"/>
      <c r="P423" s="230"/>
      <c r="Q423" s="230"/>
      <c r="R423" s="230"/>
      <c r="S423" s="230"/>
      <c r="T423" s="230"/>
      <c r="U423" s="230"/>
      <c r="V423" s="230"/>
      <c r="W423" s="230"/>
      <c r="X423" s="230"/>
      <c r="Y423" s="230"/>
      <c r="Z423" s="230"/>
    </row>
    <row r="424" spans="1:26" ht="15.75" customHeight="1">
      <c r="A424" s="230"/>
      <c r="B424" s="230"/>
      <c r="C424" s="230"/>
      <c r="D424" s="230"/>
      <c r="E424" s="230"/>
      <c r="F424" s="230"/>
      <c r="G424" s="230"/>
      <c r="H424" s="230"/>
      <c r="I424" s="230"/>
      <c r="J424" s="230"/>
      <c r="K424" s="230"/>
      <c r="L424" s="230"/>
      <c r="M424" s="230"/>
      <c r="N424" s="230"/>
      <c r="O424" s="230"/>
      <c r="P424" s="230"/>
      <c r="Q424" s="230"/>
      <c r="R424" s="230"/>
      <c r="S424" s="230"/>
      <c r="T424" s="230"/>
      <c r="U424" s="230"/>
      <c r="V424" s="230"/>
      <c r="W424" s="230"/>
      <c r="X424" s="230"/>
      <c r="Y424" s="230"/>
      <c r="Z424" s="230"/>
    </row>
    <row r="425" spans="1:26" ht="15.75" customHeight="1">
      <c r="A425" s="230"/>
      <c r="B425" s="230"/>
      <c r="C425" s="230"/>
      <c r="D425" s="230"/>
      <c r="E425" s="230"/>
      <c r="F425" s="230"/>
      <c r="G425" s="230"/>
      <c r="H425" s="230"/>
      <c r="I425" s="230"/>
      <c r="J425" s="230"/>
      <c r="K425" s="230"/>
      <c r="L425" s="230"/>
      <c r="M425" s="230"/>
      <c r="N425" s="230"/>
      <c r="O425" s="230"/>
      <c r="P425" s="230"/>
      <c r="Q425" s="230"/>
      <c r="R425" s="230"/>
      <c r="S425" s="230"/>
      <c r="T425" s="230"/>
      <c r="U425" s="230"/>
      <c r="V425" s="230"/>
      <c r="W425" s="230"/>
      <c r="X425" s="230"/>
      <c r="Y425" s="230"/>
      <c r="Z425" s="230"/>
    </row>
    <row r="426" spans="1:26" ht="15.75" customHeight="1">
      <c r="A426" s="230"/>
      <c r="B426" s="230"/>
      <c r="C426" s="230"/>
      <c r="D426" s="230"/>
      <c r="E426" s="230"/>
      <c r="F426" s="230"/>
      <c r="G426" s="230"/>
      <c r="H426" s="230"/>
      <c r="I426" s="230"/>
      <c r="J426" s="230"/>
      <c r="K426" s="230"/>
      <c r="L426" s="230"/>
      <c r="M426" s="230"/>
      <c r="N426" s="230"/>
      <c r="O426" s="230"/>
      <c r="P426" s="230"/>
      <c r="Q426" s="230"/>
      <c r="R426" s="230"/>
      <c r="S426" s="230"/>
      <c r="T426" s="230"/>
      <c r="U426" s="230"/>
      <c r="V426" s="230"/>
      <c r="W426" s="230"/>
      <c r="X426" s="230"/>
      <c r="Y426" s="230"/>
      <c r="Z426" s="230"/>
    </row>
    <row r="427" spans="1:26" ht="15.75" customHeight="1">
      <c r="A427" s="230"/>
      <c r="B427" s="230"/>
      <c r="C427" s="230"/>
      <c r="D427" s="230"/>
      <c r="E427" s="230"/>
      <c r="F427" s="230"/>
      <c r="G427" s="230"/>
      <c r="H427" s="230"/>
      <c r="I427" s="230"/>
      <c r="J427" s="230"/>
      <c r="K427" s="230"/>
      <c r="L427" s="230"/>
      <c r="M427" s="230"/>
      <c r="N427" s="230"/>
      <c r="O427" s="230"/>
      <c r="P427" s="230"/>
      <c r="Q427" s="230"/>
      <c r="R427" s="230"/>
      <c r="S427" s="230"/>
      <c r="T427" s="230"/>
      <c r="U427" s="230"/>
      <c r="V427" s="230"/>
      <c r="W427" s="230"/>
      <c r="X427" s="230"/>
      <c r="Y427" s="230"/>
      <c r="Z427" s="230"/>
    </row>
    <row r="428" spans="1:26" ht="15.75" customHeight="1">
      <c r="A428" s="230"/>
      <c r="B428" s="230"/>
      <c r="C428" s="230"/>
      <c r="D428" s="230"/>
      <c r="E428" s="230"/>
      <c r="F428" s="230"/>
      <c r="G428" s="230"/>
      <c r="H428" s="230"/>
      <c r="I428" s="230"/>
      <c r="J428" s="230"/>
      <c r="K428" s="230"/>
      <c r="L428" s="230"/>
      <c r="M428" s="230"/>
      <c r="N428" s="230"/>
      <c r="O428" s="230"/>
      <c r="P428" s="230"/>
      <c r="Q428" s="230"/>
      <c r="R428" s="230"/>
      <c r="S428" s="230"/>
      <c r="T428" s="230"/>
      <c r="U428" s="230"/>
      <c r="V428" s="230"/>
      <c r="W428" s="230"/>
      <c r="X428" s="230"/>
      <c r="Y428" s="230"/>
      <c r="Z428" s="230"/>
    </row>
    <row r="429" spans="1:26" ht="15.75" customHeight="1">
      <c r="A429" s="230"/>
      <c r="B429" s="230"/>
      <c r="C429" s="230"/>
      <c r="D429" s="230"/>
      <c r="E429" s="230"/>
      <c r="F429" s="230"/>
      <c r="G429" s="230"/>
      <c r="H429" s="230"/>
      <c r="I429" s="230"/>
      <c r="J429" s="230"/>
      <c r="K429" s="230"/>
      <c r="L429" s="230"/>
      <c r="M429" s="230"/>
      <c r="N429" s="230"/>
      <c r="O429" s="230"/>
      <c r="P429" s="230"/>
      <c r="Q429" s="230"/>
      <c r="R429" s="230"/>
      <c r="S429" s="230"/>
      <c r="T429" s="230"/>
      <c r="U429" s="230"/>
      <c r="V429" s="230"/>
      <c r="W429" s="230"/>
      <c r="X429" s="230"/>
      <c r="Y429" s="230"/>
      <c r="Z429" s="230"/>
    </row>
    <row r="430" spans="1:26" ht="15.75" customHeight="1">
      <c r="A430" s="230"/>
      <c r="B430" s="230"/>
      <c r="C430" s="230"/>
      <c r="D430" s="230"/>
      <c r="E430" s="230"/>
      <c r="F430" s="230"/>
      <c r="G430" s="230"/>
      <c r="H430" s="230"/>
      <c r="I430" s="230"/>
      <c r="J430" s="230"/>
      <c r="K430" s="230"/>
      <c r="L430" s="230"/>
      <c r="M430" s="230"/>
      <c r="N430" s="230"/>
      <c r="O430" s="230"/>
      <c r="P430" s="230"/>
      <c r="Q430" s="230"/>
      <c r="R430" s="230"/>
      <c r="S430" s="230"/>
      <c r="T430" s="230"/>
      <c r="U430" s="230"/>
      <c r="V430" s="230"/>
      <c r="W430" s="230"/>
      <c r="X430" s="230"/>
      <c r="Y430" s="230"/>
      <c r="Z430" s="230"/>
    </row>
    <row r="431" spans="1:26" ht="15.75" customHeight="1">
      <c r="A431" s="230"/>
      <c r="B431" s="230"/>
      <c r="C431" s="230"/>
      <c r="D431" s="230"/>
      <c r="E431" s="230"/>
      <c r="F431" s="230"/>
      <c r="G431" s="230"/>
      <c r="H431" s="230"/>
      <c r="I431" s="230"/>
      <c r="J431" s="230"/>
      <c r="K431" s="230"/>
      <c r="L431" s="230"/>
      <c r="M431" s="230"/>
      <c r="N431" s="230"/>
      <c r="O431" s="230"/>
      <c r="P431" s="230"/>
      <c r="Q431" s="230"/>
      <c r="R431" s="230"/>
      <c r="S431" s="230"/>
      <c r="T431" s="230"/>
      <c r="U431" s="230"/>
      <c r="V431" s="230"/>
      <c r="W431" s="230"/>
      <c r="X431" s="230"/>
      <c r="Y431" s="230"/>
      <c r="Z431" s="230"/>
    </row>
    <row r="432" spans="1:26" ht="15.75" customHeight="1">
      <c r="A432" s="230"/>
      <c r="B432" s="230"/>
      <c r="C432" s="230"/>
      <c r="D432" s="230"/>
      <c r="E432" s="230"/>
      <c r="F432" s="230"/>
      <c r="G432" s="230"/>
      <c r="H432" s="230"/>
      <c r="I432" s="230"/>
      <c r="J432" s="230"/>
      <c r="K432" s="230"/>
      <c r="L432" s="230"/>
      <c r="M432" s="230"/>
      <c r="N432" s="230"/>
      <c r="O432" s="230"/>
      <c r="P432" s="230"/>
      <c r="Q432" s="230"/>
      <c r="R432" s="230"/>
      <c r="S432" s="230"/>
      <c r="T432" s="230"/>
      <c r="U432" s="230"/>
      <c r="V432" s="230"/>
      <c r="W432" s="230"/>
      <c r="X432" s="230"/>
      <c r="Y432" s="230"/>
      <c r="Z432" s="230"/>
    </row>
    <row r="433" spans="1:26" ht="15.75" customHeight="1">
      <c r="A433" s="230"/>
      <c r="B433" s="230"/>
      <c r="C433" s="230"/>
      <c r="D433" s="230"/>
      <c r="E433" s="230"/>
      <c r="F433" s="230"/>
      <c r="G433" s="230"/>
      <c r="H433" s="230"/>
      <c r="I433" s="230"/>
      <c r="J433" s="230"/>
      <c r="K433" s="230"/>
      <c r="L433" s="230"/>
      <c r="M433" s="230"/>
      <c r="N433" s="230"/>
      <c r="O433" s="230"/>
      <c r="P433" s="230"/>
      <c r="Q433" s="230"/>
      <c r="R433" s="230"/>
      <c r="S433" s="230"/>
      <c r="T433" s="230"/>
      <c r="U433" s="230"/>
      <c r="V433" s="230"/>
      <c r="W433" s="230"/>
      <c r="X433" s="230"/>
      <c r="Y433" s="230"/>
      <c r="Z433" s="230"/>
    </row>
    <row r="434" spans="1:26" ht="15.75" customHeight="1">
      <c r="A434" s="230"/>
      <c r="B434" s="230"/>
      <c r="C434" s="230"/>
      <c r="D434" s="230"/>
      <c r="E434" s="230"/>
      <c r="F434" s="230"/>
      <c r="G434" s="230"/>
      <c r="H434" s="230"/>
      <c r="I434" s="230"/>
      <c r="J434" s="230"/>
      <c r="K434" s="230"/>
      <c r="L434" s="230"/>
      <c r="M434" s="230"/>
      <c r="N434" s="230"/>
      <c r="O434" s="230"/>
      <c r="P434" s="230"/>
      <c r="Q434" s="230"/>
      <c r="R434" s="230"/>
      <c r="S434" s="230"/>
      <c r="T434" s="230"/>
      <c r="U434" s="230"/>
      <c r="V434" s="230"/>
      <c r="W434" s="230"/>
      <c r="X434" s="230"/>
      <c r="Y434" s="230"/>
      <c r="Z434" s="230"/>
    </row>
    <row r="435" spans="1:26" ht="15.75" customHeight="1">
      <c r="A435" s="230"/>
      <c r="B435" s="230"/>
      <c r="C435" s="230"/>
      <c r="D435" s="230"/>
      <c r="E435" s="230"/>
      <c r="F435" s="230"/>
      <c r="G435" s="230"/>
      <c r="H435" s="230"/>
      <c r="I435" s="230"/>
      <c r="J435" s="230"/>
      <c r="K435" s="230"/>
      <c r="L435" s="230"/>
      <c r="M435" s="230"/>
      <c r="N435" s="230"/>
      <c r="O435" s="230"/>
      <c r="P435" s="230"/>
      <c r="Q435" s="230"/>
      <c r="R435" s="230"/>
      <c r="S435" s="230"/>
      <c r="T435" s="230"/>
      <c r="U435" s="230"/>
      <c r="V435" s="230"/>
      <c r="W435" s="230"/>
      <c r="X435" s="230"/>
      <c r="Y435" s="230"/>
      <c r="Z435" s="230"/>
    </row>
    <row r="436" spans="1:26" ht="15.75" customHeight="1">
      <c r="A436" s="230"/>
      <c r="B436" s="230"/>
      <c r="C436" s="230"/>
      <c r="D436" s="230"/>
      <c r="E436" s="230"/>
      <c r="F436" s="230"/>
      <c r="G436" s="230"/>
      <c r="H436" s="230"/>
      <c r="I436" s="230"/>
      <c r="J436" s="230"/>
      <c r="K436" s="230"/>
      <c r="L436" s="230"/>
      <c r="M436" s="230"/>
      <c r="N436" s="230"/>
      <c r="O436" s="230"/>
      <c r="P436" s="230"/>
      <c r="Q436" s="230"/>
      <c r="R436" s="230"/>
      <c r="S436" s="230"/>
      <c r="T436" s="230"/>
      <c r="U436" s="230"/>
      <c r="V436" s="230"/>
      <c r="W436" s="230"/>
      <c r="X436" s="230"/>
      <c r="Y436" s="230"/>
      <c r="Z436" s="230"/>
    </row>
    <row r="437" spans="1:26" ht="15.75" customHeight="1">
      <c r="A437" s="230"/>
      <c r="B437" s="230"/>
      <c r="C437" s="230"/>
      <c r="D437" s="230"/>
      <c r="E437" s="230"/>
      <c r="F437" s="230"/>
      <c r="G437" s="230"/>
      <c r="H437" s="230"/>
      <c r="I437" s="230"/>
      <c r="J437" s="230"/>
      <c r="K437" s="230"/>
      <c r="L437" s="230"/>
      <c r="M437" s="230"/>
      <c r="N437" s="230"/>
      <c r="O437" s="230"/>
      <c r="P437" s="230"/>
      <c r="Q437" s="230"/>
      <c r="R437" s="230"/>
      <c r="S437" s="230"/>
      <c r="T437" s="230"/>
      <c r="U437" s="230"/>
      <c r="V437" s="230"/>
      <c r="W437" s="230"/>
      <c r="X437" s="230"/>
      <c r="Y437" s="230"/>
      <c r="Z437" s="230"/>
    </row>
    <row r="438" spans="1:26" ht="15.75" customHeight="1">
      <c r="A438" s="230"/>
      <c r="B438" s="230"/>
      <c r="C438" s="230"/>
      <c r="D438" s="230"/>
      <c r="E438" s="230"/>
      <c r="F438" s="230"/>
      <c r="G438" s="230"/>
      <c r="H438" s="230"/>
      <c r="I438" s="230"/>
      <c r="J438" s="230"/>
      <c r="K438" s="230"/>
      <c r="L438" s="230"/>
      <c r="M438" s="230"/>
      <c r="N438" s="230"/>
      <c r="O438" s="230"/>
      <c r="P438" s="230"/>
      <c r="Q438" s="230"/>
      <c r="R438" s="230"/>
      <c r="S438" s="230"/>
      <c r="T438" s="230"/>
      <c r="U438" s="230"/>
      <c r="V438" s="230"/>
      <c r="W438" s="230"/>
      <c r="X438" s="230"/>
      <c r="Y438" s="230"/>
      <c r="Z438" s="230"/>
    </row>
    <row r="439" spans="1:26" ht="15.75" customHeight="1">
      <c r="A439" s="230"/>
      <c r="B439" s="230"/>
      <c r="C439" s="230"/>
      <c r="D439" s="230"/>
      <c r="E439" s="230"/>
      <c r="F439" s="230"/>
      <c r="G439" s="230"/>
      <c r="H439" s="230"/>
      <c r="I439" s="230"/>
      <c r="J439" s="230"/>
      <c r="K439" s="230"/>
      <c r="L439" s="230"/>
      <c r="M439" s="230"/>
      <c r="N439" s="230"/>
      <c r="O439" s="230"/>
      <c r="P439" s="230"/>
      <c r="Q439" s="230"/>
      <c r="R439" s="230"/>
      <c r="S439" s="230"/>
      <c r="T439" s="230"/>
      <c r="U439" s="230"/>
      <c r="V439" s="230"/>
      <c r="W439" s="230"/>
      <c r="X439" s="230"/>
      <c r="Y439" s="230"/>
      <c r="Z439" s="230"/>
    </row>
    <row r="440" spans="1:26" ht="15.75" customHeight="1">
      <c r="A440" s="230"/>
      <c r="B440" s="230"/>
      <c r="C440" s="230"/>
      <c r="D440" s="230"/>
      <c r="E440" s="230"/>
      <c r="F440" s="230"/>
      <c r="G440" s="230"/>
      <c r="H440" s="230"/>
      <c r="I440" s="230"/>
      <c r="J440" s="230"/>
      <c r="K440" s="230"/>
      <c r="L440" s="230"/>
      <c r="M440" s="230"/>
      <c r="N440" s="230"/>
      <c r="O440" s="230"/>
      <c r="P440" s="230"/>
      <c r="Q440" s="230"/>
      <c r="R440" s="230"/>
      <c r="S440" s="230"/>
      <c r="T440" s="230"/>
      <c r="U440" s="230"/>
      <c r="V440" s="230"/>
      <c r="W440" s="230"/>
      <c r="X440" s="230"/>
      <c r="Y440" s="230"/>
      <c r="Z440" s="230"/>
    </row>
    <row r="441" spans="1:26" ht="15.75" customHeight="1">
      <c r="A441" s="230"/>
      <c r="B441" s="230"/>
      <c r="C441" s="230"/>
      <c r="D441" s="230"/>
      <c r="E441" s="230"/>
      <c r="F441" s="230"/>
      <c r="G441" s="230"/>
      <c r="H441" s="230"/>
      <c r="I441" s="230"/>
      <c r="J441" s="230"/>
      <c r="K441" s="230"/>
      <c r="L441" s="230"/>
      <c r="M441" s="230"/>
      <c r="N441" s="230"/>
      <c r="O441" s="230"/>
      <c r="P441" s="230"/>
      <c r="Q441" s="230"/>
      <c r="R441" s="230"/>
      <c r="S441" s="230"/>
      <c r="T441" s="230"/>
      <c r="U441" s="230"/>
      <c r="V441" s="230"/>
      <c r="W441" s="230"/>
      <c r="X441" s="230"/>
      <c r="Y441" s="230"/>
      <c r="Z441" s="230"/>
    </row>
    <row r="442" spans="1:26" ht="15.75" customHeight="1">
      <c r="A442" s="230"/>
      <c r="B442" s="230"/>
      <c r="C442" s="230"/>
      <c r="D442" s="230"/>
      <c r="E442" s="230"/>
      <c r="F442" s="230"/>
      <c r="G442" s="230"/>
      <c r="H442" s="230"/>
      <c r="I442" s="230"/>
      <c r="J442" s="230"/>
      <c r="K442" s="230"/>
      <c r="L442" s="230"/>
      <c r="M442" s="230"/>
      <c r="N442" s="230"/>
      <c r="O442" s="230"/>
      <c r="P442" s="230"/>
      <c r="Q442" s="230"/>
      <c r="R442" s="230"/>
      <c r="S442" s="230"/>
      <c r="T442" s="230"/>
      <c r="U442" s="230"/>
      <c r="V442" s="230"/>
      <c r="W442" s="230"/>
      <c r="X442" s="230"/>
      <c r="Y442" s="230"/>
      <c r="Z442" s="230"/>
    </row>
    <row r="443" spans="1:26" ht="15.75" customHeight="1">
      <c r="A443" s="230"/>
      <c r="B443" s="230"/>
      <c r="C443" s="230"/>
      <c r="D443" s="230"/>
      <c r="E443" s="230"/>
      <c r="F443" s="230"/>
      <c r="G443" s="230"/>
      <c r="H443" s="230"/>
      <c r="I443" s="230"/>
      <c r="J443" s="230"/>
      <c r="K443" s="230"/>
      <c r="L443" s="230"/>
      <c r="M443" s="230"/>
      <c r="N443" s="230"/>
      <c r="O443" s="230"/>
      <c r="P443" s="230"/>
      <c r="Q443" s="230"/>
      <c r="R443" s="230"/>
      <c r="S443" s="230"/>
      <c r="T443" s="230"/>
      <c r="U443" s="230"/>
      <c r="V443" s="230"/>
      <c r="W443" s="230"/>
      <c r="X443" s="230"/>
      <c r="Y443" s="230"/>
      <c r="Z443" s="230"/>
    </row>
    <row r="444" spans="1:26" ht="15.75" customHeight="1">
      <c r="A444" s="230"/>
      <c r="B444" s="230"/>
      <c r="C444" s="230"/>
      <c r="D444" s="230"/>
      <c r="E444" s="230"/>
      <c r="F444" s="230"/>
      <c r="G444" s="230"/>
      <c r="H444" s="230"/>
      <c r="I444" s="230"/>
      <c r="J444" s="230"/>
      <c r="K444" s="230"/>
      <c r="L444" s="230"/>
      <c r="M444" s="230"/>
      <c r="N444" s="230"/>
      <c r="O444" s="230"/>
      <c r="P444" s="230"/>
      <c r="Q444" s="230"/>
      <c r="R444" s="230"/>
      <c r="S444" s="230"/>
      <c r="T444" s="230"/>
      <c r="U444" s="230"/>
      <c r="V444" s="230"/>
      <c r="W444" s="230"/>
      <c r="X444" s="230"/>
      <c r="Y444" s="230"/>
      <c r="Z444" s="230"/>
    </row>
    <row r="445" spans="1:26" ht="15.75" customHeight="1">
      <c r="A445" s="230"/>
      <c r="B445" s="230"/>
      <c r="C445" s="230"/>
      <c r="D445" s="230"/>
      <c r="E445" s="230"/>
      <c r="F445" s="230"/>
      <c r="G445" s="230"/>
      <c r="H445" s="230"/>
      <c r="I445" s="230"/>
      <c r="J445" s="230"/>
      <c r="K445" s="230"/>
      <c r="L445" s="230"/>
      <c r="M445" s="230"/>
      <c r="N445" s="230"/>
      <c r="O445" s="230"/>
      <c r="P445" s="230"/>
      <c r="Q445" s="230"/>
      <c r="R445" s="230"/>
      <c r="S445" s="230"/>
      <c r="T445" s="230"/>
      <c r="U445" s="230"/>
      <c r="V445" s="230"/>
      <c r="W445" s="230"/>
      <c r="X445" s="230"/>
      <c r="Y445" s="230"/>
      <c r="Z445" s="230"/>
    </row>
    <row r="446" spans="1:26" ht="15.75" customHeight="1">
      <c r="A446" s="230"/>
      <c r="B446" s="230"/>
      <c r="C446" s="230"/>
      <c r="D446" s="230"/>
      <c r="E446" s="230"/>
      <c r="F446" s="230"/>
      <c r="G446" s="230"/>
      <c r="H446" s="230"/>
      <c r="I446" s="230"/>
      <c r="J446" s="230"/>
      <c r="K446" s="230"/>
      <c r="L446" s="230"/>
      <c r="M446" s="230"/>
      <c r="N446" s="230"/>
      <c r="O446" s="230"/>
      <c r="P446" s="230"/>
      <c r="Q446" s="230"/>
      <c r="R446" s="230"/>
      <c r="S446" s="230"/>
      <c r="T446" s="230"/>
      <c r="U446" s="230"/>
      <c r="V446" s="230"/>
      <c r="W446" s="230"/>
      <c r="X446" s="230"/>
      <c r="Y446" s="230"/>
      <c r="Z446" s="230"/>
    </row>
    <row r="447" spans="1:26" ht="15.75" customHeight="1">
      <c r="A447" s="230"/>
      <c r="B447" s="230"/>
      <c r="C447" s="230"/>
      <c r="D447" s="230"/>
      <c r="E447" s="230"/>
      <c r="F447" s="230"/>
      <c r="G447" s="230"/>
      <c r="H447" s="230"/>
      <c r="I447" s="230"/>
      <c r="J447" s="230"/>
      <c r="K447" s="230"/>
      <c r="L447" s="230"/>
      <c r="M447" s="230"/>
      <c r="N447" s="230"/>
      <c r="O447" s="230"/>
      <c r="P447" s="230"/>
      <c r="Q447" s="230"/>
      <c r="R447" s="230"/>
      <c r="S447" s="230"/>
      <c r="T447" s="230"/>
      <c r="U447" s="230"/>
      <c r="V447" s="230"/>
      <c r="W447" s="230"/>
      <c r="X447" s="230"/>
      <c r="Y447" s="230"/>
      <c r="Z447" s="230"/>
    </row>
    <row r="448" spans="1:26" ht="15.75" customHeight="1">
      <c r="A448" s="230"/>
      <c r="B448" s="230"/>
      <c r="C448" s="230"/>
      <c r="D448" s="230"/>
      <c r="E448" s="230"/>
      <c r="F448" s="230"/>
      <c r="G448" s="230"/>
      <c r="H448" s="230"/>
      <c r="I448" s="230"/>
      <c r="J448" s="230"/>
      <c r="K448" s="230"/>
      <c r="L448" s="230"/>
      <c r="M448" s="230"/>
      <c r="N448" s="230"/>
      <c r="O448" s="230"/>
      <c r="P448" s="230"/>
      <c r="Q448" s="230"/>
      <c r="R448" s="230"/>
      <c r="S448" s="230"/>
      <c r="T448" s="230"/>
      <c r="U448" s="230"/>
      <c r="V448" s="230"/>
      <c r="W448" s="230"/>
      <c r="X448" s="230"/>
      <c r="Y448" s="230"/>
      <c r="Z448" s="230"/>
    </row>
    <row r="449" spans="1:26" ht="15.75" customHeight="1">
      <c r="A449" s="230"/>
      <c r="B449" s="230"/>
      <c r="C449" s="230"/>
      <c r="D449" s="230"/>
      <c r="E449" s="230"/>
      <c r="F449" s="230"/>
      <c r="G449" s="230"/>
      <c r="H449" s="230"/>
      <c r="I449" s="230"/>
      <c r="J449" s="230"/>
      <c r="K449" s="230"/>
      <c r="L449" s="230"/>
      <c r="M449" s="230"/>
      <c r="N449" s="230"/>
      <c r="O449" s="230"/>
      <c r="P449" s="230"/>
      <c r="Q449" s="230"/>
      <c r="R449" s="230"/>
      <c r="S449" s="230"/>
      <c r="T449" s="230"/>
      <c r="U449" s="230"/>
      <c r="V449" s="230"/>
      <c r="W449" s="230"/>
      <c r="X449" s="230"/>
      <c r="Y449" s="230"/>
      <c r="Z449" s="230"/>
    </row>
    <row r="450" spans="1:26" ht="15.75" customHeight="1">
      <c r="A450" s="230"/>
      <c r="B450" s="230"/>
      <c r="C450" s="230"/>
      <c r="D450" s="230"/>
      <c r="E450" s="230"/>
      <c r="F450" s="230"/>
      <c r="G450" s="230"/>
      <c r="H450" s="230"/>
      <c r="I450" s="230"/>
      <c r="J450" s="230"/>
      <c r="K450" s="230"/>
      <c r="L450" s="230"/>
      <c r="M450" s="230"/>
      <c r="N450" s="230"/>
      <c r="O450" s="230"/>
      <c r="P450" s="230"/>
      <c r="Q450" s="230"/>
      <c r="R450" s="230"/>
      <c r="S450" s="230"/>
      <c r="T450" s="230"/>
      <c r="U450" s="230"/>
      <c r="V450" s="230"/>
      <c r="W450" s="230"/>
      <c r="X450" s="230"/>
      <c r="Y450" s="230"/>
      <c r="Z450" s="230"/>
    </row>
    <row r="451" spans="1:26" ht="15.75" customHeight="1">
      <c r="A451" s="230"/>
      <c r="B451" s="230"/>
      <c r="C451" s="230"/>
      <c r="D451" s="230"/>
      <c r="E451" s="230"/>
      <c r="F451" s="230"/>
      <c r="G451" s="230"/>
      <c r="H451" s="230"/>
      <c r="I451" s="230"/>
      <c r="J451" s="230"/>
      <c r="K451" s="230"/>
      <c r="L451" s="230"/>
      <c r="M451" s="230"/>
      <c r="N451" s="230"/>
      <c r="O451" s="230"/>
      <c r="P451" s="230"/>
      <c r="Q451" s="230"/>
      <c r="R451" s="230"/>
      <c r="S451" s="230"/>
      <c r="T451" s="230"/>
      <c r="U451" s="230"/>
      <c r="V451" s="230"/>
      <c r="W451" s="230"/>
      <c r="X451" s="230"/>
      <c r="Y451" s="230"/>
      <c r="Z451" s="230"/>
    </row>
    <row r="452" spans="1:26" ht="15.75" customHeight="1">
      <c r="A452" s="230"/>
      <c r="B452" s="230"/>
      <c r="C452" s="230"/>
      <c r="D452" s="230"/>
      <c r="E452" s="230"/>
      <c r="F452" s="230"/>
      <c r="G452" s="230"/>
      <c r="H452" s="230"/>
      <c r="I452" s="230"/>
      <c r="J452" s="230"/>
      <c r="K452" s="230"/>
      <c r="L452" s="230"/>
      <c r="M452" s="230"/>
      <c r="N452" s="230"/>
      <c r="O452" s="230"/>
      <c r="P452" s="230"/>
      <c r="Q452" s="230"/>
      <c r="R452" s="230"/>
      <c r="S452" s="230"/>
      <c r="T452" s="230"/>
      <c r="U452" s="230"/>
      <c r="V452" s="230"/>
      <c r="W452" s="230"/>
      <c r="X452" s="230"/>
      <c r="Y452" s="230"/>
      <c r="Z452" s="230"/>
    </row>
    <row r="453" spans="1:26" ht="15.75" customHeight="1">
      <c r="A453" s="230"/>
      <c r="B453" s="230"/>
      <c r="C453" s="230"/>
      <c r="D453" s="230"/>
      <c r="E453" s="230"/>
      <c r="F453" s="230"/>
      <c r="G453" s="230"/>
      <c r="H453" s="230"/>
      <c r="I453" s="230"/>
      <c r="J453" s="230"/>
      <c r="K453" s="230"/>
      <c r="L453" s="230"/>
      <c r="M453" s="230"/>
      <c r="N453" s="230"/>
      <c r="O453" s="230"/>
      <c r="P453" s="230"/>
      <c r="Q453" s="230"/>
      <c r="R453" s="230"/>
      <c r="S453" s="230"/>
      <c r="T453" s="230"/>
      <c r="U453" s="230"/>
      <c r="V453" s="230"/>
      <c r="W453" s="230"/>
      <c r="X453" s="230"/>
      <c r="Y453" s="230"/>
      <c r="Z453" s="230"/>
    </row>
    <row r="454" spans="1:26" ht="15.75" customHeight="1">
      <c r="A454" s="230"/>
      <c r="B454" s="230"/>
      <c r="C454" s="230"/>
      <c r="D454" s="230"/>
      <c r="E454" s="230"/>
      <c r="F454" s="230"/>
      <c r="G454" s="230"/>
      <c r="H454" s="230"/>
      <c r="I454" s="230"/>
      <c r="J454" s="230"/>
      <c r="K454" s="230"/>
      <c r="L454" s="230"/>
      <c r="M454" s="230"/>
      <c r="N454" s="230"/>
      <c r="O454" s="230"/>
      <c r="P454" s="230"/>
      <c r="Q454" s="230"/>
      <c r="R454" s="230"/>
      <c r="S454" s="230"/>
      <c r="T454" s="230"/>
      <c r="U454" s="230"/>
      <c r="V454" s="230"/>
      <c r="W454" s="230"/>
      <c r="X454" s="230"/>
      <c r="Y454" s="230"/>
      <c r="Z454" s="230"/>
    </row>
    <row r="455" spans="1:26" ht="15.75" customHeight="1">
      <c r="A455" s="230"/>
      <c r="B455" s="230"/>
      <c r="C455" s="230"/>
      <c r="D455" s="230"/>
      <c r="E455" s="230"/>
      <c r="F455" s="230"/>
      <c r="G455" s="230"/>
      <c r="H455" s="230"/>
      <c r="I455" s="230"/>
      <c r="J455" s="230"/>
      <c r="K455" s="230"/>
      <c r="L455" s="230"/>
      <c r="M455" s="230"/>
      <c r="N455" s="230"/>
      <c r="O455" s="230"/>
      <c r="P455" s="230"/>
      <c r="Q455" s="230"/>
      <c r="R455" s="230"/>
      <c r="S455" s="230"/>
      <c r="T455" s="230"/>
      <c r="U455" s="230"/>
      <c r="V455" s="230"/>
      <c r="W455" s="230"/>
      <c r="X455" s="230"/>
      <c r="Y455" s="230"/>
      <c r="Z455" s="230"/>
    </row>
    <row r="456" spans="1:26" ht="15.75" customHeight="1">
      <c r="A456" s="230"/>
      <c r="B456" s="230"/>
      <c r="C456" s="230"/>
      <c r="D456" s="230"/>
      <c r="E456" s="230"/>
      <c r="F456" s="230"/>
      <c r="G456" s="230"/>
      <c r="H456" s="230"/>
      <c r="I456" s="230"/>
      <c r="J456" s="230"/>
      <c r="K456" s="230"/>
      <c r="L456" s="230"/>
      <c r="M456" s="230"/>
      <c r="N456" s="230"/>
      <c r="O456" s="230"/>
      <c r="P456" s="230"/>
      <c r="Q456" s="230"/>
      <c r="R456" s="230"/>
      <c r="S456" s="230"/>
      <c r="T456" s="230"/>
      <c r="U456" s="230"/>
      <c r="V456" s="230"/>
      <c r="W456" s="230"/>
      <c r="X456" s="230"/>
      <c r="Y456" s="230"/>
      <c r="Z456" s="230"/>
    </row>
    <row r="457" spans="1:26" ht="15.75" customHeight="1">
      <c r="A457" s="230"/>
      <c r="B457" s="230"/>
      <c r="C457" s="230"/>
      <c r="D457" s="230"/>
      <c r="E457" s="230"/>
      <c r="F457" s="230"/>
      <c r="G457" s="230"/>
      <c r="H457" s="230"/>
      <c r="I457" s="230"/>
      <c r="J457" s="230"/>
      <c r="K457" s="230"/>
      <c r="L457" s="230"/>
      <c r="M457" s="230"/>
      <c r="N457" s="230"/>
      <c r="O457" s="230"/>
      <c r="P457" s="230"/>
      <c r="Q457" s="230"/>
      <c r="R457" s="230"/>
      <c r="S457" s="230"/>
      <c r="T457" s="230"/>
      <c r="U457" s="230"/>
      <c r="V457" s="230"/>
      <c r="W457" s="230"/>
      <c r="X457" s="230"/>
      <c r="Y457" s="230"/>
      <c r="Z457" s="230"/>
    </row>
    <row r="458" spans="1:26" ht="15.75" customHeight="1">
      <c r="A458" s="230"/>
      <c r="B458" s="230"/>
      <c r="C458" s="230"/>
      <c r="D458" s="230"/>
      <c r="E458" s="230"/>
      <c r="F458" s="230"/>
      <c r="G458" s="230"/>
      <c r="H458" s="230"/>
      <c r="I458" s="230"/>
      <c r="J458" s="230"/>
      <c r="K458" s="230"/>
      <c r="L458" s="230"/>
      <c r="M458" s="230"/>
      <c r="N458" s="230"/>
      <c r="O458" s="230"/>
      <c r="P458" s="230"/>
      <c r="Q458" s="230"/>
      <c r="R458" s="230"/>
      <c r="S458" s="230"/>
      <c r="T458" s="230"/>
      <c r="U458" s="230"/>
      <c r="V458" s="230"/>
      <c r="W458" s="230"/>
      <c r="X458" s="230"/>
      <c r="Y458" s="230"/>
      <c r="Z458" s="230"/>
    </row>
    <row r="459" spans="1:26" ht="15.75" customHeight="1">
      <c r="A459" s="230"/>
      <c r="B459" s="230"/>
      <c r="C459" s="230"/>
      <c r="D459" s="230"/>
      <c r="E459" s="230"/>
      <c r="F459" s="230"/>
      <c r="G459" s="230"/>
      <c r="H459" s="230"/>
      <c r="I459" s="230"/>
      <c r="J459" s="230"/>
      <c r="K459" s="230"/>
      <c r="L459" s="230"/>
      <c r="M459" s="230"/>
      <c r="N459" s="230"/>
      <c r="O459" s="230"/>
      <c r="P459" s="230"/>
      <c r="Q459" s="230"/>
      <c r="R459" s="230"/>
      <c r="S459" s="230"/>
      <c r="T459" s="230"/>
      <c r="U459" s="230"/>
      <c r="V459" s="230"/>
      <c r="W459" s="230"/>
      <c r="X459" s="230"/>
      <c r="Y459" s="230"/>
      <c r="Z459" s="230"/>
    </row>
    <row r="460" spans="1:26" ht="15.75" customHeight="1">
      <c r="A460" s="230"/>
      <c r="B460" s="230"/>
      <c r="C460" s="230"/>
      <c r="D460" s="230"/>
      <c r="E460" s="230"/>
      <c r="F460" s="230"/>
      <c r="G460" s="230"/>
      <c r="H460" s="230"/>
      <c r="I460" s="230"/>
      <c r="J460" s="230"/>
      <c r="K460" s="230"/>
      <c r="L460" s="230"/>
      <c r="M460" s="230"/>
      <c r="N460" s="230"/>
      <c r="O460" s="230"/>
      <c r="P460" s="230"/>
      <c r="Q460" s="230"/>
      <c r="R460" s="230"/>
      <c r="S460" s="230"/>
      <c r="T460" s="230"/>
      <c r="U460" s="230"/>
      <c r="V460" s="230"/>
      <c r="W460" s="230"/>
      <c r="X460" s="230"/>
      <c r="Y460" s="230"/>
      <c r="Z460" s="230"/>
    </row>
    <row r="461" spans="1:26" ht="15.75" customHeight="1">
      <c r="A461" s="230"/>
      <c r="B461" s="230"/>
      <c r="C461" s="230"/>
      <c r="D461" s="230"/>
      <c r="E461" s="230"/>
      <c r="F461" s="230"/>
      <c r="G461" s="230"/>
      <c r="H461" s="230"/>
      <c r="I461" s="230"/>
      <c r="J461" s="230"/>
      <c r="K461" s="230"/>
      <c r="L461" s="230"/>
      <c r="M461" s="230"/>
      <c r="N461" s="230"/>
      <c r="O461" s="230"/>
      <c r="P461" s="230"/>
      <c r="Q461" s="230"/>
      <c r="R461" s="230"/>
      <c r="S461" s="230"/>
      <c r="T461" s="230"/>
      <c r="U461" s="230"/>
      <c r="V461" s="230"/>
      <c r="W461" s="230"/>
      <c r="X461" s="230"/>
      <c r="Y461" s="230"/>
      <c r="Z461" s="230"/>
    </row>
    <row r="462" spans="1:26" ht="15.75" customHeight="1">
      <c r="A462" s="230"/>
      <c r="B462" s="230"/>
      <c r="C462" s="230"/>
      <c r="D462" s="230"/>
      <c r="E462" s="230"/>
      <c r="F462" s="230"/>
      <c r="G462" s="230"/>
      <c r="H462" s="230"/>
      <c r="I462" s="230"/>
      <c r="J462" s="230"/>
      <c r="K462" s="230"/>
      <c r="L462" s="230"/>
      <c r="M462" s="230"/>
      <c r="N462" s="230"/>
      <c r="O462" s="230"/>
      <c r="P462" s="230"/>
      <c r="Q462" s="230"/>
      <c r="R462" s="230"/>
      <c r="S462" s="230"/>
      <c r="T462" s="230"/>
      <c r="U462" s="230"/>
      <c r="V462" s="230"/>
      <c r="W462" s="230"/>
      <c r="X462" s="230"/>
      <c r="Y462" s="230"/>
      <c r="Z462" s="230"/>
    </row>
    <row r="463" spans="1:26" ht="15.75" customHeight="1">
      <c r="A463" s="230"/>
      <c r="B463" s="230"/>
      <c r="C463" s="230"/>
      <c r="D463" s="230"/>
      <c r="E463" s="230"/>
      <c r="F463" s="230"/>
      <c r="G463" s="230"/>
      <c r="H463" s="230"/>
      <c r="I463" s="230"/>
      <c r="J463" s="230"/>
      <c r="K463" s="230"/>
      <c r="L463" s="230"/>
      <c r="M463" s="230"/>
      <c r="N463" s="230"/>
      <c r="O463" s="230"/>
      <c r="P463" s="230"/>
      <c r="Q463" s="230"/>
      <c r="R463" s="230"/>
      <c r="S463" s="230"/>
      <c r="T463" s="230"/>
      <c r="U463" s="230"/>
      <c r="V463" s="230"/>
      <c r="W463" s="230"/>
      <c r="X463" s="230"/>
      <c r="Y463" s="230"/>
      <c r="Z463" s="230"/>
    </row>
    <row r="464" spans="1:26" ht="15.75" customHeight="1">
      <c r="A464" s="230"/>
      <c r="B464" s="230"/>
      <c r="C464" s="230"/>
      <c r="D464" s="230"/>
      <c r="E464" s="230"/>
      <c r="F464" s="230"/>
      <c r="G464" s="230"/>
      <c r="H464" s="230"/>
      <c r="I464" s="230"/>
      <c r="J464" s="230"/>
      <c r="K464" s="230"/>
      <c r="L464" s="230"/>
      <c r="M464" s="230"/>
      <c r="N464" s="230"/>
      <c r="O464" s="230"/>
      <c r="P464" s="230"/>
      <c r="Q464" s="230"/>
      <c r="R464" s="230"/>
      <c r="S464" s="230"/>
      <c r="T464" s="230"/>
      <c r="U464" s="230"/>
      <c r="V464" s="230"/>
      <c r="W464" s="230"/>
      <c r="X464" s="230"/>
      <c r="Y464" s="230"/>
      <c r="Z464" s="230"/>
    </row>
    <row r="465" spans="1:26" ht="15.75" customHeight="1">
      <c r="A465" s="230"/>
      <c r="B465" s="230"/>
      <c r="C465" s="230"/>
      <c r="D465" s="230"/>
      <c r="E465" s="230"/>
      <c r="F465" s="230"/>
      <c r="G465" s="230"/>
      <c r="H465" s="230"/>
      <c r="I465" s="230"/>
      <c r="J465" s="230"/>
      <c r="K465" s="230"/>
      <c r="L465" s="230"/>
      <c r="M465" s="230"/>
      <c r="N465" s="230"/>
      <c r="O465" s="230"/>
      <c r="P465" s="230"/>
      <c r="Q465" s="230"/>
      <c r="R465" s="230"/>
      <c r="S465" s="230"/>
      <c r="T465" s="230"/>
      <c r="U465" s="230"/>
      <c r="V465" s="230"/>
      <c r="W465" s="230"/>
      <c r="X465" s="230"/>
      <c r="Y465" s="230"/>
      <c r="Z465" s="230"/>
    </row>
    <row r="466" spans="1:26" ht="15.75" customHeight="1">
      <c r="A466" s="230"/>
      <c r="B466" s="230"/>
      <c r="C466" s="230"/>
      <c r="D466" s="230"/>
      <c r="E466" s="230"/>
      <c r="F466" s="230"/>
      <c r="G466" s="230"/>
      <c r="H466" s="230"/>
      <c r="I466" s="230"/>
      <c r="J466" s="230"/>
      <c r="K466" s="230"/>
      <c r="L466" s="230"/>
      <c r="M466" s="230"/>
      <c r="N466" s="230"/>
      <c r="O466" s="230"/>
      <c r="P466" s="230"/>
      <c r="Q466" s="230"/>
      <c r="R466" s="230"/>
      <c r="S466" s="230"/>
      <c r="T466" s="230"/>
      <c r="U466" s="230"/>
      <c r="V466" s="230"/>
      <c r="W466" s="230"/>
      <c r="X466" s="230"/>
      <c r="Y466" s="230"/>
      <c r="Z466" s="230"/>
    </row>
    <row r="467" spans="1:26" ht="15.75" customHeight="1">
      <c r="A467" s="230"/>
      <c r="B467" s="230"/>
      <c r="C467" s="230"/>
      <c r="D467" s="230"/>
      <c r="E467" s="230"/>
      <c r="F467" s="230"/>
      <c r="G467" s="230"/>
      <c r="H467" s="230"/>
      <c r="I467" s="230"/>
      <c r="J467" s="230"/>
      <c r="K467" s="230"/>
      <c r="L467" s="230"/>
      <c r="M467" s="230"/>
      <c r="N467" s="230"/>
      <c r="O467" s="230"/>
      <c r="P467" s="230"/>
      <c r="Q467" s="230"/>
      <c r="R467" s="230"/>
      <c r="S467" s="230"/>
      <c r="T467" s="230"/>
      <c r="U467" s="230"/>
      <c r="V467" s="230"/>
      <c r="W467" s="230"/>
      <c r="X467" s="230"/>
      <c r="Y467" s="230"/>
      <c r="Z467" s="230"/>
    </row>
    <row r="468" spans="1:26" ht="15.75" customHeight="1">
      <c r="A468" s="230"/>
      <c r="B468" s="230"/>
      <c r="C468" s="230"/>
      <c r="D468" s="230"/>
      <c r="E468" s="230"/>
      <c r="F468" s="230"/>
      <c r="G468" s="230"/>
      <c r="H468" s="230"/>
      <c r="I468" s="230"/>
      <c r="J468" s="230"/>
      <c r="K468" s="230"/>
      <c r="L468" s="230"/>
      <c r="M468" s="230"/>
      <c r="N468" s="230"/>
      <c r="O468" s="230"/>
      <c r="P468" s="230"/>
      <c r="Q468" s="230"/>
      <c r="R468" s="230"/>
      <c r="S468" s="230"/>
      <c r="T468" s="230"/>
      <c r="U468" s="230"/>
      <c r="V468" s="230"/>
      <c r="W468" s="230"/>
      <c r="X468" s="230"/>
      <c r="Y468" s="230"/>
      <c r="Z468" s="230"/>
    </row>
    <row r="469" spans="1:26" ht="15.75" customHeight="1">
      <c r="A469" s="230"/>
      <c r="B469" s="230"/>
      <c r="C469" s="230"/>
      <c r="D469" s="230"/>
      <c r="E469" s="230"/>
      <c r="F469" s="230"/>
      <c r="G469" s="230"/>
      <c r="H469" s="230"/>
      <c r="I469" s="230"/>
      <c r="J469" s="230"/>
      <c r="K469" s="230"/>
      <c r="L469" s="230"/>
      <c r="M469" s="230"/>
      <c r="N469" s="230"/>
      <c r="O469" s="230"/>
      <c r="P469" s="230"/>
      <c r="Q469" s="230"/>
      <c r="R469" s="230"/>
      <c r="S469" s="230"/>
      <c r="T469" s="230"/>
      <c r="U469" s="230"/>
      <c r="V469" s="230"/>
      <c r="W469" s="230"/>
      <c r="X469" s="230"/>
      <c r="Y469" s="230"/>
      <c r="Z469" s="230"/>
    </row>
    <row r="470" spans="1:26" ht="15.75" customHeight="1">
      <c r="A470" s="230"/>
      <c r="B470" s="230"/>
      <c r="C470" s="230"/>
      <c r="D470" s="230"/>
      <c r="E470" s="230"/>
      <c r="F470" s="230"/>
      <c r="G470" s="230"/>
      <c r="H470" s="230"/>
      <c r="I470" s="230"/>
      <c r="J470" s="230"/>
      <c r="K470" s="230"/>
      <c r="L470" s="230"/>
      <c r="M470" s="230"/>
      <c r="N470" s="230"/>
      <c r="O470" s="230"/>
      <c r="P470" s="230"/>
      <c r="Q470" s="230"/>
      <c r="R470" s="230"/>
      <c r="S470" s="230"/>
      <c r="T470" s="230"/>
      <c r="U470" s="230"/>
      <c r="V470" s="230"/>
      <c r="W470" s="230"/>
      <c r="X470" s="230"/>
      <c r="Y470" s="230"/>
      <c r="Z470" s="230"/>
    </row>
    <row r="471" spans="1:26" ht="15.75" customHeight="1">
      <c r="A471" s="230"/>
      <c r="B471" s="230"/>
      <c r="C471" s="230"/>
      <c r="D471" s="230"/>
      <c r="E471" s="230"/>
      <c r="F471" s="230"/>
      <c r="G471" s="230"/>
      <c r="H471" s="230"/>
      <c r="I471" s="230"/>
      <c r="J471" s="230"/>
      <c r="K471" s="230"/>
      <c r="L471" s="230"/>
      <c r="M471" s="230"/>
      <c r="N471" s="230"/>
      <c r="O471" s="230"/>
      <c r="P471" s="230"/>
      <c r="Q471" s="230"/>
      <c r="R471" s="230"/>
      <c r="S471" s="230"/>
      <c r="T471" s="230"/>
      <c r="U471" s="230"/>
      <c r="V471" s="230"/>
      <c r="W471" s="230"/>
      <c r="X471" s="230"/>
      <c r="Y471" s="230"/>
      <c r="Z471" s="230"/>
    </row>
    <row r="472" spans="1:26" ht="15.75" customHeight="1">
      <c r="A472" s="230"/>
      <c r="B472" s="230"/>
      <c r="C472" s="230"/>
      <c r="D472" s="230"/>
      <c r="E472" s="230"/>
      <c r="F472" s="230"/>
      <c r="G472" s="230"/>
      <c r="H472" s="230"/>
      <c r="I472" s="230"/>
      <c r="J472" s="230"/>
      <c r="K472" s="230"/>
      <c r="L472" s="230"/>
      <c r="M472" s="230"/>
      <c r="N472" s="230"/>
      <c r="O472" s="230"/>
      <c r="P472" s="230"/>
      <c r="Q472" s="230"/>
      <c r="R472" s="230"/>
      <c r="S472" s="230"/>
      <c r="T472" s="230"/>
      <c r="U472" s="230"/>
      <c r="V472" s="230"/>
      <c r="W472" s="230"/>
      <c r="X472" s="230"/>
      <c r="Y472" s="230"/>
      <c r="Z472" s="230"/>
    </row>
    <row r="473" spans="1:26" ht="15.75" customHeight="1">
      <c r="A473" s="230"/>
      <c r="B473" s="230"/>
      <c r="C473" s="230"/>
      <c r="D473" s="230"/>
      <c r="E473" s="230"/>
      <c r="F473" s="230"/>
      <c r="G473" s="230"/>
      <c r="H473" s="230"/>
      <c r="I473" s="230"/>
      <c r="J473" s="230"/>
      <c r="K473" s="230"/>
      <c r="L473" s="230"/>
      <c r="M473" s="230"/>
      <c r="N473" s="230"/>
      <c r="O473" s="230"/>
      <c r="P473" s="230"/>
      <c r="Q473" s="230"/>
      <c r="R473" s="230"/>
      <c r="S473" s="230"/>
      <c r="T473" s="230"/>
      <c r="U473" s="230"/>
      <c r="V473" s="230"/>
      <c r="W473" s="230"/>
      <c r="X473" s="230"/>
      <c r="Y473" s="230"/>
      <c r="Z473" s="230"/>
    </row>
    <row r="474" spans="1:26" ht="15.75" customHeight="1">
      <c r="A474" s="230"/>
      <c r="B474" s="230"/>
      <c r="C474" s="230"/>
      <c r="D474" s="230"/>
      <c r="E474" s="230"/>
      <c r="F474" s="230"/>
      <c r="G474" s="230"/>
      <c r="H474" s="230"/>
      <c r="I474" s="230"/>
      <c r="J474" s="230"/>
      <c r="K474" s="230"/>
      <c r="L474" s="230"/>
      <c r="M474" s="230"/>
      <c r="N474" s="230"/>
      <c r="O474" s="230"/>
      <c r="P474" s="230"/>
      <c r="Q474" s="230"/>
      <c r="R474" s="230"/>
      <c r="S474" s="230"/>
      <c r="T474" s="230"/>
      <c r="U474" s="230"/>
      <c r="V474" s="230"/>
      <c r="W474" s="230"/>
      <c r="X474" s="230"/>
      <c r="Y474" s="230"/>
      <c r="Z474" s="230"/>
    </row>
    <row r="475" spans="1:26" ht="15.75" customHeight="1">
      <c r="A475" s="230"/>
      <c r="B475" s="230"/>
      <c r="C475" s="230"/>
      <c r="D475" s="230"/>
      <c r="E475" s="230"/>
      <c r="F475" s="230"/>
      <c r="G475" s="230"/>
      <c r="H475" s="230"/>
      <c r="I475" s="230"/>
      <c r="J475" s="230"/>
      <c r="K475" s="230"/>
      <c r="L475" s="230"/>
      <c r="M475" s="230"/>
      <c r="N475" s="230"/>
      <c r="O475" s="230"/>
      <c r="P475" s="230"/>
      <c r="Q475" s="230"/>
      <c r="R475" s="230"/>
      <c r="S475" s="230"/>
      <c r="T475" s="230"/>
      <c r="U475" s="230"/>
      <c r="V475" s="230"/>
      <c r="W475" s="230"/>
      <c r="X475" s="230"/>
      <c r="Y475" s="230"/>
      <c r="Z475" s="230"/>
    </row>
    <row r="476" spans="1:26" ht="15.75" customHeight="1">
      <c r="A476" s="230"/>
      <c r="B476" s="230"/>
      <c r="C476" s="230"/>
      <c r="D476" s="230"/>
      <c r="E476" s="230"/>
      <c r="F476" s="230"/>
      <c r="G476" s="230"/>
      <c r="H476" s="230"/>
      <c r="I476" s="230"/>
      <c r="J476" s="230"/>
      <c r="K476" s="230"/>
      <c r="L476" s="230"/>
      <c r="M476" s="230"/>
      <c r="N476" s="230"/>
      <c r="O476" s="230"/>
      <c r="P476" s="230"/>
      <c r="Q476" s="230"/>
      <c r="R476" s="230"/>
      <c r="S476" s="230"/>
      <c r="T476" s="230"/>
      <c r="U476" s="230"/>
      <c r="V476" s="230"/>
      <c r="W476" s="230"/>
      <c r="X476" s="230"/>
      <c r="Y476" s="230"/>
      <c r="Z476" s="230"/>
    </row>
    <row r="477" spans="1:26" ht="15.75" customHeight="1">
      <c r="A477" s="230"/>
      <c r="B477" s="230"/>
      <c r="C477" s="230"/>
      <c r="D477" s="230"/>
      <c r="E477" s="230"/>
      <c r="F477" s="230"/>
      <c r="G477" s="230"/>
      <c r="H477" s="230"/>
      <c r="I477" s="230"/>
      <c r="J477" s="230"/>
      <c r="K477" s="230"/>
      <c r="L477" s="230"/>
      <c r="M477" s="230"/>
      <c r="N477" s="230"/>
      <c r="O477" s="230"/>
      <c r="P477" s="230"/>
      <c r="Q477" s="230"/>
      <c r="R477" s="230"/>
      <c r="S477" s="230"/>
      <c r="T477" s="230"/>
      <c r="U477" s="230"/>
      <c r="V477" s="230"/>
      <c r="W477" s="230"/>
      <c r="X477" s="230"/>
      <c r="Y477" s="230"/>
      <c r="Z477" s="230"/>
    </row>
    <row r="478" spans="1:26" ht="15.75" customHeight="1">
      <c r="A478" s="230"/>
      <c r="B478" s="230"/>
      <c r="C478" s="230"/>
      <c r="D478" s="230"/>
      <c r="E478" s="230"/>
      <c r="F478" s="230"/>
      <c r="G478" s="230"/>
      <c r="H478" s="230"/>
      <c r="I478" s="230"/>
      <c r="J478" s="230"/>
      <c r="K478" s="230"/>
      <c r="L478" s="230"/>
      <c r="M478" s="230"/>
      <c r="N478" s="230"/>
      <c r="O478" s="230"/>
      <c r="P478" s="230"/>
      <c r="Q478" s="230"/>
      <c r="R478" s="230"/>
      <c r="S478" s="230"/>
      <c r="T478" s="230"/>
      <c r="U478" s="230"/>
      <c r="V478" s="230"/>
      <c r="W478" s="230"/>
      <c r="X478" s="230"/>
      <c r="Y478" s="230"/>
      <c r="Z478" s="230"/>
    </row>
    <row r="479" spans="1:26" ht="15.75" customHeight="1">
      <c r="A479" s="230"/>
      <c r="B479" s="230"/>
      <c r="C479" s="230"/>
      <c r="D479" s="230"/>
      <c r="E479" s="230"/>
      <c r="F479" s="230"/>
      <c r="G479" s="230"/>
      <c r="H479" s="230"/>
      <c r="I479" s="230"/>
      <c r="J479" s="230"/>
      <c r="K479" s="230"/>
      <c r="L479" s="230"/>
      <c r="M479" s="230"/>
      <c r="N479" s="230"/>
      <c r="O479" s="230"/>
      <c r="P479" s="230"/>
      <c r="Q479" s="230"/>
      <c r="R479" s="230"/>
      <c r="S479" s="230"/>
      <c r="T479" s="230"/>
      <c r="U479" s="230"/>
      <c r="V479" s="230"/>
      <c r="W479" s="230"/>
      <c r="X479" s="230"/>
      <c r="Y479" s="230"/>
      <c r="Z479" s="230"/>
    </row>
    <row r="480" spans="1:26" ht="15.75" customHeight="1">
      <c r="A480" s="230"/>
      <c r="B480" s="230"/>
      <c r="C480" s="230"/>
      <c r="D480" s="230"/>
      <c r="E480" s="230"/>
      <c r="F480" s="230"/>
      <c r="G480" s="230"/>
      <c r="H480" s="230"/>
      <c r="I480" s="230"/>
      <c r="J480" s="230"/>
      <c r="K480" s="230"/>
      <c r="L480" s="230"/>
      <c r="M480" s="230"/>
      <c r="N480" s="230"/>
      <c r="O480" s="230"/>
      <c r="P480" s="230"/>
      <c r="Q480" s="230"/>
      <c r="R480" s="230"/>
      <c r="S480" s="230"/>
      <c r="T480" s="230"/>
      <c r="U480" s="230"/>
      <c r="V480" s="230"/>
      <c r="W480" s="230"/>
      <c r="X480" s="230"/>
      <c r="Y480" s="230"/>
      <c r="Z480" s="230"/>
    </row>
    <row r="481" spans="1:26" ht="15.75" customHeight="1">
      <c r="A481" s="230"/>
      <c r="B481" s="230"/>
      <c r="C481" s="230"/>
      <c r="D481" s="230"/>
      <c r="E481" s="230"/>
      <c r="F481" s="230"/>
      <c r="G481" s="230"/>
      <c r="H481" s="230"/>
      <c r="I481" s="230"/>
      <c r="J481" s="230"/>
      <c r="K481" s="230"/>
      <c r="L481" s="230"/>
      <c r="M481" s="230"/>
      <c r="N481" s="230"/>
      <c r="O481" s="230"/>
      <c r="P481" s="230"/>
      <c r="Q481" s="230"/>
      <c r="R481" s="230"/>
      <c r="S481" s="230"/>
      <c r="T481" s="230"/>
      <c r="U481" s="230"/>
      <c r="V481" s="230"/>
      <c r="W481" s="230"/>
      <c r="X481" s="230"/>
      <c r="Y481" s="230"/>
      <c r="Z481" s="230"/>
    </row>
    <row r="482" spans="1:26" ht="15.75" customHeight="1">
      <c r="A482" s="230"/>
      <c r="B482" s="230"/>
      <c r="C482" s="230"/>
      <c r="D482" s="230"/>
      <c r="E482" s="230"/>
      <c r="F482" s="230"/>
      <c r="G482" s="230"/>
      <c r="H482" s="230"/>
      <c r="I482" s="230"/>
      <c r="J482" s="230"/>
      <c r="K482" s="230"/>
      <c r="L482" s="230"/>
      <c r="M482" s="230"/>
      <c r="N482" s="230"/>
      <c r="O482" s="230"/>
      <c r="P482" s="230"/>
      <c r="Q482" s="230"/>
      <c r="R482" s="230"/>
      <c r="S482" s="230"/>
      <c r="T482" s="230"/>
      <c r="U482" s="230"/>
      <c r="V482" s="230"/>
      <c r="W482" s="230"/>
      <c r="X482" s="230"/>
      <c r="Y482" s="230"/>
      <c r="Z482" s="230"/>
    </row>
    <row r="483" spans="1:26" ht="15.75" customHeight="1">
      <c r="A483" s="230"/>
      <c r="B483" s="230"/>
      <c r="C483" s="230"/>
      <c r="D483" s="230"/>
      <c r="E483" s="230"/>
      <c r="F483" s="230"/>
      <c r="G483" s="230"/>
      <c r="H483" s="230"/>
      <c r="I483" s="230"/>
      <c r="J483" s="230"/>
      <c r="K483" s="230"/>
      <c r="L483" s="230"/>
      <c r="M483" s="230"/>
      <c r="N483" s="230"/>
      <c r="O483" s="230"/>
      <c r="P483" s="230"/>
      <c r="Q483" s="230"/>
      <c r="R483" s="230"/>
      <c r="S483" s="230"/>
      <c r="T483" s="230"/>
      <c r="U483" s="230"/>
      <c r="V483" s="230"/>
      <c r="W483" s="230"/>
      <c r="X483" s="230"/>
      <c r="Y483" s="230"/>
      <c r="Z483" s="230"/>
    </row>
    <row r="484" spans="1:26" ht="15.75" customHeight="1">
      <c r="A484" s="230"/>
      <c r="B484" s="230"/>
      <c r="C484" s="230"/>
      <c r="D484" s="230"/>
      <c r="E484" s="230"/>
      <c r="F484" s="230"/>
      <c r="G484" s="230"/>
      <c r="H484" s="230"/>
      <c r="I484" s="230"/>
      <c r="J484" s="230"/>
      <c r="K484" s="230"/>
      <c r="L484" s="230"/>
      <c r="M484" s="230"/>
      <c r="N484" s="230"/>
      <c r="O484" s="230"/>
      <c r="P484" s="230"/>
      <c r="Q484" s="230"/>
      <c r="R484" s="230"/>
      <c r="S484" s="230"/>
      <c r="T484" s="230"/>
      <c r="U484" s="230"/>
      <c r="V484" s="230"/>
      <c r="W484" s="230"/>
      <c r="X484" s="230"/>
      <c r="Y484" s="230"/>
      <c r="Z484" s="230"/>
    </row>
    <row r="485" spans="1:26" ht="15.75" customHeight="1">
      <c r="A485" s="230"/>
      <c r="B485" s="230"/>
      <c r="C485" s="230"/>
      <c r="D485" s="230"/>
      <c r="E485" s="230"/>
      <c r="F485" s="230"/>
      <c r="G485" s="230"/>
      <c r="H485" s="230"/>
      <c r="I485" s="230"/>
      <c r="J485" s="230"/>
      <c r="K485" s="230"/>
      <c r="L485" s="230"/>
      <c r="M485" s="230"/>
      <c r="N485" s="230"/>
      <c r="O485" s="230"/>
      <c r="P485" s="230"/>
      <c r="Q485" s="230"/>
      <c r="R485" s="230"/>
      <c r="S485" s="230"/>
      <c r="T485" s="230"/>
      <c r="U485" s="230"/>
      <c r="V485" s="230"/>
      <c r="W485" s="230"/>
      <c r="X485" s="230"/>
      <c r="Y485" s="230"/>
      <c r="Z485" s="230"/>
    </row>
    <row r="486" spans="1:26" ht="15.75" customHeight="1">
      <c r="A486" s="230"/>
      <c r="B486" s="230"/>
      <c r="C486" s="230"/>
      <c r="D486" s="230"/>
      <c r="E486" s="230"/>
      <c r="F486" s="230"/>
      <c r="G486" s="230"/>
      <c r="H486" s="230"/>
      <c r="I486" s="230"/>
      <c r="J486" s="230"/>
      <c r="K486" s="230"/>
      <c r="L486" s="230"/>
      <c r="M486" s="230"/>
      <c r="N486" s="230"/>
      <c r="O486" s="230"/>
      <c r="P486" s="230"/>
      <c r="Q486" s="230"/>
      <c r="R486" s="230"/>
      <c r="S486" s="230"/>
      <c r="T486" s="230"/>
      <c r="U486" s="230"/>
      <c r="V486" s="230"/>
      <c r="W486" s="230"/>
      <c r="X486" s="230"/>
      <c r="Y486" s="230"/>
      <c r="Z486" s="230"/>
    </row>
    <row r="487" spans="1:26" ht="15.75" customHeight="1">
      <c r="A487" s="230"/>
      <c r="B487" s="230"/>
      <c r="C487" s="230"/>
      <c r="D487" s="230"/>
      <c r="E487" s="230"/>
      <c r="F487" s="230"/>
      <c r="G487" s="230"/>
      <c r="H487" s="230"/>
      <c r="I487" s="230"/>
      <c r="J487" s="230"/>
      <c r="K487" s="230"/>
      <c r="L487" s="230"/>
      <c r="M487" s="230"/>
      <c r="N487" s="230"/>
      <c r="O487" s="230"/>
      <c r="P487" s="230"/>
      <c r="Q487" s="230"/>
      <c r="R487" s="230"/>
      <c r="S487" s="230"/>
      <c r="T487" s="230"/>
      <c r="U487" s="230"/>
      <c r="V487" s="230"/>
      <c r="W487" s="230"/>
      <c r="X487" s="230"/>
      <c r="Y487" s="230"/>
      <c r="Z487" s="230"/>
    </row>
    <row r="488" spans="1:26" ht="15.75" customHeight="1">
      <c r="A488" s="230"/>
      <c r="B488" s="230"/>
      <c r="C488" s="230"/>
      <c r="D488" s="230"/>
      <c r="E488" s="230"/>
      <c r="F488" s="230"/>
      <c r="G488" s="230"/>
      <c r="H488" s="230"/>
      <c r="I488" s="230"/>
      <c r="J488" s="230"/>
      <c r="K488" s="230"/>
      <c r="L488" s="230"/>
      <c r="M488" s="230"/>
      <c r="N488" s="230"/>
      <c r="O488" s="230"/>
      <c r="P488" s="230"/>
      <c r="Q488" s="230"/>
      <c r="R488" s="230"/>
      <c r="S488" s="230"/>
      <c r="T488" s="230"/>
      <c r="U488" s="230"/>
      <c r="V488" s="230"/>
      <c r="W488" s="230"/>
      <c r="X488" s="230"/>
      <c r="Y488" s="230"/>
      <c r="Z488" s="230"/>
    </row>
    <row r="489" spans="1:26" ht="15.75" customHeight="1">
      <c r="A489" s="230"/>
      <c r="B489" s="230"/>
      <c r="C489" s="230"/>
      <c r="D489" s="230"/>
      <c r="E489" s="230"/>
      <c r="F489" s="230"/>
      <c r="G489" s="230"/>
      <c r="H489" s="230"/>
      <c r="I489" s="230"/>
      <c r="J489" s="230"/>
      <c r="K489" s="230"/>
      <c r="L489" s="230"/>
      <c r="M489" s="230"/>
      <c r="N489" s="230"/>
      <c r="O489" s="230"/>
      <c r="P489" s="230"/>
      <c r="Q489" s="230"/>
      <c r="R489" s="230"/>
      <c r="S489" s="230"/>
      <c r="T489" s="230"/>
      <c r="U489" s="230"/>
      <c r="V489" s="230"/>
      <c r="W489" s="230"/>
      <c r="X489" s="230"/>
      <c r="Y489" s="230"/>
      <c r="Z489" s="230"/>
    </row>
    <row r="490" spans="1:26" ht="15.75" customHeight="1">
      <c r="A490" s="230"/>
      <c r="B490" s="230"/>
      <c r="C490" s="230"/>
      <c r="D490" s="230"/>
      <c r="E490" s="230"/>
      <c r="F490" s="230"/>
      <c r="G490" s="230"/>
      <c r="H490" s="230"/>
      <c r="I490" s="230"/>
      <c r="J490" s="230"/>
      <c r="K490" s="230"/>
      <c r="L490" s="230"/>
      <c r="M490" s="230"/>
      <c r="N490" s="230"/>
      <c r="O490" s="230"/>
      <c r="P490" s="230"/>
      <c r="Q490" s="230"/>
      <c r="R490" s="230"/>
      <c r="S490" s="230"/>
      <c r="T490" s="230"/>
      <c r="U490" s="230"/>
      <c r="V490" s="230"/>
      <c r="W490" s="230"/>
      <c r="X490" s="230"/>
      <c r="Y490" s="230"/>
      <c r="Z490" s="230"/>
    </row>
    <row r="491" spans="1:26" ht="15.75" customHeight="1">
      <c r="A491" s="230"/>
      <c r="B491" s="230"/>
      <c r="C491" s="230"/>
      <c r="D491" s="230"/>
      <c r="E491" s="230"/>
      <c r="F491" s="230"/>
      <c r="G491" s="230"/>
      <c r="H491" s="230"/>
      <c r="I491" s="230"/>
      <c r="J491" s="230"/>
      <c r="K491" s="230"/>
      <c r="L491" s="230"/>
      <c r="M491" s="230"/>
      <c r="N491" s="230"/>
      <c r="O491" s="230"/>
      <c r="P491" s="230"/>
      <c r="Q491" s="230"/>
      <c r="R491" s="230"/>
      <c r="S491" s="230"/>
      <c r="T491" s="230"/>
      <c r="U491" s="230"/>
      <c r="V491" s="230"/>
      <c r="W491" s="230"/>
      <c r="X491" s="230"/>
      <c r="Y491" s="230"/>
      <c r="Z491" s="230"/>
    </row>
    <row r="492" spans="1:26" ht="15.75" customHeight="1">
      <c r="A492" s="230"/>
      <c r="B492" s="230"/>
      <c r="C492" s="230"/>
      <c r="D492" s="230"/>
      <c r="E492" s="230"/>
      <c r="F492" s="230"/>
      <c r="G492" s="230"/>
      <c r="H492" s="230"/>
      <c r="I492" s="230"/>
      <c r="J492" s="230"/>
      <c r="K492" s="230"/>
      <c r="L492" s="230"/>
      <c r="M492" s="230"/>
      <c r="N492" s="230"/>
      <c r="O492" s="230"/>
      <c r="P492" s="230"/>
      <c r="Q492" s="230"/>
      <c r="R492" s="230"/>
      <c r="S492" s="230"/>
      <c r="T492" s="230"/>
      <c r="U492" s="230"/>
      <c r="V492" s="230"/>
      <c r="W492" s="230"/>
      <c r="X492" s="230"/>
      <c r="Y492" s="230"/>
      <c r="Z492" s="230"/>
    </row>
    <row r="493" spans="1:26" ht="15.75" customHeight="1">
      <c r="A493" s="230"/>
      <c r="B493" s="230"/>
      <c r="C493" s="230"/>
      <c r="D493" s="230"/>
      <c r="E493" s="230"/>
      <c r="F493" s="230"/>
      <c r="G493" s="230"/>
      <c r="H493" s="230"/>
      <c r="I493" s="230"/>
      <c r="J493" s="230"/>
      <c r="K493" s="230"/>
      <c r="L493" s="230"/>
      <c r="M493" s="230"/>
      <c r="N493" s="230"/>
      <c r="O493" s="230"/>
      <c r="P493" s="230"/>
      <c r="Q493" s="230"/>
      <c r="R493" s="230"/>
      <c r="S493" s="230"/>
      <c r="T493" s="230"/>
      <c r="U493" s="230"/>
      <c r="V493" s="230"/>
      <c r="W493" s="230"/>
      <c r="X493" s="230"/>
      <c r="Y493" s="230"/>
      <c r="Z493" s="230"/>
    </row>
    <row r="494" spans="1:26" ht="15.75" customHeight="1">
      <c r="A494" s="230"/>
      <c r="B494" s="230"/>
      <c r="C494" s="230"/>
      <c r="D494" s="230"/>
      <c r="E494" s="230"/>
      <c r="F494" s="230"/>
      <c r="G494" s="230"/>
      <c r="H494" s="230"/>
      <c r="I494" s="230"/>
      <c r="J494" s="230"/>
      <c r="K494" s="230"/>
      <c r="L494" s="230"/>
      <c r="M494" s="230"/>
      <c r="N494" s="230"/>
      <c r="O494" s="230"/>
      <c r="P494" s="230"/>
      <c r="Q494" s="230"/>
      <c r="R494" s="230"/>
      <c r="S494" s="230"/>
      <c r="T494" s="230"/>
      <c r="U494" s="230"/>
      <c r="V494" s="230"/>
      <c r="W494" s="230"/>
      <c r="X494" s="230"/>
      <c r="Y494" s="230"/>
      <c r="Z494" s="230"/>
    </row>
    <row r="495" spans="1:26" ht="15.75" customHeight="1">
      <c r="A495" s="230"/>
      <c r="B495" s="230"/>
      <c r="C495" s="230"/>
      <c r="D495" s="230"/>
      <c r="E495" s="230"/>
      <c r="F495" s="230"/>
      <c r="G495" s="230"/>
      <c r="H495" s="230"/>
      <c r="I495" s="230"/>
      <c r="J495" s="230"/>
      <c r="K495" s="230"/>
      <c r="L495" s="230"/>
      <c r="M495" s="230"/>
      <c r="N495" s="230"/>
      <c r="O495" s="230"/>
      <c r="P495" s="230"/>
      <c r="Q495" s="230"/>
      <c r="R495" s="230"/>
      <c r="S495" s="230"/>
      <c r="T495" s="230"/>
      <c r="U495" s="230"/>
      <c r="V495" s="230"/>
      <c r="W495" s="230"/>
      <c r="X495" s="230"/>
      <c r="Y495" s="230"/>
      <c r="Z495" s="230"/>
    </row>
    <row r="496" spans="1:26" ht="15.75" customHeight="1">
      <c r="A496" s="230"/>
      <c r="B496" s="230"/>
      <c r="C496" s="230"/>
      <c r="D496" s="230"/>
      <c r="E496" s="230"/>
      <c r="F496" s="230"/>
      <c r="G496" s="230"/>
      <c r="H496" s="230"/>
      <c r="I496" s="230"/>
      <c r="J496" s="230"/>
      <c r="K496" s="230"/>
      <c r="L496" s="230"/>
      <c r="M496" s="230"/>
      <c r="N496" s="230"/>
      <c r="O496" s="230"/>
      <c r="P496" s="230"/>
      <c r="Q496" s="230"/>
      <c r="R496" s="230"/>
      <c r="S496" s="230"/>
      <c r="T496" s="230"/>
      <c r="U496" s="230"/>
      <c r="V496" s="230"/>
      <c r="W496" s="230"/>
      <c r="X496" s="230"/>
      <c r="Y496" s="230"/>
      <c r="Z496" s="230"/>
    </row>
    <row r="497" spans="1:26" ht="15.75" customHeight="1">
      <c r="A497" s="230"/>
      <c r="B497" s="230"/>
      <c r="C497" s="230"/>
      <c r="D497" s="230"/>
      <c r="E497" s="230"/>
      <c r="F497" s="230"/>
      <c r="G497" s="230"/>
      <c r="H497" s="230"/>
      <c r="I497" s="230"/>
      <c r="J497" s="230"/>
      <c r="K497" s="230"/>
      <c r="L497" s="230"/>
      <c r="M497" s="230"/>
      <c r="N497" s="230"/>
      <c r="O497" s="230"/>
      <c r="P497" s="230"/>
      <c r="Q497" s="230"/>
      <c r="R497" s="230"/>
      <c r="S497" s="230"/>
      <c r="T497" s="230"/>
      <c r="U497" s="230"/>
      <c r="V497" s="230"/>
      <c r="W497" s="230"/>
      <c r="X497" s="230"/>
      <c r="Y497" s="230"/>
      <c r="Z497" s="230"/>
    </row>
    <row r="498" spans="1:26" ht="15.75" customHeight="1">
      <c r="A498" s="230"/>
      <c r="B498" s="230"/>
      <c r="C498" s="230"/>
      <c r="D498" s="230"/>
      <c r="E498" s="230"/>
      <c r="F498" s="230"/>
      <c r="G498" s="230"/>
      <c r="H498" s="230"/>
      <c r="I498" s="230"/>
      <c r="J498" s="230"/>
      <c r="K498" s="230"/>
      <c r="L498" s="230"/>
      <c r="M498" s="230"/>
      <c r="N498" s="230"/>
      <c r="O498" s="230"/>
      <c r="P498" s="230"/>
      <c r="Q498" s="230"/>
      <c r="R498" s="230"/>
      <c r="S498" s="230"/>
      <c r="T498" s="230"/>
      <c r="U498" s="230"/>
      <c r="V498" s="230"/>
      <c r="W498" s="230"/>
      <c r="X498" s="230"/>
      <c r="Y498" s="230"/>
      <c r="Z498" s="230"/>
    </row>
    <row r="499" spans="1:26" ht="15.75" customHeight="1">
      <c r="A499" s="230"/>
      <c r="B499" s="230"/>
      <c r="C499" s="230"/>
      <c r="D499" s="230"/>
      <c r="E499" s="230"/>
      <c r="F499" s="230"/>
      <c r="G499" s="230"/>
      <c r="H499" s="230"/>
      <c r="I499" s="230"/>
      <c r="J499" s="230"/>
      <c r="K499" s="230"/>
      <c r="L499" s="230"/>
      <c r="M499" s="230"/>
      <c r="N499" s="230"/>
      <c r="O499" s="230"/>
      <c r="P499" s="230"/>
      <c r="Q499" s="230"/>
      <c r="R499" s="230"/>
      <c r="S499" s="230"/>
      <c r="T499" s="230"/>
      <c r="U499" s="230"/>
      <c r="V499" s="230"/>
      <c r="W499" s="230"/>
      <c r="X499" s="230"/>
      <c r="Y499" s="230"/>
      <c r="Z499" s="230"/>
    </row>
    <row r="500" spans="1:26" ht="15.75" customHeight="1">
      <c r="A500" s="230"/>
      <c r="B500" s="230"/>
      <c r="C500" s="230"/>
      <c r="D500" s="230"/>
      <c r="E500" s="230"/>
      <c r="F500" s="230"/>
      <c r="G500" s="230"/>
      <c r="H500" s="230"/>
      <c r="I500" s="230"/>
      <c r="J500" s="230"/>
      <c r="K500" s="230"/>
      <c r="L500" s="230"/>
      <c r="M500" s="230"/>
      <c r="N500" s="230"/>
      <c r="O500" s="230"/>
      <c r="P500" s="230"/>
      <c r="Q500" s="230"/>
      <c r="R500" s="230"/>
      <c r="S500" s="230"/>
      <c r="T500" s="230"/>
      <c r="U500" s="230"/>
      <c r="V500" s="230"/>
      <c r="W500" s="230"/>
      <c r="X500" s="230"/>
      <c r="Y500" s="230"/>
      <c r="Z500" s="230"/>
    </row>
    <row r="501" spans="1:26" ht="15.75" customHeight="1">
      <c r="A501" s="230"/>
      <c r="B501" s="230"/>
      <c r="C501" s="230"/>
      <c r="D501" s="230"/>
      <c r="E501" s="230"/>
      <c r="F501" s="230"/>
      <c r="G501" s="230"/>
      <c r="H501" s="230"/>
      <c r="I501" s="230"/>
      <c r="J501" s="230"/>
      <c r="K501" s="230"/>
      <c r="L501" s="230"/>
      <c r="M501" s="230"/>
      <c r="N501" s="230"/>
      <c r="O501" s="230"/>
      <c r="P501" s="230"/>
      <c r="Q501" s="230"/>
      <c r="R501" s="230"/>
      <c r="S501" s="230"/>
      <c r="T501" s="230"/>
      <c r="U501" s="230"/>
      <c r="V501" s="230"/>
      <c r="W501" s="230"/>
      <c r="X501" s="230"/>
      <c r="Y501" s="230"/>
      <c r="Z501" s="230"/>
    </row>
    <row r="502" spans="1:26" ht="15.75" customHeight="1">
      <c r="A502" s="230"/>
      <c r="B502" s="230"/>
      <c r="C502" s="230"/>
      <c r="D502" s="230"/>
      <c r="E502" s="230"/>
      <c r="F502" s="230"/>
      <c r="G502" s="230"/>
      <c r="H502" s="230"/>
      <c r="I502" s="230"/>
      <c r="J502" s="230"/>
      <c r="K502" s="230"/>
      <c r="L502" s="230"/>
      <c r="M502" s="230"/>
      <c r="N502" s="230"/>
      <c r="O502" s="230"/>
      <c r="P502" s="230"/>
      <c r="Q502" s="230"/>
      <c r="R502" s="230"/>
      <c r="S502" s="230"/>
      <c r="T502" s="230"/>
      <c r="U502" s="230"/>
      <c r="V502" s="230"/>
      <c r="W502" s="230"/>
      <c r="X502" s="230"/>
      <c r="Y502" s="230"/>
      <c r="Z502" s="230"/>
    </row>
    <row r="503" spans="1:26" ht="15.75" customHeight="1">
      <c r="A503" s="230"/>
      <c r="B503" s="230"/>
      <c r="C503" s="230"/>
      <c r="D503" s="230"/>
      <c r="E503" s="230"/>
      <c r="F503" s="230"/>
      <c r="G503" s="230"/>
      <c r="H503" s="230"/>
      <c r="I503" s="230"/>
      <c r="J503" s="230"/>
      <c r="K503" s="230"/>
      <c r="L503" s="230"/>
      <c r="M503" s="230"/>
      <c r="N503" s="230"/>
      <c r="O503" s="230"/>
      <c r="P503" s="230"/>
      <c r="Q503" s="230"/>
      <c r="R503" s="230"/>
      <c r="S503" s="230"/>
      <c r="T503" s="230"/>
      <c r="U503" s="230"/>
      <c r="V503" s="230"/>
      <c r="W503" s="230"/>
      <c r="X503" s="230"/>
      <c r="Y503" s="230"/>
      <c r="Z503" s="230"/>
    </row>
    <row r="504" spans="1:26" ht="15.75" customHeight="1">
      <c r="A504" s="230"/>
      <c r="B504" s="230"/>
      <c r="C504" s="230"/>
      <c r="D504" s="230"/>
      <c r="E504" s="230"/>
      <c r="F504" s="230"/>
      <c r="G504" s="230"/>
      <c r="H504" s="230"/>
      <c r="I504" s="230"/>
      <c r="J504" s="230"/>
      <c r="K504" s="230"/>
      <c r="L504" s="230"/>
      <c r="M504" s="230"/>
      <c r="N504" s="230"/>
      <c r="O504" s="230"/>
      <c r="P504" s="230"/>
      <c r="Q504" s="230"/>
      <c r="R504" s="230"/>
      <c r="S504" s="230"/>
      <c r="T504" s="230"/>
      <c r="U504" s="230"/>
      <c r="V504" s="230"/>
      <c r="W504" s="230"/>
      <c r="X504" s="230"/>
      <c r="Y504" s="230"/>
      <c r="Z504" s="230"/>
    </row>
    <row r="505" spans="1:26" ht="15.75" customHeight="1">
      <c r="A505" s="230"/>
      <c r="B505" s="230"/>
      <c r="C505" s="230"/>
      <c r="D505" s="230"/>
      <c r="E505" s="230"/>
      <c r="F505" s="230"/>
      <c r="G505" s="230"/>
      <c r="H505" s="230"/>
      <c r="I505" s="230"/>
      <c r="J505" s="230"/>
      <c r="K505" s="230"/>
      <c r="L505" s="230"/>
      <c r="M505" s="230"/>
      <c r="N505" s="230"/>
      <c r="O505" s="230"/>
      <c r="P505" s="230"/>
      <c r="Q505" s="230"/>
      <c r="R505" s="230"/>
      <c r="S505" s="230"/>
      <c r="T505" s="230"/>
      <c r="U505" s="230"/>
      <c r="V505" s="230"/>
      <c r="W505" s="230"/>
      <c r="X505" s="230"/>
      <c r="Y505" s="230"/>
      <c r="Z505" s="230"/>
    </row>
    <row r="506" spans="1:26" ht="15.75" customHeight="1">
      <c r="A506" s="230"/>
      <c r="B506" s="230"/>
      <c r="C506" s="230"/>
      <c r="D506" s="230"/>
      <c r="E506" s="230"/>
      <c r="F506" s="230"/>
      <c r="G506" s="230"/>
      <c r="H506" s="230"/>
      <c r="I506" s="230"/>
      <c r="J506" s="230"/>
      <c r="K506" s="230"/>
      <c r="L506" s="230"/>
      <c r="M506" s="230"/>
      <c r="N506" s="230"/>
      <c r="O506" s="230"/>
      <c r="P506" s="230"/>
      <c r="Q506" s="230"/>
      <c r="R506" s="230"/>
      <c r="S506" s="230"/>
      <c r="T506" s="230"/>
      <c r="U506" s="230"/>
      <c r="V506" s="230"/>
      <c r="W506" s="230"/>
      <c r="X506" s="230"/>
      <c r="Y506" s="230"/>
      <c r="Z506" s="230"/>
    </row>
    <row r="507" spans="1:26" ht="15.75" customHeight="1">
      <c r="A507" s="230"/>
      <c r="B507" s="230"/>
      <c r="C507" s="230"/>
      <c r="D507" s="230"/>
      <c r="E507" s="230"/>
      <c r="F507" s="230"/>
      <c r="G507" s="230"/>
      <c r="H507" s="230"/>
      <c r="I507" s="230"/>
      <c r="J507" s="230"/>
      <c r="K507" s="230"/>
      <c r="L507" s="230"/>
      <c r="M507" s="230"/>
      <c r="N507" s="230"/>
      <c r="O507" s="230"/>
      <c r="P507" s="230"/>
      <c r="Q507" s="230"/>
      <c r="R507" s="230"/>
      <c r="S507" s="230"/>
      <c r="T507" s="230"/>
      <c r="U507" s="230"/>
      <c r="V507" s="230"/>
      <c r="W507" s="230"/>
      <c r="X507" s="230"/>
      <c r="Y507" s="230"/>
      <c r="Z507" s="230"/>
    </row>
    <row r="508" spans="1:26" ht="15.75" customHeight="1">
      <c r="A508" s="230"/>
      <c r="B508" s="230"/>
      <c r="C508" s="230"/>
      <c r="D508" s="230"/>
      <c r="E508" s="230"/>
      <c r="F508" s="230"/>
      <c r="G508" s="230"/>
      <c r="H508" s="230"/>
      <c r="I508" s="230"/>
      <c r="J508" s="230"/>
      <c r="K508" s="230"/>
      <c r="L508" s="230"/>
      <c r="M508" s="230"/>
      <c r="N508" s="230"/>
      <c r="O508" s="230"/>
      <c r="P508" s="230"/>
      <c r="Q508" s="230"/>
      <c r="R508" s="230"/>
      <c r="S508" s="230"/>
      <c r="T508" s="230"/>
      <c r="U508" s="230"/>
      <c r="V508" s="230"/>
      <c r="W508" s="230"/>
      <c r="X508" s="230"/>
      <c r="Y508" s="230"/>
      <c r="Z508" s="230"/>
    </row>
    <row r="509" spans="1:26" ht="15.75" customHeight="1">
      <c r="A509" s="230"/>
      <c r="B509" s="230"/>
      <c r="C509" s="230"/>
      <c r="D509" s="230"/>
      <c r="E509" s="230"/>
      <c r="F509" s="230"/>
      <c r="G509" s="230"/>
      <c r="H509" s="230"/>
      <c r="I509" s="230"/>
      <c r="J509" s="230"/>
      <c r="K509" s="230"/>
      <c r="L509" s="230"/>
      <c r="M509" s="230"/>
      <c r="N509" s="230"/>
      <c r="O509" s="230"/>
      <c r="P509" s="230"/>
      <c r="Q509" s="230"/>
      <c r="R509" s="230"/>
      <c r="S509" s="230"/>
      <c r="T509" s="230"/>
      <c r="U509" s="230"/>
      <c r="V509" s="230"/>
      <c r="W509" s="230"/>
      <c r="X509" s="230"/>
      <c r="Y509" s="230"/>
      <c r="Z509" s="230"/>
    </row>
    <row r="510" spans="1:26" ht="15.75" customHeight="1">
      <c r="A510" s="230"/>
      <c r="B510" s="230"/>
      <c r="C510" s="230"/>
      <c r="D510" s="230"/>
      <c r="E510" s="230"/>
      <c r="F510" s="230"/>
      <c r="G510" s="230"/>
      <c r="H510" s="230"/>
      <c r="I510" s="230"/>
      <c r="J510" s="230"/>
      <c r="K510" s="230"/>
      <c r="L510" s="230"/>
      <c r="M510" s="230"/>
      <c r="N510" s="230"/>
      <c r="O510" s="230"/>
      <c r="P510" s="230"/>
      <c r="Q510" s="230"/>
      <c r="R510" s="230"/>
      <c r="S510" s="230"/>
      <c r="T510" s="230"/>
      <c r="U510" s="230"/>
      <c r="V510" s="230"/>
      <c r="W510" s="230"/>
      <c r="X510" s="230"/>
      <c r="Y510" s="230"/>
      <c r="Z510" s="230"/>
    </row>
    <row r="511" spans="1:26" ht="15.75" customHeight="1">
      <c r="A511" s="230"/>
      <c r="B511" s="230"/>
      <c r="C511" s="230"/>
      <c r="D511" s="230"/>
      <c r="E511" s="230"/>
      <c r="F511" s="230"/>
      <c r="G511" s="230"/>
      <c r="H511" s="230"/>
      <c r="I511" s="230"/>
      <c r="J511" s="230"/>
      <c r="K511" s="230"/>
      <c r="L511" s="230"/>
      <c r="M511" s="230"/>
      <c r="N511" s="230"/>
      <c r="O511" s="230"/>
      <c r="P511" s="230"/>
      <c r="Q511" s="230"/>
      <c r="R511" s="230"/>
      <c r="S511" s="230"/>
      <c r="T511" s="230"/>
      <c r="U511" s="230"/>
      <c r="V511" s="230"/>
      <c r="W511" s="230"/>
      <c r="X511" s="230"/>
      <c r="Y511" s="230"/>
      <c r="Z511" s="230"/>
    </row>
    <row r="512" spans="1:26" ht="15.75" customHeight="1">
      <c r="A512" s="230"/>
      <c r="B512" s="230"/>
      <c r="C512" s="230"/>
      <c r="D512" s="230"/>
      <c r="E512" s="230"/>
      <c r="F512" s="230"/>
      <c r="G512" s="230"/>
      <c r="H512" s="230"/>
      <c r="I512" s="230"/>
      <c r="J512" s="230"/>
      <c r="K512" s="230"/>
      <c r="L512" s="230"/>
      <c r="M512" s="230"/>
      <c r="N512" s="230"/>
      <c r="O512" s="230"/>
      <c r="P512" s="230"/>
      <c r="Q512" s="230"/>
      <c r="R512" s="230"/>
      <c r="S512" s="230"/>
      <c r="T512" s="230"/>
      <c r="U512" s="230"/>
      <c r="V512" s="230"/>
      <c r="W512" s="230"/>
      <c r="X512" s="230"/>
      <c r="Y512" s="230"/>
      <c r="Z512" s="230"/>
    </row>
    <row r="513" spans="1:26" ht="15.75" customHeight="1">
      <c r="A513" s="230"/>
      <c r="B513" s="230"/>
      <c r="C513" s="230"/>
      <c r="D513" s="230"/>
      <c r="E513" s="230"/>
      <c r="F513" s="230"/>
      <c r="G513" s="230"/>
      <c r="H513" s="230"/>
      <c r="I513" s="230"/>
      <c r="J513" s="230"/>
      <c r="K513" s="230"/>
      <c r="L513" s="230"/>
      <c r="M513" s="230"/>
      <c r="N513" s="230"/>
      <c r="O513" s="230"/>
      <c r="P513" s="230"/>
      <c r="Q513" s="230"/>
      <c r="R513" s="230"/>
      <c r="S513" s="230"/>
      <c r="T513" s="230"/>
      <c r="U513" s="230"/>
      <c r="V513" s="230"/>
      <c r="W513" s="230"/>
      <c r="X513" s="230"/>
      <c r="Y513" s="230"/>
      <c r="Z513" s="230"/>
    </row>
    <row r="514" spans="1:26" ht="15.75" customHeight="1">
      <c r="A514" s="230"/>
      <c r="B514" s="230"/>
      <c r="C514" s="230"/>
      <c r="D514" s="230"/>
      <c r="E514" s="230"/>
      <c r="F514" s="230"/>
      <c r="G514" s="230"/>
      <c r="H514" s="230"/>
      <c r="I514" s="230"/>
      <c r="J514" s="230"/>
      <c r="K514" s="230"/>
      <c r="L514" s="230"/>
      <c r="M514" s="230"/>
      <c r="N514" s="230"/>
      <c r="O514" s="230"/>
      <c r="P514" s="230"/>
      <c r="Q514" s="230"/>
      <c r="R514" s="230"/>
      <c r="S514" s="230"/>
      <c r="T514" s="230"/>
      <c r="U514" s="230"/>
      <c r="V514" s="230"/>
      <c r="W514" s="230"/>
      <c r="X514" s="230"/>
      <c r="Y514" s="230"/>
      <c r="Z514" s="230"/>
    </row>
    <row r="515" spans="1:26" ht="15.75" customHeight="1">
      <c r="A515" s="230"/>
      <c r="B515" s="230"/>
      <c r="C515" s="230"/>
      <c r="D515" s="230"/>
      <c r="E515" s="230"/>
      <c r="F515" s="230"/>
      <c r="G515" s="230"/>
      <c r="H515" s="230"/>
      <c r="I515" s="230"/>
      <c r="J515" s="230"/>
      <c r="K515" s="230"/>
      <c r="L515" s="230"/>
      <c r="M515" s="230"/>
      <c r="N515" s="230"/>
      <c r="O515" s="230"/>
      <c r="P515" s="230"/>
      <c r="Q515" s="230"/>
      <c r="R515" s="230"/>
      <c r="S515" s="230"/>
      <c r="T515" s="230"/>
      <c r="U515" s="230"/>
      <c r="V515" s="230"/>
      <c r="W515" s="230"/>
      <c r="X515" s="230"/>
      <c r="Y515" s="230"/>
      <c r="Z515" s="230"/>
    </row>
    <row r="516" spans="1:26" ht="15.75" customHeight="1">
      <c r="A516" s="230"/>
      <c r="B516" s="230"/>
      <c r="C516" s="230"/>
      <c r="D516" s="230"/>
      <c r="E516" s="230"/>
      <c r="F516" s="230"/>
      <c r="G516" s="230"/>
      <c r="H516" s="230"/>
      <c r="I516" s="230"/>
      <c r="J516" s="230"/>
      <c r="K516" s="230"/>
      <c r="L516" s="230"/>
      <c r="M516" s="230"/>
      <c r="N516" s="230"/>
      <c r="O516" s="230"/>
      <c r="P516" s="230"/>
      <c r="Q516" s="230"/>
      <c r="R516" s="230"/>
      <c r="S516" s="230"/>
      <c r="T516" s="230"/>
      <c r="U516" s="230"/>
      <c r="V516" s="230"/>
      <c r="W516" s="230"/>
      <c r="X516" s="230"/>
      <c r="Y516" s="230"/>
      <c r="Z516" s="230"/>
    </row>
    <row r="517" spans="1:26" ht="15.75" customHeight="1">
      <c r="A517" s="230"/>
      <c r="B517" s="230"/>
      <c r="C517" s="230"/>
      <c r="D517" s="230"/>
      <c r="E517" s="230"/>
      <c r="F517" s="230"/>
      <c r="G517" s="230"/>
      <c r="H517" s="230"/>
      <c r="I517" s="230"/>
      <c r="J517" s="230"/>
      <c r="K517" s="230"/>
      <c r="L517" s="230"/>
      <c r="M517" s="230"/>
      <c r="N517" s="230"/>
      <c r="O517" s="230"/>
      <c r="P517" s="230"/>
      <c r="Q517" s="230"/>
      <c r="R517" s="230"/>
      <c r="S517" s="230"/>
      <c r="T517" s="230"/>
      <c r="U517" s="230"/>
      <c r="V517" s="230"/>
      <c r="W517" s="230"/>
      <c r="X517" s="230"/>
      <c r="Y517" s="230"/>
      <c r="Z517" s="230"/>
    </row>
    <row r="518" spans="1:26" ht="15.75" customHeight="1">
      <c r="A518" s="230"/>
      <c r="B518" s="230"/>
      <c r="C518" s="230"/>
      <c r="D518" s="230"/>
      <c r="E518" s="230"/>
      <c r="F518" s="230"/>
      <c r="G518" s="230"/>
      <c r="H518" s="230"/>
      <c r="I518" s="230"/>
      <c r="J518" s="230"/>
      <c r="K518" s="230"/>
      <c r="L518" s="230"/>
      <c r="M518" s="230"/>
      <c r="N518" s="230"/>
      <c r="O518" s="230"/>
      <c r="P518" s="230"/>
      <c r="Q518" s="230"/>
      <c r="R518" s="230"/>
      <c r="S518" s="230"/>
      <c r="T518" s="230"/>
      <c r="U518" s="230"/>
      <c r="V518" s="230"/>
      <c r="W518" s="230"/>
      <c r="X518" s="230"/>
      <c r="Y518" s="230"/>
      <c r="Z518" s="230"/>
    </row>
    <row r="519" spans="1:26" ht="15.75" customHeight="1">
      <c r="A519" s="230"/>
      <c r="B519" s="230"/>
      <c r="C519" s="230"/>
      <c r="D519" s="230"/>
      <c r="E519" s="230"/>
      <c r="F519" s="230"/>
      <c r="G519" s="230"/>
      <c r="H519" s="230"/>
      <c r="I519" s="230"/>
      <c r="J519" s="230"/>
      <c r="K519" s="230"/>
      <c r="L519" s="230"/>
      <c r="M519" s="230"/>
      <c r="N519" s="230"/>
      <c r="O519" s="230"/>
      <c r="P519" s="230"/>
      <c r="Q519" s="230"/>
      <c r="R519" s="230"/>
      <c r="S519" s="230"/>
      <c r="T519" s="230"/>
      <c r="U519" s="230"/>
      <c r="V519" s="230"/>
      <c r="W519" s="230"/>
      <c r="X519" s="230"/>
      <c r="Y519" s="230"/>
      <c r="Z519" s="230"/>
    </row>
    <row r="520" spans="1:26" ht="15.75" customHeight="1">
      <c r="A520" s="230"/>
      <c r="B520" s="230"/>
      <c r="C520" s="230"/>
      <c r="D520" s="230"/>
      <c r="E520" s="230"/>
      <c r="F520" s="230"/>
      <c r="G520" s="230"/>
      <c r="H520" s="230"/>
      <c r="I520" s="230"/>
      <c r="J520" s="230"/>
      <c r="K520" s="230"/>
      <c r="L520" s="230"/>
      <c r="M520" s="230"/>
      <c r="N520" s="230"/>
      <c r="O520" s="230"/>
      <c r="P520" s="230"/>
      <c r="Q520" s="230"/>
      <c r="R520" s="230"/>
      <c r="S520" s="230"/>
      <c r="T520" s="230"/>
      <c r="U520" s="230"/>
      <c r="V520" s="230"/>
      <c r="W520" s="230"/>
      <c r="X520" s="230"/>
      <c r="Y520" s="230"/>
      <c r="Z520" s="230"/>
    </row>
    <row r="521" spans="1:26" ht="15.75" customHeight="1">
      <c r="A521" s="230"/>
      <c r="B521" s="230"/>
      <c r="C521" s="230"/>
      <c r="D521" s="230"/>
      <c r="E521" s="230"/>
      <c r="F521" s="230"/>
      <c r="G521" s="230"/>
      <c r="H521" s="230"/>
      <c r="I521" s="230"/>
      <c r="J521" s="230"/>
      <c r="K521" s="230"/>
      <c r="L521" s="230"/>
      <c r="M521" s="230"/>
      <c r="N521" s="230"/>
      <c r="O521" s="230"/>
      <c r="P521" s="230"/>
      <c r="Q521" s="230"/>
      <c r="R521" s="230"/>
      <c r="S521" s="230"/>
      <c r="T521" s="230"/>
      <c r="U521" s="230"/>
      <c r="V521" s="230"/>
      <c r="W521" s="230"/>
      <c r="X521" s="230"/>
      <c r="Y521" s="230"/>
      <c r="Z521" s="230"/>
    </row>
    <row r="522" spans="1:26" ht="15.75" customHeight="1">
      <c r="A522" s="230"/>
      <c r="B522" s="230"/>
      <c r="C522" s="230"/>
      <c r="D522" s="230"/>
      <c r="E522" s="230"/>
      <c r="F522" s="230"/>
      <c r="G522" s="230"/>
      <c r="H522" s="230"/>
      <c r="I522" s="230"/>
      <c r="J522" s="230"/>
      <c r="K522" s="230"/>
      <c r="L522" s="230"/>
      <c r="M522" s="230"/>
      <c r="N522" s="230"/>
      <c r="O522" s="230"/>
      <c r="P522" s="230"/>
      <c r="Q522" s="230"/>
      <c r="R522" s="230"/>
      <c r="S522" s="230"/>
      <c r="T522" s="230"/>
      <c r="U522" s="230"/>
      <c r="V522" s="230"/>
      <c r="W522" s="230"/>
      <c r="X522" s="230"/>
      <c r="Y522" s="230"/>
      <c r="Z522" s="230"/>
    </row>
    <row r="523" spans="1:26" ht="15.75" customHeight="1">
      <c r="A523" s="230"/>
      <c r="B523" s="230"/>
      <c r="C523" s="230"/>
      <c r="D523" s="230"/>
      <c r="E523" s="230"/>
      <c r="F523" s="230"/>
      <c r="G523" s="230"/>
      <c r="H523" s="230"/>
      <c r="I523" s="230"/>
      <c r="J523" s="230"/>
      <c r="K523" s="230"/>
      <c r="L523" s="230"/>
      <c r="M523" s="230"/>
      <c r="N523" s="230"/>
      <c r="O523" s="230"/>
      <c r="P523" s="230"/>
      <c r="Q523" s="230"/>
      <c r="R523" s="230"/>
      <c r="S523" s="230"/>
      <c r="T523" s="230"/>
      <c r="U523" s="230"/>
      <c r="V523" s="230"/>
      <c r="W523" s="230"/>
      <c r="X523" s="230"/>
      <c r="Y523" s="230"/>
      <c r="Z523" s="230"/>
    </row>
    <row r="524" spans="1:26" ht="15.75" customHeight="1">
      <c r="A524" s="230"/>
      <c r="B524" s="230"/>
      <c r="C524" s="230"/>
      <c r="D524" s="230"/>
      <c r="E524" s="230"/>
      <c r="F524" s="230"/>
      <c r="G524" s="230"/>
      <c r="H524" s="230"/>
      <c r="I524" s="230"/>
      <c r="J524" s="230"/>
      <c r="K524" s="230"/>
      <c r="L524" s="230"/>
      <c r="M524" s="230"/>
      <c r="N524" s="230"/>
      <c r="O524" s="230"/>
      <c r="P524" s="230"/>
      <c r="Q524" s="230"/>
      <c r="R524" s="230"/>
      <c r="S524" s="230"/>
      <c r="T524" s="230"/>
      <c r="U524" s="230"/>
      <c r="V524" s="230"/>
      <c r="W524" s="230"/>
      <c r="X524" s="230"/>
      <c r="Y524" s="230"/>
      <c r="Z524" s="230"/>
    </row>
    <row r="525" spans="1:26" ht="15.75" customHeight="1">
      <c r="A525" s="230"/>
      <c r="B525" s="230"/>
      <c r="C525" s="230"/>
      <c r="D525" s="230"/>
      <c r="E525" s="230"/>
      <c r="F525" s="230"/>
      <c r="G525" s="230"/>
      <c r="H525" s="230"/>
      <c r="I525" s="230"/>
      <c r="J525" s="230"/>
      <c r="K525" s="230"/>
      <c r="L525" s="230"/>
      <c r="M525" s="230"/>
      <c r="N525" s="230"/>
      <c r="O525" s="230"/>
      <c r="P525" s="230"/>
      <c r="Q525" s="230"/>
      <c r="R525" s="230"/>
      <c r="S525" s="230"/>
      <c r="T525" s="230"/>
      <c r="U525" s="230"/>
      <c r="V525" s="230"/>
      <c r="W525" s="230"/>
      <c r="X525" s="230"/>
      <c r="Y525" s="230"/>
      <c r="Z525" s="230"/>
    </row>
    <row r="526" spans="1:26" ht="15.75" customHeight="1">
      <c r="A526" s="230"/>
      <c r="B526" s="230"/>
      <c r="C526" s="230"/>
      <c r="D526" s="230"/>
      <c r="E526" s="230"/>
      <c r="F526" s="230"/>
      <c r="G526" s="230"/>
      <c r="H526" s="230"/>
      <c r="I526" s="230"/>
      <c r="J526" s="230"/>
      <c r="K526" s="230"/>
      <c r="L526" s="230"/>
      <c r="M526" s="230"/>
      <c r="N526" s="230"/>
      <c r="O526" s="230"/>
      <c r="P526" s="230"/>
      <c r="Q526" s="230"/>
      <c r="R526" s="230"/>
      <c r="S526" s="230"/>
      <c r="T526" s="230"/>
      <c r="U526" s="230"/>
      <c r="V526" s="230"/>
      <c r="W526" s="230"/>
      <c r="X526" s="230"/>
      <c r="Y526" s="230"/>
      <c r="Z526" s="230"/>
    </row>
    <row r="527" spans="1:26" ht="15.75" customHeight="1">
      <c r="A527" s="230"/>
      <c r="B527" s="230"/>
      <c r="C527" s="230"/>
      <c r="D527" s="230"/>
      <c r="E527" s="230"/>
      <c r="F527" s="230"/>
      <c r="G527" s="230"/>
      <c r="H527" s="230"/>
      <c r="I527" s="230"/>
      <c r="J527" s="230"/>
      <c r="K527" s="230"/>
      <c r="L527" s="230"/>
      <c r="M527" s="230"/>
      <c r="N527" s="230"/>
      <c r="O527" s="230"/>
      <c r="P527" s="230"/>
      <c r="Q527" s="230"/>
      <c r="R527" s="230"/>
      <c r="S527" s="230"/>
      <c r="T527" s="230"/>
      <c r="U527" s="230"/>
      <c r="V527" s="230"/>
      <c r="W527" s="230"/>
      <c r="X527" s="230"/>
      <c r="Y527" s="230"/>
      <c r="Z527" s="230"/>
    </row>
    <row r="528" spans="1:26" ht="15.75" customHeight="1">
      <c r="A528" s="230"/>
      <c r="B528" s="230"/>
      <c r="C528" s="230"/>
      <c r="D528" s="230"/>
      <c r="E528" s="230"/>
      <c r="F528" s="230"/>
      <c r="G528" s="230"/>
      <c r="H528" s="230"/>
      <c r="I528" s="230"/>
      <c r="J528" s="230"/>
      <c r="K528" s="230"/>
      <c r="L528" s="230"/>
      <c r="M528" s="230"/>
      <c r="N528" s="230"/>
      <c r="O528" s="230"/>
      <c r="P528" s="230"/>
      <c r="Q528" s="230"/>
      <c r="R528" s="230"/>
      <c r="S528" s="230"/>
      <c r="T528" s="230"/>
      <c r="U528" s="230"/>
      <c r="V528" s="230"/>
      <c r="W528" s="230"/>
      <c r="X528" s="230"/>
      <c r="Y528" s="230"/>
      <c r="Z528" s="230"/>
    </row>
    <row r="529" spans="1:26" ht="15.75" customHeight="1">
      <c r="A529" s="230"/>
      <c r="B529" s="230"/>
      <c r="C529" s="230"/>
      <c r="D529" s="230"/>
      <c r="E529" s="230"/>
      <c r="F529" s="230"/>
      <c r="G529" s="230"/>
      <c r="H529" s="230"/>
      <c r="I529" s="230"/>
      <c r="J529" s="230"/>
      <c r="K529" s="230"/>
      <c r="L529" s="230"/>
      <c r="M529" s="230"/>
      <c r="N529" s="230"/>
      <c r="O529" s="230"/>
      <c r="P529" s="230"/>
      <c r="Q529" s="230"/>
      <c r="R529" s="230"/>
      <c r="S529" s="230"/>
      <c r="T529" s="230"/>
      <c r="U529" s="230"/>
      <c r="V529" s="230"/>
      <c r="W529" s="230"/>
      <c r="X529" s="230"/>
      <c r="Y529" s="230"/>
      <c r="Z529" s="230"/>
    </row>
    <row r="530" spans="1:26" ht="15.75" customHeight="1">
      <c r="A530" s="230"/>
      <c r="B530" s="230"/>
      <c r="C530" s="230"/>
      <c r="D530" s="230"/>
      <c r="E530" s="230"/>
      <c r="F530" s="230"/>
      <c r="G530" s="230"/>
      <c r="H530" s="230"/>
      <c r="I530" s="230"/>
      <c r="J530" s="230"/>
      <c r="K530" s="230"/>
      <c r="L530" s="230"/>
      <c r="M530" s="230"/>
      <c r="N530" s="230"/>
      <c r="O530" s="230"/>
      <c r="P530" s="230"/>
      <c r="Q530" s="230"/>
      <c r="R530" s="230"/>
      <c r="S530" s="230"/>
      <c r="T530" s="230"/>
      <c r="U530" s="230"/>
      <c r="V530" s="230"/>
      <c r="W530" s="230"/>
      <c r="X530" s="230"/>
      <c r="Y530" s="230"/>
      <c r="Z530" s="230"/>
    </row>
    <row r="531" spans="1:26" ht="15.75" customHeight="1">
      <c r="A531" s="230"/>
      <c r="B531" s="230"/>
      <c r="C531" s="230"/>
      <c r="D531" s="230"/>
      <c r="E531" s="230"/>
      <c r="F531" s="230"/>
      <c r="G531" s="230"/>
      <c r="H531" s="230"/>
      <c r="I531" s="230"/>
      <c r="J531" s="230"/>
      <c r="K531" s="230"/>
      <c r="L531" s="230"/>
      <c r="M531" s="230"/>
      <c r="N531" s="230"/>
      <c r="O531" s="230"/>
      <c r="P531" s="230"/>
      <c r="Q531" s="230"/>
      <c r="R531" s="230"/>
      <c r="S531" s="230"/>
      <c r="T531" s="230"/>
      <c r="U531" s="230"/>
      <c r="V531" s="230"/>
      <c r="W531" s="230"/>
      <c r="X531" s="230"/>
      <c r="Y531" s="230"/>
      <c r="Z531" s="230"/>
    </row>
    <row r="532" spans="1:26" ht="15.75" customHeight="1">
      <c r="A532" s="230"/>
      <c r="B532" s="230"/>
      <c r="C532" s="230"/>
      <c r="D532" s="230"/>
      <c r="E532" s="230"/>
      <c r="F532" s="230"/>
      <c r="G532" s="230"/>
      <c r="H532" s="230"/>
      <c r="I532" s="230"/>
      <c r="J532" s="230"/>
      <c r="K532" s="230"/>
      <c r="L532" s="230"/>
      <c r="M532" s="230"/>
      <c r="N532" s="230"/>
      <c r="O532" s="230"/>
      <c r="P532" s="230"/>
      <c r="Q532" s="230"/>
      <c r="R532" s="230"/>
      <c r="S532" s="230"/>
      <c r="T532" s="230"/>
      <c r="U532" s="230"/>
      <c r="V532" s="230"/>
      <c r="W532" s="230"/>
      <c r="X532" s="230"/>
      <c r="Y532" s="230"/>
      <c r="Z532" s="230"/>
    </row>
    <row r="533" spans="1:26" ht="15.75" customHeight="1">
      <c r="A533" s="230"/>
      <c r="B533" s="230"/>
      <c r="C533" s="230"/>
      <c r="D533" s="230"/>
      <c r="E533" s="230"/>
      <c r="F533" s="230"/>
      <c r="G533" s="230"/>
      <c r="H533" s="230"/>
      <c r="I533" s="230"/>
      <c r="J533" s="230"/>
      <c r="K533" s="230"/>
      <c r="L533" s="230"/>
      <c r="M533" s="230"/>
      <c r="N533" s="230"/>
      <c r="O533" s="230"/>
      <c r="P533" s="230"/>
      <c r="Q533" s="230"/>
      <c r="R533" s="230"/>
      <c r="S533" s="230"/>
      <c r="T533" s="230"/>
      <c r="U533" s="230"/>
      <c r="V533" s="230"/>
      <c r="W533" s="230"/>
      <c r="X533" s="230"/>
      <c r="Y533" s="230"/>
      <c r="Z533" s="230"/>
    </row>
    <row r="534" spans="1:26" ht="15.75" customHeight="1">
      <c r="A534" s="230"/>
      <c r="B534" s="230"/>
      <c r="C534" s="230"/>
      <c r="D534" s="230"/>
      <c r="E534" s="230"/>
      <c r="F534" s="230"/>
      <c r="G534" s="230"/>
      <c r="H534" s="230"/>
      <c r="I534" s="230"/>
      <c r="J534" s="230"/>
      <c r="K534" s="230"/>
      <c r="L534" s="230"/>
      <c r="M534" s="230"/>
      <c r="N534" s="230"/>
      <c r="O534" s="230"/>
      <c r="P534" s="230"/>
      <c r="Q534" s="230"/>
      <c r="R534" s="230"/>
      <c r="S534" s="230"/>
      <c r="T534" s="230"/>
      <c r="U534" s="230"/>
      <c r="V534" s="230"/>
      <c r="W534" s="230"/>
      <c r="X534" s="230"/>
      <c r="Y534" s="230"/>
      <c r="Z534" s="230"/>
    </row>
    <row r="535" spans="1:26" ht="15.75" customHeight="1">
      <c r="A535" s="230"/>
      <c r="B535" s="230"/>
      <c r="C535" s="230"/>
      <c r="D535" s="230"/>
      <c r="E535" s="230"/>
      <c r="F535" s="230"/>
      <c r="G535" s="230"/>
      <c r="H535" s="230"/>
      <c r="I535" s="230"/>
      <c r="J535" s="230"/>
      <c r="K535" s="230"/>
      <c r="L535" s="230"/>
      <c r="M535" s="230"/>
      <c r="N535" s="230"/>
      <c r="O535" s="230"/>
      <c r="P535" s="230"/>
      <c r="Q535" s="230"/>
      <c r="R535" s="230"/>
      <c r="S535" s="230"/>
      <c r="T535" s="230"/>
      <c r="U535" s="230"/>
      <c r="V535" s="230"/>
      <c r="W535" s="230"/>
      <c r="X535" s="230"/>
      <c r="Y535" s="230"/>
      <c r="Z535" s="230"/>
    </row>
    <row r="536" spans="1:26" ht="15.75" customHeight="1">
      <c r="A536" s="230"/>
      <c r="B536" s="230"/>
      <c r="C536" s="230"/>
      <c r="D536" s="230"/>
      <c r="E536" s="230"/>
      <c r="F536" s="230"/>
      <c r="G536" s="230"/>
      <c r="H536" s="230"/>
      <c r="I536" s="230"/>
      <c r="J536" s="230"/>
      <c r="K536" s="230"/>
      <c r="L536" s="230"/>
      <c r="M536" s="230"/>
      <c r="N536" s="230"/>
      <c r="O536" s="230"/>
      <c r="P536" s="230"/>
      <c r="Q536" s="230"/>
      <c r="R536" s="230"/>
      <c r="S536" s="230"/>
      <c r="T536" s="230"/>
      <c r="U536" s="230"/>
      <c r="V536" s="230"/>
      <c r="W536" s="230"/>
      <c r="X536" s="230"/>
      <c r="Y536" s="230"/>
      <c r="Z536" s="230"/>
    </row>
    <row r="537" spans="1:26" ht="15.75" customHeight="1">
      <c r="A537" s="230"/>
      <c r="B537" s="230"/>
      <c r="C537" s="230"/>
      <c r="D537" s="230"/>
      <c r="E537" s="230"/>
      <c r="F537" s="230"/>
      <c r="G537" s="230"/>
      <c r="H537" s="230"/>
      <c r="I537" s="230"/>
      <c r="J537" s="230"/>
      <c r="K537" s="230"/>
      <c r="L537" s="230"/>
      <c r="M537" s="230"/>
      <c r="N537" s="230"/>
      <c r="O537" s="230"/>
      <c r="P537" s="230"/>
      <c r="Q537" s="230"/>
      <c r="R537" s="230"/>
      <c r="S537" s="230"/>
      <c r="T537" s="230"/>
      <c r="U537" s="230"/>
      <c r="V537" s="230"/>
      <c r="W537" s="230"/>
      <c r="X537" s="230"/>
      <c r="Y537" s="230"/>
      <c r="Z537" s="230"/>
    </row>
    <row r="538" spans="1:26" ht="15.75" customHeight="1">
      <c r="A538" s="230"/>
      <c r="B538" s="230"/>
      <c r="C538" s="230"/>
      <c r="D538" s="230"/>
      <c r="E538" s="230"/>
      <c r="F538" s="230"/>
      <c r="G538" s="230"/>
      <c r="H538" s="230"/>
      <c r="I538" s="230"/>
      <c r="J538" s="230"/>
      <c r="K538" s="230"/>
      <c r="L538" s="230"/>
      <c r="M538" s="230"/>
      <c r="N538" s="230"/>
      <c r="O538" s="230"/>
      <c r="P538" s="230"/>
      <c r="Q538" s="230"/>
      <c r="R538" s="230"/>
      <c r="S538" s="230"/>
      <c r="T538" s="230"/>
      <c r="U538" s="230"/>
      <c r="V538" s="230"/>
      <c r="W538" s="230"/>
      <c r="X538" s="230"/>
      <c r="Y538" s="230"/>
      <c r="Z538" s="230"/>
    </row>
    <row r="539" spans="1:26" ht="15.75" customHeight="1">
      <c r="A539" s="230"/>
      <c r="B539" s="230"/>
      <c r="C539" s="230"/>
      <c r="D539" s="230"/>
      <c r="E539" s="230"/>
      <c r="F539" s="230"/>
      <c r="G539" s="230"/>
      <c r="H539" s="230"/>
      <c r="I539" s="230"/>
      <c r="J539" s="230"/>
      <c r="K539" s="230"/>
      <c r="L539" s="230"/>
      <c r="M539" s="230"/>
      <c r="N539" s="230"/>
      <c r="O539" s="230"/>
      <c r="P539" s="230"/>
      <c r="Q539" s="230"/>
      <c r="R539" s="230"/>
      <c r="S539" s="230"/>
      <c r="T539" s="230"/>
      <c r="U539" s="230"/>
      <c r="V539" s="230"/>
      <c r="W539" s="230"/>
      <c r="X539" s="230"/>
      <c r="Y539" s="230"/>
      <c r="Z539" s="230"/>
    </row>
    <row r="540" spans="1:26" ht="15.75" customHeight="1">
      <c r="A540" s="230"/>
      <c r="B540" s="230"/>
      <c r="C540" s="230"/>
      <c r="D540" s="230"/>
      <c r="E540" s="230"/>
      <c r="F540" s="230"/>
      <c r="G540" s="230"/>
      <c r="H540" s="230"/>
      <c r="I540" s="230"/>
      <c r="J540" s="230"/>
      <c r="K540" s="230"/>
      <c r="L540" s="230"/>
      <c r="M540" s="230"/>
      <c r="N540" s="230"/>
      <c r="O540" s="230"/>
      <c r="P540" s="230"/>
      <c r="Q540" s="230"/>
      <c r="R540" s="230"/>
      <c r="S540" s="230"/>
      <c r="T540" s="230"/>
      <c r="U540" s="230"/>
      <c r="V540" s="230"/>
      <c r="W540" s="230"/>
      <c r="X540" s="230"/>
      <c r="Y540" s="230"/>
      <c r="Z540" s="230"/>
    </row>
    <row r="541" spans="1:26" ht="15.75" customHeight="1">
      <c r="A541" s="230"/>
      <c r="B541" s="230"/>
      <c r="C541" s="230"/>
      <c r="D541" s="230"/>
      <c r="E541" s="230"/>
      <c r="F541" s="230"/>
      <c r="G541" s="230"/>
      <c r="H541" s="230"/>
      <c r="I541" s="230"/>
      <c r="J541" s="230"/>
      <c r="K541" s="230"/>
      <c r="L541" s="230"/>
      <c r="M541" s="230"/>
      <c r="N541" s="230"/>
      <c r="O541" s="230"/>
      <c r="P541" s="230"/>
      <c r="Q541" s="230"/>
      <c r="R541" s="230"/>
      <c r="S541" s="230"/>
      <c r="T541" s="230"/>
      <c r="U541" s="230"/>
      <c r="V541" s="230"/>
      <c r="W541" s="230"/>
      <c r="X541" s="230"/>
      <c r="Y541" s="230"/>
      <c r="Z541" s="230"/>
    </row>
    <row r="542" spans="1:26" ht="15.75" customHeight="1">
      <c r="A542" s="230"/>
      <c r="B542" s="230"/>
      <c r="C542" s="230"/>
      <c r="D542" s="230"/>
      <c r="E542" s="230"/>
      <c r="F542" s="230"/>
      <c r="G542" s="230"/>
      <c r="H542" s="230"/>
      <c r="I542" s="230"/>
      <c r="J542" s="230"/>
      <c r="K542" s="230"/>
      <c r="L542" s="230"/>
      <c r="M542" s="230"/>
      <c r="N542" s="230"/>
      <c r="O542" s="230"/>
      <c r="P542" s="230"/>
      <c r="Q542" s="230"/>
      <c r="R542" s="230"/>
      <c r="S542" s="230"/>
      <c r="T542" s="230"/>
      <c r="U542" s="230"/>
      <c r="V542" s="230"/>
      <c r="W542" s="230"/>
      <c r="X542" s="230"/>
      <c r="Y542" s="230"/>
      <c r="Z542" s="230"/>
    </row>
    <row r="543" spans="1:26" ht="15.75" customHeight="1">
      <c r="A543" s="230"/>
      <c r="B543" s="230"/>
      <c r="C543" s="230"/>
      <c r="D543" s="230"/>
      <c r="E543" s="230"/>
      <c r="F543" s="230"/>
      <c r="G543" s="230"/>
      <c r="H543" s="230"/>
      <c r="I543" s="230"/>
      <c r="J543" s="230"/>
      <c r="K543" s="230"/>
      <c r="L543" s="230"/>
      <c r="M543" s="230"/>
      <c r="N543" s="230"/>
      <c r="O543" s="230"/>
      <c r="P543" s="230"/>
      <c r="Q543" s="230"/>
      <c r="R543" s="230"/>
      <c r="S543" s="230"/>
      <c r="T543" s="230"/>
      <c r="U543" s="230"/>
      <c r="V543" s="230"/>
      <c r="W543" s="230"/>
      <c r="X543" s="230"/>
      <c r="Y543" s="230"/>
      <c r="Z543" s="230"/>
    </row>
    <row r="544" spans="1:26" ht="15.75" customHeight="1">
      <c r="A544" s="230"/>
      <c r="B544" s="230"/>
      <c r="C544" s="230"/>
      <c r="D544" s="230"/>
      <c r="E544" s="230"/>
      <c r="F544" s="230"/>
      <c r="G544" s="230"/>
      <c r="H544" s="230"/>
      <c r="I544" s="230"/>
      <c r="J544" s="230"/>
      <c r="K544" s="230"/>
      <c r="L544" s="230"/>
      <c r="M544" s="230"/>
      <c r="N544" s="230"/>
      <c r="O544" s="230"/>
      <c r="P544" s="230"/>
      <c r="Q544" s="230"/>
      <c r="R544" s="230"/>
      <c r="S544" s="230"/>
      <c r="T544" s="230"/>
      <c r="U544" s="230"/>
      <c r="V544" s="230"/>
      <c r="W544" s="230"/>
      <c r="X544" s="230"/>
      <c r="Y544" s="230"/>
      <c r="Z544" s="230"/>
    </row>
    <row r="545" spans="1:26" ht="15.75" customHeight="1">
      <c r="A545" s="230"/>
      <c r="B545" s="230"/>
      <c r="C545" s="230"/>
      <c r="D545" s="230"/>
      <c r="E545" s="230"/>
      <c r="F545" s="230"/>
      <c r="G545" s="230"/>
      <c r="H545" s="230"/>
      <c r="I545" s="230"/>
      <c r="J545" s="230"/>
      <c r="K545" s="230"/>
      <c r="L545" s="230"/>
      <c r="M545" s="230"/>
      <c r="N545" s="230"/>
      <c r="O545" s="230"/>
      <c r="P545" s="230"/>
      <c r="Q545" s="230"/>
      <c r="R545" s="230"/>
      <c r="S545" s="230"/>
      <c r="T545" s="230"/>
      <c r="U545" s="230"/>
      <c r="V545" s="230"/>
      <c r="W545" s="230"/>
      <c r="X545" s="230"/>
      <c r="Y545" s="230"/>
      <c r="Z545" s="230"/>
    </row>
    <row r="546" spans="1:26" ht="15.75" customHeight="1">
      <c r="A546" s="230"/>
      <c r="B546" s="230"/>
      <c r="C546" s="230"/>
      <c r="D546" s="230"/>
      <c r="E546" s="230"/>
      <c r="F546" s="230"/>
      <c r="G546" s="230"/>
      <c r="H546" s="230"/>
      <c r="I546" s="230"/>
      <c r="J546" s="230"/>
      <c r="K546" s="230"/>
      <c r="L546" s="230"/>
      <c r="M546" s="230"/>
      <c r="N546" s="230"/>
      <c r="O546" s="230"/>
      <c r="P546" s="230"/>
      <c r="Q546" s="230"/>
      <c r="R546" s="230"/>
      <c r="S546" s="230"/>
      <c r="T546" s="230"/>
      <c r="U546" s="230"/>
      <c r="V546" s="230"/>
      <c r="W546" s="230"/>
      <c r="X546" s="230"/>
      <c r="Y546" s="230"/>
      <c r="Z546" s="230"/>
    </row>
    <row r="547" spans="1:26" ht="15.75" customHeight="1">
      <c r="A547" s="230"/>
      <c r="B547" s="230"/>
      <c r="C547" s="230"/>
      <c r="D547" s="230"/>
      <c r="E547" s="230"/>
      <c r="F547" s="230"/>
      <c r="G547" s="230"/>
      <c r="H547" s="230"/>
      <c r="I547" s="230"/>
      <c r="J547" s="230"/>
      <c r="K547" s="230"/>
      <c r="L547" s="230"/>
      <c r="M547" s="230"/>
      <c r="N547" s="230"/>
      <c r="O547" s="230"/>
      <c r="P547" s="230"/>
      <c r="Q547" s="230"/>
      <c r="R547" s="230"/>
      <c r="S547" s="230"/>
      <c r="T547" s="230"/>
      <c r="U547" s="230"/>
      <c r="V547" s="230"/>
      <c r="W547" s="230"/>
      <c r="X547" s="230"/>
      <c r="Y547" s="230"/>
      <c r="Z547" s="230"/>
    </row>
    <row r="548" spans="1:26" ht="15.75" customHeight="1">
      <c r="A548" s="230"/>
      <c r="B548" s="230"/>
      <c r="C548" s="230"/>
      <c r="D548" s="230"/>
      <c r="E548" s="230"/>
      <c r="F548" s="230"/>
      <c r="G548" s="230"/>
      <c r="H548" s="230"/>
      <c r="I548" s="230"/>
      <c r="J548" s="230"/>
      <c r="K548" s="230"/>
      <c r="L548" s="230"/>
      <c r="M548" s="230"/>
      <c r="N548" s="230"/>
      <c r="O548" s="230"/>
      <c r="P548" s="230"/>
      <c r="Q548" s="230"/>
      <c r="R548" s="230"/>
      <c r="S548" s="230"/>
      <c r="T548" s="230"/>
      <c r="U548" s="230"/>
      <c r="V548" s="230"/>
      <c r="W548" s="230"/>
      <c r="X548" s="230"/>
      <c r="Y548" s="230"/>
      <c r="Z548" s="230"/>
    </row>
    <row r="549" spans="1:26" ht="15.75" customHeight="1">
      <c r="A549" s="230"/>
      <c r="B549" s="230"/>
      <c r="C549" s="230"/>
      <c r="D549" s="230"/>
      <c r="E549" s="230"/>
      <c r="F549" s="230"/>
      <c r="G549" s="230"/>
      <c r="H549" s="230"/>
      <c r="I549" s="230"/>
      <c r="J549" s="230"/>
      <c r="K549" s="230"/>
      <c r="L549" s="230"/>
      <c r="M549" s="230"/>
      <c r="N549" s="230"/>
      <c r="O549" s="230"/>
      <c r="P549" s="230"/>
      <c r="Q549" s="230"/>
      <c r="R549" s="230"/>
      <c r="S549" s="230"/>
      <c r="T549" s="230"/>
      <c r="U549" s="230"/>
      <c r="V549" s="230"/>
      <c r="W549" s="230"/>
      <c r="X549" s="230"/>
      <c r="Y549" s="230"/>
      <c r="Z549" s="230"/>
    </row>
    <row r="550" spans="1:26" ht="15.75" customHeight="1">
      <c r="A550" s="230"/>
      <c r="B550" s="230"/>
      <c r="C550" s="230"/>
      <c r="D550" s="230"/>
      <c r="E550" s="230"/>
      <c r="F550" s="230"/>
      <c r="G550" s="230"/>
      <c r="H550" s="230"/>
      <c r="I550" s="230"/>
      <c r="J550" s="230"/>
      <c r="K550" s="230"/>
      <c r="L550" s="230"/>
      <c r="M550" s="230"/>
      <c r="N550" s="230"/>
      <c r="O550" s="230"/>
      <c r="P550" s="230"/>
      <c r="Q550" s="230"/>
      <c r="R550" s="230"/>
      <c r="S550" s="230"/>
      <c r="T550" s="230"/>
      <c r="U550" s="230"/>
      <c r="V550" s="230"/>
      <c r="W550" s="230"/>
      <c r="X550" s="230"/>
      <c r="Y550" s="230"/>
      <c r="Z550" s="230"/>
    </row>
    <row r="551" spans="1:26" ht="15.75" customHeight="1">
      <c r="A551" s="230"/>
      <c r="B551" s="230"/>
      <c r="C551" s="230"/>
      <c r="D551" s="230"/>
      <c r="E551" s="230"/>
      <c r="F551" s="230"/>
      <c r="G551" s="230"/>
      <c r="H551" s="230"/>
      <c r="I551" s="230"/>
      <c r="J551" s="230"/>
      <c r="K551" s="230"/>
      <c r="L551" s="230"/>
      <c r="M551" s="230"/>
      <c r="N551" s="230"/>
      <c r="O551" s="230"/>
      <c r="P551" s="230"/>
      <c r="Q551" s="230"/>
      <c r="R551" s="230"/>
      <c r="S551" s="230"/>
      <c r="T551" s="230"/>
      <c r="U551" s="230"/>
      <c r="V551" s="230"/>
      <c r="W551" s="230"/>
      <c r="X551" s="230"/>
      <c r="Y551" s="230"/>
      <c r="Z551" s="230"/>
    </row>
    <row r="552" spans="1:26" ht="15.75" customHeight="1">
      <c r="A552" s="230"/>
      <c r="B552" s="230"/>
      <c r="C552" s="230"/>
      <c r="D552" s="230"/>
      <c r="E552" s="230"/>
      <c r="F552" s="230"/>
      <c r="G552" s="230"/>
      <c r="H552" s="230"/>
      <c r="I552" s="230"/>
      <c r="J552" s="230"/>
      <c r="K552" s="230"/>
      <c r="L552" s="230"/>
      <c r="M552" s="230"/>
      <c r="N552" s="230"/>
      <c r="O552" s="230"/>
      <c r="P552" s="230"/>
      <c r="Q552" s="230"/>
      <c r="R552" s="230"/>
      <c r="S552" s="230"/>
      <c r="T552" s="230"/>
      <c r="U552" s="230"/>
      <c r="V552" s="230"/>
      <c r="W552" s="230"/>
      <c r="X552" s="230"/>
      <c r="Y552" s="230"/>
      <c r="Z552" s="230"/>
    </row>
    <row r="553" spans="1:26" ht="15.75" customHeight="1">
      <c r="A553" s="230"/>
      <c r="B553" s="230"/>
      <c r="C553" s="230"/>
      <c r="D553" s="230"/>
      <c r="E553" s="230"/>
      <c r="F553" s="230"/>
      <c r="G553" s="230"/>
      <c r="H553" s="230"/>
      <c r="I553" s="230"/>
      <c r="J553" s="230"/>
      <c r="K553" s="230"/>
      <c r="L553" s="230"/>
      <c r="M553" s="230"/>
      <c r="N553" s="230"/>
      <c r="O553" s="230"/>
      <c r="P553" s="230"/>
      <c r="Q553" s="230"/>
      <c r="R553" s="230"/>
      <c r="S553" s="230"/>
      <c r="T553" s="230"/>
      <c r="U553" s="230"/>
      <c r="V553" s="230"/>
      <c r="W553" s="230"/>
      <c r="X553" s="230"/>
      <c r="Y553" s="230"/>
      <c r="Z553" s="230"/>
    </row>
    <row r="554" spans="1:26" ht="15.75" customHeight="1">
      <c r="A554" s="230"/>
      <c r="B554" s="230"/>
      <c r="C554" s="230"/>
      <c r="D554" s="230"/>
      <c r="E554" s="230"/>
      <c r="F554" s="230"/>
      <c r="G554" s="230"/>
      <c r="H554" s="230"/>
      <c r="I554" s="230"/>
      <c r="J554" s="230"/>
      <c r="K554" s="230"/>
      <c r="L554" s="230"/>
      <c r="M554" s="230"/>
      <c r="N554" s="230"/>
      <c r="O554" s="230"/>
      <c r="P554" s="230"/>
      <c r="Q554" s="230"/>
      <c r="R554" s="230"/>
      <c r="S554" s="230"/>
      <c r="T554" s="230"/>
      <c r="U554" s="230"/>
      <c r="V554" s="230"/>
      <c r="W554" s="230"/>
      <c r="X554" s="230"/>
      <c r="Y554" s="230"/>
      <c r="Z554" s="230"/>
    </row>
    <row r="555" spans="1:26" ht="15.75" customHeight="1">
      <c r="A555" s="230"/>
      <c r="B555" s="230"/>
      <c r="C555" s="230"/>
      <c r="D555" s="230"/>
      <c r="E555" s="230"/>
      <c r="F555" s="230"/>
      <c r="G555" s="230"/>
      <c r="H555" s="230"/>
      <c r="I555" s="230"/>
      <c r="J555" s="230"/>
      <c r="K555" s="230"/>
      <c r="L555" s="230"/>
      <c r="M555" s="230"/>
      <c r="N555" s="230"/>
      <c r="O555" s="230"/>
      <c r="P555" s="230"/>
      <c r="Q555" s="230"/>
      <c r="R555" s="230"/>
      <c r="S555" s="230"/>
      <c r="T555" s="230"/>
      <c r="U555" s="230"/>
      <c r="V555" s="230"/>
      <c r="W555" s="230"/>
      <c r="X555" s="230"/>
      <c r="Y555" s="230"/>
      <c r="Z555" s="230"/>
    </row>
    <row r="556" spans="1:26" ht="15.75" customHeight="1">
      <c r="A556" s="230"/>
      <c r="B556" s="230"/>
      <c r="C556" s="230"/>
      <c r="D556" s="230"/>
      <c r="E556" s="230"/>
      <c r="F556" s="230"/>
      <c r="G556" s="230"/>
      <c r="H556" s="230"/>
      <c r="I556" s="230"/>
      <c r="J556" s="230"/>
      <c r="K556" s="230"/>
      <c r="L556" s="230"/>
      <c r="M556" s="230"/>
      <c r="N556" s="230"/>
      <c r="O556" s="230"/>
      <c r="P556" s="230"/>
      <c r="Q556" s="230"/>
      <c r="R556" s="230"/>
      <c r="S556" s="230"/>
      <c r="T556" s="230"/>
      <c r="U556" s="230"/>
      <c r="V556" s="230"/>
      <c r="W556" s="230"/>
      <c r="X556" s="230"/>
      <c r="Y556" s="230"/>
      <c r="Z556" s="230"/>
    </row>
    <row r="557" spans="1:26" ht="15.75" customHeight="1">
      <c r="A557" s="230"/>
      <c r="B557" s="230"/>
      <c r="C557" s="230"/>
      <c r="D557" s="230"/>
      <c r="E557" s="230"/>
      <c r="F557" s="230"/>
      <c r="G557" s="230"/>
      <c r="H557" s="230"/>
      <c r="I557" s="230"/>
      <c r="J557" s="230"/>
      <c r="K557" s="230"/>
      <c r="L557" s="230"/>
      <c r="M557" s="230"/>
      <c r="N557" s="230"/>
      <c r="O557" s="230"/>
      <c r="P557" s="230"/>
      <c r="Q557" s="230"/>
      <c r="R557" s="230"/>
      <c r="S557" s="230"/>
      <c r="T557" s="230"/>
      <c r="U557" s="230"/>
      <c r="V557" s="230"/>
      <c r="W557" s="230"/>
      <c r="X557" s="230"/>
      <c r="Y557" s="230"/>
      <c r="Z557" s="230"/>
    </row>
    <row r="558" spans="1:26" ht="15.75" customHeight="1">
      <c r="A558" s="230"/>
      <c r="B558" s="230"/>
      <c r="C558" s="230"/>
      <c r="D558" s="230"/>
      <c r="E558" s="230"/>
      <c r="F558" s="230"/>
      <c r="G558" s="230"/>
      <c r="H558" s="230"/>
      <c r="I558" s="230"/>
      <c r="J558" s="230"/>
      <c r="K558" s="230"/>
      <c r="L558" s="230"/>
      <c r="M558" s="230"/>
      <c r="N558" s="230"/>
      <c r="O558" s="230"/>
      <c r="P558" s="230"/>
      <c r="Q558" s="230"/>
      <c r="R558" s="230"/>
      <c r="S558" s="230"/>
      <c r="T558" s="230"/>
      <c r="U558" s="230"/>
      <c r="V558" s="230"/>
      <c r="W558" s="230"/>
      <c r="X558" s="230"/>
      <c r="Y558" s="230"/>
      <c r="Z558" s="230"/>
    </row>
    <row r="559" spans="1:26" ht="15.75" customHeight="1">
      <c r="A559" s="230"/>
      <c r="B559" s="230"/>
      <c r="C559" s="230"/>
      <c r="D559" s="230"/>
      <c r="E559" s="230"/>
      <c r="F559" s="230"/>
      <c r="G559" s="230"/>
      <c r="H559" s="230"/>
      <c r="I559" s="230"/>
      <c r="J559" s="230"/>
      <c r="K559" s="230"/>
      <c r="L559" s="230"/>
      <c r="M559" s="230"/>
      <c r="N559" s="230"/>
      <c r="O559" s="230"/>
      <c r="P559" s="230"/>
      <c r="Q559" s="230"/>
      <c r="R559" s="230"/>
      <c r="S559" s="230"/>
      <c r="T559" s="230"/>
      <c r="U559" s="230"/>
      <c r="V559" s="230"/>
      <c r="W559" s="230"/>
      <c r="X559" s="230"/>
      <c r="Y559" s="230"/>
      <c r="Z559" s="230"/>
    </row>
    <row r="560" spans="1:26" ht="15.75" customHeight="1">
      <c r="A560" s="230"/>
      <c r="B560" s="230"/>
      <c r="C560" s="230"/>
      <c r="D560" s="230"/>
      <c r="E560" s="230"/>
      <c r="F560" s="230"/>
      <c r="G560" s="230"/>
      <c r="H560" s="230"/>
      <c r="I560" s="230"/>
      <c r="J560" s="230"/>
      <c r="K560" s="230"/>
      <c r="L560" s="230"/>
      <c r="M560" s="230"/>
      <c r="N560" s="230"/>
      <c r="O560" s="230"/>
      <c r="P560" s="230"/>
      <c r="Q560" s="230"/>
      <c r="R560" s="230"/>
      <c r="S560" s="230"/>
      <c r="T560" s="230"/>
      <c r="U560" s="230"/>
      <c r="V560" s="230"/>
      <c r="W560" s="230"/>
      <c r="X560" s="230"/>
      <c r="Y560" s="230"/>
      <c r="Z560" s="230"/>
    </row>
    <row r="561" spans="1:26" ht="15.75" customHeight="1">
      <c r="A561" s="230"/>
      <c r="B561" s="230"/>
      <c r="C561" s="230"/>
      <c r="D561" s="230"/>
      <c r="E561" s="230"/>
      <c r="F561" s="230"/>
      <c r="G561" s="230"/>
      <c r="H561" s="230"/>
      <c r="I561" s="230"/>
      <c r="J561" s="230"/>
      <c r="K561" s="230"/>
      <c r="L561" s="230"/>
      <c r="M561" s="230"/>
      <c r="N561" s="230"/>
      <c r="O561" s="230"/>
      <c r="P561" s="230"/>
      <c r="Q561" s="230"/>
      <c r="R561" s="230"/>
      <c r="S561" s="230"/>
      <c r="T561" s="230"/>
      <c r="U561" s="230"/>
      <c r="V561" s="230"/>
      <c r="W561" s="230"/>
      <c r="X561" s="230"/>
      <c r="Y561" s="230"/>
      <c r="Z561" s="230"/>
    </row>
    <row r="562" spans="1:26" ht="15.75" customHeight="1">
      <c r="A562" s="230"/>
      <c r="B562" s="230"/>
      <c r="C562" s="230"/>
      <c r="D562" s="230"/>
      <c r="E562" s="230"/>
      <c r="F562" s="230"/>
      <c r="G562" s="230"/>
      <c r="H562" s="230"/>
      <c r="I562" s="230"/>
      <c r="J562" s="230"/>
      <c r="K562" s="230"/>
      <c r="L562" s="230"/>
      <c r="M562" s="230"/>
      <c r="N562" s="230"/>
      <c r="O562" s="230"/>
      <c r="P562" s="230"/>
      <c r="Q562" s="230"/>
      <c r="R562" s="230"/>
      <c r="S562" s="230"/>
      <c r="T562" s="230"/>
      <c r="U562" s="230"/>
      <c r="V562" s="230"/>
      <c r="W562" s="230"/>
      <c r="X562" s="230"/>
      <c r="Y562" s="230"/>
      <c r="Z562" s="230"/>
    </row>
    <row r="563" spans="1:26" ht="15.75" customHeight="1">
      <c r="A563" s="230"/>
      <c r="B563" s="230"/>
      <c r="C563" s="230"/>
      <c r="D563" s="230"/>
      <c r="E563" s="230"/>
      <c r="F563" s="230"/>
      <c r="G563" s="230"/>
      <c r="H563" s="230"/>
      <c r="I563" s="230"/>
      <c r="J563" s="230"/>
      <c r="K563" s="230"/>
      <c r="L563" s="230"/>
      <c r="M563" s="230"/>
      <c r="N563" s="230"/>
      <c r="O563" s="230"/>
      <c r="P563" s="230"/>
      <c r="Q563" s="230"/>
      <c r="R563" s="230"/>
      <c r="S563" s="230"/>
      <c r="T563" s="230"/>
      <c r="U563" s="230"/>
      <c r="V563" s="230"/>
      <c r="W563" s="230"/>
      <c r="X563" s="230"/>
      <c r="Y563" s="230"/>
      <c r="Z563" s="230"/>
    </row>
    <row r="564" spans="1:26" ht="15.75" customHeight="1">
      <c r="A564" s="230"/>
      <c r="B564" s="230"/>
      <c r="C564" s="230"/>
      <c r="D564" s="230"/>
      <c r="E564" s="230"/>
      <c r="F564" s="230"/>
      <c r="G564" s="230"/>
      <c r="H564" s="230"/>
      <c r="I564" s="230"/>
      <c r="J564" s="230"/>
      <c r="K564" s="230"/>
      <c r="L564" s="230"/>
      <c r="M564" s="230"/>
      <c r="N564" s="230"/>
      <c r="O564" s="230"/>
      <c r="P564" s="230"/>
      <c r="Q564" s="230"/>
      <c r="R564" s="230"/>
      <c r="S564" s="230"/>
      <c r="T564" s="230"/>
      <c r="U564" s="230"/>
      <c r="V564" s="230"/>
      <c r="W564" s="230"/>
      <c r="X564" s="230"/>
      <c r="Y564" s="230"/>
      <c r="Z564" s="230"/>
    </row>
    <row r="565" spans="1:26" ht="15.75" customHeight="1">
      <c r="A565" s="230"/>
      <c r="B565" s="230"/>
      <c r="C565" s="230"/>
      <c r="D565" s="230"/>
      <c r="E565" s="230"/>
      <c r="F565" s="230"/>
      <c r="G565" s="230"/>
      <c r="H565" s="230"/>
      <c r="I565" s="230"/>
      <c r="J565" s="230"/>
      <c r="K565" s="230"/>
      <c r="L565" s="230"/>
      <c r="M565" s="230"/>
      <c r="N565" s="230"/>
      <c r="O565" s="230"/>
      <c r="P565" s="230"/>
      <c r="Q565" s="230"/>
      <c r="R565" s="230"/>
      <c r="S565" s="230"/>
      <c r="T565" s="230"/>
      <c r="U565" s="230"/>
      <c r="V565" s="230"/>
      <c r="W565" s="230"/>
      <c r="X565" s="230"/>
      <c r="Y565" s="230"/>
      <c r="Z565" s="230"/>
    </row>
    <row r="566" spans="1:26" ht="15.75" customHeight="1">
      <c r="A566" s="230"/>
      <c r="B566" s="230"/>
      <c r="C566" s="230"/>
      <c r="D566" s="230"/>
      <c r="E566" s="230"/>
      <c r="F566" s="230"/>
      <c r="G566" s="230"/>
      <c r="H566" s="230"/>
      <c r="I566" s="230"/>
      <c r="J566" s="230"/>
      <c r="K566" s="230"/>
      <c r="L566" s="230"/>
      <c r="M566" s="230"/>
      <c r="N566" s="230"/>
      <c r="O566" s="230"/>
      <c r="P566" s="230"/>
      <c r="Q566" s="230"/>
      <c r="R566" s="230"/>
      <c r="S566" s="230"/>
      <c r="T566" s="230"/>
      <c r="U566" s="230"/>
      <c r="V566" s="230"/>
      <c r="W566" s="230"/>
      <c r="X566" s="230"/>
      <c r="Y566" s="230"/>
      <c r="Z566" s="230"/>
    </row>
    <row r="567" spans="1:26" ht="15.75" customHeight="1">
      <c r="A567" s="230"/>
      <c r="B567" s="230"/>
      <c r="C567" s="230"/>
      <c r="D567" s="230"/>
      <c r="E567" s="230"/>
      <c r="F567" s="230"/>
      <c r="G567" s="230"/>
      <c r="H567" s="230"/>
      <c r="I567" s="230"/>
      <c r="J567" s="230"/>
      <c r="K567" s="230"/>
      <c r="L567" s="230"/>
      <c r="M567" s="230"/>
      <c r="N567" s="230"/>
      <c r="O567" s="230"/>
      <c r="P567" s="230"/>
      <c r="Q567" s="230"/>
      <c r="R567" s="230"/>
      <c r="S567" s="230"/>
      <c r="T567" s="230"/>
      <c r="U567" s="230"/>
      <c r="V567" s="230"/>
      <c r="W567" s="230"/>
      <c r="X567" s="230"/>
      <c r="Y567" s="230"/>
      <c r="Z567" s="230"/>
    </row>
    <row r="568" spans="1:26" ht="15.75" customHeight="1">
      <c r="A568" s="230"/>
      <c r="B568" s="230"/>
      <c r="C568" s="230"/>
      <c r="D568" s="230"/>
      <c r="E568" s="230"/>
      <c r="F568" s="230"/>
      <c r="G568" s="230"/>
      <c r="H568" s="230"/>
      <c r="I568" s="230"/>
      <c r="J568" s="230"/>
      <c r="K568" s="230"/>
      <c r="L568" s="230"/>
      <c r="M568" s="230"/>
      <c r="N568" s="230"/>
      <c r="O568" s="230"/>
      <c r="P568" s="230"/>
      <c r="Q568" s="230"/>
      <c r="R568" s="230"/>
      <c r="S568" s="230"/>
      <c r="T568" s="230"/>
      <c r="U568" s="230"/>
      <c r="V568" s="230"/>
      <c r="W568" s="230"/>
      <c r="X568" s="230"/>
      <c r="Y568" s="230"/>
      <c r="Z568" s="230"/>
    </row>
    <row r="569" spans="1:26" ht="15.75" customHeight="1">
      <c r="A569" s="230"/>
      <c r="B569" s="230"/>
      <c r="C569" s="230"/>
      <c r="D569" s="230"/>
      <c r="E569" s="230"/>
      <c r="F569" s="230"/>
      <c r="G569" s="230"/>
      <c r="H569" s="230"/>
      <c r="I569" s="230"/>
      <c r="J569" s="230"/>
      <c r="K569" s="230"/>
      <c r="L569" s="230"/>
      <c r="M569" s="230"/>
      <c r="N569" s="230"/>
      <c r="O569" s="230"/>
      <c r="P569" s="230"/>
      <c r="Q569" s="230"/>
      <c r="R569" s="230"/>
      <c r="S569" s="230"/>
      <c r="T569" s="230"/>
      <c r="U569" s="230"/>
      <c r="V569" s="230"/>
      <c r="W569" s="230"/>
      <c r="X569" s="230"/>
      <c r="Y569" s="230"/>
      <c r="Z569" s="230"/>
    </row>
    <row r="570" spans="1:26" ht="15.75" customHeight="1">
      <c r="A570" s="230"/>
      <c r="B570" s="230"/>
      <c r="C570" s="230"/>
      <c r="D570" s="230"/>
      <c r="E570" s="230"/>
      <c r="F570" s="230"/>
      <c r="G570" s="230"/>
      <c r="H570" s="230"/>
      <c r="I570" s="230"/>
      <c r="J570" s="230"/>
      <c r="K570" s="230"/>
      <c r="L570" s="230"/>
      <c r="M570" s="230"/>
      <c r="N570" s="230"/>
      <c r="O570" s="230"/>
      <c r="P570" s="230"/>
      <c r="Q570" s="230"/>
      <c r="R570" s="230"/>
      <c r="S570" s="230"/>
      <c r="T570" s="230"/>
      <c r="U570" s="230"/>
      <c r="V570" s="230"/>
      <c r="W570" s="230"/>
      <c r="X570" s="230"/>
      <c r="Y570" s="230"/>
      <c r="Z570" s="230"/>
    </row>
    <row r="571" spans="1:26" ht="15.75" customHeight="1">
      <c r="A571" s="230"/>
      <c r="B571" s="230"/>
      <c r="C571" s="230"/>
      <c r="D571" s="230"/>
      <c r="E571" s="230"/>
      <c r="F571" s="230"/>
      <c r="G571" s="230"/>
      <c r="H571" s="230"/>
      <c r="I571" s="230"/>
      <c r="J571" s="230"/>
      <c r="K571" s="230"/>
      <c r="L571" s="230"/>
      <c r="M571" s="230"/>
      <c r="N571" s="230"/>
      <c r="O571" s="230"/>
      <c r="P571" s="230"/>
      <c r="Q571" s="230"/>
      <c r="R571" s="230"/>
      <c r="S571" s="230"/>
      <c r="T571" s="230"/>
      <c r="U571" s="230"/>
      <c r="V571" s="230"/>
      <c r="W571" s="230"/>
      <c r="X571" s="230"/>
      <c r="Y571" s="230"/>
      <c r="Z571" s="230"/>
    </row>
    <row r="572" spans="1:26" ht="15.75" customHeight="1">
      <c r="A572" s="230"/>
      <c r="B572" s="230"/>
      <c r="C572" s="230"/>
      <c r="D572" s="230"/>
      <c r="E572" s="230"/>
      <c r="F572" s="230"/>
      <c r="G572" s="230"/>
      <c r="H572" s="230"/>
      <c r="I572" s="230"/>
      <c r="J572" s="230"/>
      <c r="K572" s="230"/>
      <c r="L572" s="230"/>
      <c r="M572" s="230"/>
      <c r="N572" s="230"/>
      <c r="O572" s="230"/>
      <c r="P572" s="230"/>
      <c r="Q572" s="230"/>
      <c r="R572" s="230"/>
      <c r="S572" s="230"/>
      <c r="T572" s="230"/>
      <c r="U572" s="230"/>
      <c r="V572" s="230"/>
      <c r="W572" s="230"/>
      <c r="X572" s="230"/>
      <c r="Y572" s="230"/>
      <c r="Z572" s="230"/>
    </row>
    <row r="573" spans="1:26" ht="15.75" customHeight="1">
      <c r="A573" s="230"/>
      <c r="B573" s="230"/>
      <c r="C573" s="230"/>
      <c r="D573" s="230"/>
      <c r="E573" s="230"/>
      <c r="F573" s="230"/>
      <c r="G573" s="230"/>
      <c r="H573" s="230"/>
      <c r="I573" s="230"/>
      <c r="J573" s="230"/>
      <c r="K573" s="230"/>
      <c r="L573" s="230"/>
      <c r="M573" s="230"/>
      <c r="N573" s="230"/>
      <c r="O573" s="230"/>
      <c r="P573" s="230"/>
      <c r="Q573" s="230"/>
      <c r="R573" s="230"/>
      <c r="S573" s="230"/>
      <c r="T573" s="230"/>
      <c r="U573" s="230"/>
      <c r="V573" s="230"/>
      <c r="W573" s="230"/>
      <c r="X573" s="230"/>
      <c r="Y573" s="230"/>
      <c r="Z573" s="230"/>
    </row>
    <row r="574" spans="1:26" ht="15.75" customHeight="1">
      <c r="A574" s="230"/>
      <c r="B574" s="230"/>
      <c r="C574" s="230"/>
      <c r="D574" s="230"/>
      <c r="E574" s="230"/>
      <c r="F574" s="230"/>
      <c r="G574" s="230"/>
      <c r="H574" s="230"/>
      <c r="I574" s="230"/>
      <c r="J574" s="230"/>
      <c r="K574" s="230"/>
      <c r="L574" s="230"/>
      <c r="M574" s="230"/>
      <c r="N574" s="230"/>
      <c r="O574" s="230"/>
      <c r="P574" s="230"/>
      <c r="Q574" s="230"/>
      <c r="R574" s="230"/>
      <c r="S574" s="230"/>
      <c r="T574" s="230"/>
      <c r="U574" s="230"/>
      <c r="V574" s="230"/>
      <c r="W574" s="230"/>
      <c r="X574" s="230"/>
      <c r="Y574" s="230"/>
      <c r="Z574" s="230"/>
    </row>
    <row r="575" spans="1:26" ht="15.75" customHeight="1">
      <c r="A575" s="230"/>
      <c r="B575" s="230"/>
      <c r="C575" s="230"/>
      <c r="D575" s="230"/>
      <c r="E575" s="230"/>
      <c r="F575" s="230"/>
      <c r="G575" s="230"/>
      <c r="H575" s="230"/>
      <c r="I575" s="230"/>
      <c r="J575" s="230"/>
      <c r="K575" s="230"/>
      <c r="L575" s="230"/>
      <c r="M575" s="230"/>
      <c r="N575" s="230"/>
      <c r="O575" s="230"/>
      <c r="P575" s="230"/>
      <c r="Q575" s="230"/>
      <c r="R575" s="230"/>
      <c r="S575" s="230"/>
      <c r="T575" s="230"/>
      <c r="U575" s="230"/>
      <c r="V575" s="230"/>
      <c r="W575" s="230"/>
      <c r="X575" s="230"/>
      <c r="Y575" s="230"/>
      <c r="Z575" s="230"/>
    </row>
    <row r="576" spans="1:26" ht="15.75" customHeight="1">
      <c r="A576" s="230"/>
      <c r="B576" s="230"/>
      <c r="C576" s="230"/>
      <c r="D576" s="230"/>
      <c r="E576" s="230"/>
      <c r="F576" s="230"/>
      <c r="G576" s="230"/>
      <c r="H576" s="230"/>
      <c r="I576" s="230"/>
      <c r="J576" s="230"/>
      <c r="K576" s="230"/>
      <c r="L576" s="230"/>
      <c r="M576" s="230"/>
      <c r="N576" s="230"/>
      <c r="O576" s="230"/>
      <c r="P576" s="230"/>
      <c r="Q576" s="230"/>
      <c r="R576" s="230"/>
      <c r="S576" s="230"/>
      <c r="T576" s="230"/>
      <c r="U576" s="230"/>
      <c r="V576" s="230"/>
      <c r="W576" s="230"/>
      <c r="X576" s="230"/>
      <c r="Y576" s="230"/>
      <c r="Z576" s="230"/>
    </row>
    <row r="577" spans="1:26" ht="15.75" customHeight="1">
      <c r="A577" s="230"/>
      <c r="B577" s="230"/>
      <c r="C577" s="230"/>
      <c r="D577" s="230"/>
      <c r="E577" s="230"/>
      <c r="F577" s="230"/>
      <c r="G577" s="230"/>
      <c r="H577" s="230"/>
      <c r="I577" s="230"/>
      <c r="J577" s="230"/>
      <c r="K577" s="230"/>
      <c r="L577" s="230"/>
      <c r="M577" s="230"/>
      <c r="N577" s="230"/>
      <c r="O577" s="230"/>
      <c r="P577" s="230"/>
      <c r="Q577" s="230"/>
      <c r="R577" s="230"/>
      <c r="S577" s="230"/>
      <c r="T577" s="230"/>
      <c r="U577" s="230"/>
      <c r="V577" s="230"/>
      <c r="W577" s="230"/>
      <c r="X577" s="230"/>
      <c r="Y577" s="230"/>
      <c r="Z577" s="230"/>
    </row>
    <row r="578" spans="1:26" ht="15.75" customHeight="1">
      <c r="A578" s="230"/>
      <c r="B578" s="230"/>
      <c r="C578" s="230"/>
      <c r="D578" s="230"/>
      <c r="E578" s="230"/>
      <c r="F578" s="230"/>
      <c r="G578" s="230"/>
      <c r="H578" s="230"/>
      <c r="I578" s="230"/>
      <c r="J578" s="230"/>
      <c r="K578" s="230"/>
      <c r="L578" s="230"/>
      <c r="M578" s="230"/>
      <c r="N578" s="230"/>
      <c r="O578" s="230"/>
      <c r="P578" s="230"/>
      <c r="Q578" s="230"/>
      <c r="R578" s="230"/>
      <c r="S578" s="230"/>
      <c r="T578" s="230"/>
      <c r="U578" s="230"/>
      <c r="V578" s="230"/>
      <c r="W578" s="230"/>
      <c r="X578" s="230"/>
      <c r="Y578" s="230"/>
      <c r="Z578" s="230"/>
    </row>
    <row r="579" spans="1:26" ht="15.75" customHeight="1">
      <c r="A579" s="230"/>
      <c r="B579" s="230"/>
      <c r="C579" s="230"/>
      <c r="D579" s="230"/>
      <c r="E579" s="230"/>
      <c r="F579" s="230"/>
      <c r="G579" s="230"/>
      <c r="H579" s="230"/>
      <c r="I579" s="230"/>
      <c r="J579" s="230"/>
      <c r="K579" s="230"/>
      <c r="L579" s="230"/>
      <c r="M579" s="230"/>
      <c r="N579" s="230"/>
      <c r="O579" s="230"/>
      <c r="P579" s="230"/>
      <c r="Q579" s="230"/>
      <c r="R579" s="230"/>
      <c r="S579" s="230"/>
      <c r="T579" s="230"/>
      <c r="U579" s="230"/>
      <c r="V579" s="230"/>
      <c r="W579" s="230"/>
      <c r="X579" s="230"/>
      <c r="Y579" s="230"/>
      <c r="Z579" s="230"/>
    </row>
    <row r="580" spans="1:26" ht="15.75" customHeight="1">
      <c r="A580" s="230"/>
      <c r="B580" s="230"/>
      <c r="C580" s="230"/>
      <c r="D580" s="230"/>
      <c r="E580" s="230"/>
      <c r="F580" s="230"/>
      <c r="G580" s="230"/>
      <c r="H580" s="230"/>
      <c r="I580" s="230"/>
      <c r="J580" s="230"/>
      <c r="K580" s="230"/>
      <c r="L580" s="230"/>
      <c r="M580" s="230"/>
      <c r="N580" s="230"/>
      <c r="O580" s="230"/>
      <c r="P580" s="230"/>
      <c r="Q580" s="230"/>
      <c r="R580" s="230"/>
      <c r="S580" s="230"/>
      <c r="T580" s="230"/>
      <c r="U580" s="230"/>
      <c r="V580" s="230"/>
      <c r="W580" s="230"/>
      <c r="X580" s="230"/>
      <c r="Y580" s="230"/>
      <c r="Z580" s="230"/>
    </row>
    <row r="581" spans="1:26" ht="15.75" customHeight="1">
      <c r="A581" s="230"/>
      <c r="B581" s="230"/>
      <c r="C581" s="230"/>
      <c r="D581" s="230"/>
      <c r="E581" s="230"/>
      <c r="F581" s="230"/>
      <c r="G581" s="230"/>
      <c r="H581" s="230"/>
      <c r="I581" s="230"/>
      <c r="J581" s="230"/>
      <c r="K581" s="230"/>
      <c r="L581" s="230"/>
      <c r="M581" s="230"/>
      <c r="N581" s="230"/>
      <c r="O581" s="230"/>
      <c r="P581" s="230"/>
      <c r="Q581" s="230"/>
      <c r="R581" s="230"/>
      <c r="S581" s="230"/>
      <c r="T581" s="230"/>
      <c r="U581" s="230"/>
      <c r="V581" s="230"/>
      <c r="W581" s="230"/>
      <c r="X581" s="230"/>
      <c r="Y581" s="230"/>
      <c r="Z581" s="230"/>
    </row>
    <row r="582" spans="1:26" ht="15.75" customHeight="1">
      <c r="A582" s="230"/>
      <c r="B582" s="230"/>
      <c r="C582" s="230"/>
      <c r="D582" s="230"/>
      <c r="E582" s="230"/>
      <c r="F582" s="230"/>
      <c r="G582" s="230"/>
      <c r="H582" s="230"/>
      <c r="I582" s="230"/>
      <c r="J582" s="230"/>
      <c r="K582" s="230"/>
      <c r="L582" s="230"/>
      <c r="M582" s="230"/>
      <c r="N582" s="230"/>
      <c r="O582" s="230"/>
      <c r="P582" s="230"/>
      <c r="Q582" s="230"/>
      <c r="R582" s="230"/>
      <c r="S582" s="230"/>
      <c r="T582" s="230"/>
      <c r="U582" s="230"/>
      <c r="V582" s="230"/>
      <c r="W582" s="230"/>
      <c r="X582" s="230"/>
      <c r="Y582" s="230"/>
      <c r="Z582" s="230"/>
    </row>
    <row r="583" spans="1:26" ht="15.75" customHeight="1">
      <c r="A583" s="230"/>
      <c r="B583" s="230"/>
      <c r="C583" s="230"/>
      <c r="D583" s="230"/>
      <c r="E583" s="230"/>
      <c r="F583" s="230"/>
      <c r="G583" s="230"/>
      <c r="H583" s="230"/>
      <c r="I583" s="230"/>
      <c r="J583" s="230"/>
      <c r="K583" s="230"/>
      <c r="L583" s="230"/>
      <c r="M583" s="230"/>
      <c r="N583" s="230"/>
      <c r="O583" s="230"/>
      <c r="P583" s="230"/>
      <c r="Q583" s="230"/>
      <c r="R583" s="230"/>
      <c r="S583" s="230"/>
      <c r="T583" s="230"/>
      <c r="U583" s="230"/>
      <c r="V583" s="230"/>
      <c r="W583" s="230"/>
      <c r="X583" s="230"/>
      <c r="Y583" s="230"/>
      <c r="Z583" s="230"/>
    </row>
    <row r="584" spans="1:26" ht="15.75" customHeight="1">
      <c r="A584" s="230"/>
      <c r="B584" s="230"/>
      <c r="C584" s="230"/>
      <c r="D584" s="230"/>
      <c r="E584" s="230"/>
      <c r="F584" s="230"/>
      <c r="G584" s="230"/>
      <c r="H584" s="230"/>
      <c r="I584" s="230"/>
      <c r="J584" s="230"/>
      <c r="K584" s="230"/>
      <c r="L584" s="230"/>
      <c r="M584" s="230"/>
      <c r="N584" s="230"/>
      <c r="O584" s="230"/>
      <c r="P584" s="230"/>
      <c r="Q584" s="230"/>
      <c r="R584" s="230"/>
      <c r="S584" s="230"/>
      <c r="T584" s="230"/>
      <c r="U584" s="230"/>
      <c r="V584" s="230"/>
      <c r="W584" s="230"/>
      <c r="X584" s="230"/>
      <c r="Y584" s="230"/>
      <c r="Z584" s="230"/>
    </row>
    <row r="585" spans="1:26" ht="15.75" customHeight="1">
      <c r="A585" s="230"/>
      <c r="B585" s="230"/>
      <c r="C585" s="230"/>
      <c r="D585" s="230"/>
      <c r="E585" s="230"/>
      <c r="F585" s="230"/>
      <c r="G585" s="230"/>
      <c r="H585" s="230"/>
      <c r="I585" s="230"/>
      <c r="J585" s="230"/>
      <c r="K585" s="230"/>
      <c r="L585" s="230"/>
      <c r="M585" s="230"/>
      <c r="N585" s="230"/>
      <c r="O585" s="230"/>
      <c r="P585" s="230"/>
      <c r="Q585" s="230"/>
      <c r="R585" s="230"/>
      <c r="S585" s="230"/>
      <c r="T585" s="230"/>
      <c r="U585" s="230"/>
      <c r="V585" s="230"/>
      <c r="W585" s="230"/>
      <c r="X585" s="230"/>
      <c r="Y585" s="230"/>
      <c r="Z585" s="230"/>
    </row>
    <row r="586" spans="1:26" ht="15.75" customHeight="1">
      <c r="A586" s="230"/>
      <c r="B586" s="230"/>
      <c r="C586" s="230"/>
      <c r="D586" s="230"/>
      <c r="E586" s="230"/>
      <c r="F586" s="230"/>
      <c r="G586" s="230"/>
      <c r="H586" s="230"/>
      <c r="I586" s="230"/>
      <c r="J586" s="230"/>
      <c r="K586" s="230"/>
      <c r="L586" s="230"/>
      <c r="M586" s="230"/>
      <c r="N586" s="230"/>
      <c r="O586" s="230"/>
      <c r="P586" s="230"/>
      <c r="Q586" s="230"/>
      <c r="R586" s="230"/>
      <c r="S586" s="230"/>
      <c r="T586" s="230"/>
      <c r="U586" s="230"/>
      <c r="V586" s="230"/>
      <c r="W586" s="230"/>
      <c r="X586" s="230"/>
      <c r="Y586" s="230"/>
      <c r="Z586" s="230"/>
    </row>
    <row r="587" spans="1:26" ht="15.75" customHeight="1">
      <c r="A587" s="230"/>
      <c r="B587" s="230"/>
      <c r="C587" s="230"/>
      <c r="D587" s="230"/>
      <c r="E587" s="230"/>
      <c r="F587" s="230"/>
      <c r="G587" s="230"/>
      <c r="H587" s="230"/>
      <c r="I587" s="230"/>
      <c r="J587" s="230"/>
      <c r="K587" s="230"/>
      <c r="L587" s="230"/>
      <c r="M587" s="230"/>
      <c r="N587" s="230"/>
      <c r="O587" s="230"/>
      <c r="P587" s="230"/>
      <c r="Q587" s="230"/>
      <c r="R587" s="230"/>
      <c r="S587" s="230"/>
      <c r="T587" s="230"/>
      <c r="U587" s="230"/>
      <c r="V587" s="230"/>
      <c r="W587" s="230"/>
      <c r="X587" s="230"/>
      <c r="Y587" s="230"/>
      <c r="Z587" s="230"/>
    </row>
    <row r="588" spans="1:26" ht="15.75" customHeight="1">
      <c r="A588" s="230"/>
      <c r="B588" s="230"/>
      <c r="C588" s="230"/>
      <c r="D588" s="230"/>
      <c r="E588" s="230"/>
      <c r="F588" s="230"/>
      <c r="G588" s="230"/>
      <c r="H588" s="230"/>
      <c r="I588" s="230"/>
      <c r="J588" s="230"/>
      <c r="K588" s="230"/>
      <c r="L588" s="230"/>
      <c r="M588" s="230"/>
      <c r="N588" s="230"/>
      <c r="O588" s="230"/>
      <c r="P588" s="230"/>
      <c r="Q588" s="230"/>
      <c r="R588" s="230"/>
      <c r="S588" s="230"/>
      <c r="T588" s="230"/>
      <c r="U588" s="230"/>
      <c r="V588" s="230"/>
      <c r="W588" s="230"/>
      <c r="X588" s="230"/>
      <c r="Y588" s="230"/>
      <c r="Z588" s="230"/>
    </row>
    <row r="589" spans="1:26" ht="15.75" customHeight="1">
      <c r="A589" s="230"/>
      <c r="B589" s="230"/>
      <c r="C589" s="230"/>
      <c r="D589" s="230"/>
      <c r="E589" s="230"/>
      <c r="F589" s="230"/>
      <c r="G589" s="230"/>
      <c r="H589" s="230"/>
      <c r="I589" s="230"/>
      <c r="J589" s="230"/>
      <c r="K589" s="230"/>
      <c r="L589" s="230"/>
      <c r="M589" s="230"/>
      <c r="N589" s="230"/>
      <c r="O589" s="230"/>
      <c r="P589" s="230"/>
      <c r="Q589" s="230"/>
      <c r="R589" s="230"/>
      <c r="S589" s="230"/>
      <c r="T589" s="230"/>
      <c r="U589" s="230"/>
      <c r="V589" s="230"/>
      <c r="W589" s="230"/>
      <c r="X589" s="230"/>
      <c r="Y589" s="230"/>
      <c r="Z589" s="230"/>
    </row>
    <row r="590" spans="1:26" ht="15.75" customHeight="1">
      <c r="A590" s="230"/>
      <c r="B590" s="230"/>
      <c r="C590" s="230"/>
      <c r="D590" s="230"/>
      <c r="E590" s="230"/>
      <c r="F590" s="230"/>
      <c r="G590" s="230"/>
      <c r="H590" s="230"/>
      <c r="I590" s="230"/>
      <c r="J590" s="230"/>
      <c r="K590" s="230"/>
      <c r="L590" s="230"/>
      <c r="M590" s="230"/>
      <c r="N590" s="230"/>
      <c r="O590" s="230"/>
      <c r="P590" s="230"/>
      <c r="Q590" s="230"/>
      <c r="R590" s="230"/>
      <c r="S590" s="230"/>
      <c r="T590" s="230"/>
      <c r="U590" s="230"/>
      <c r="V590" s="230"/>
      <c r="W590" s="230"/>
      <c r="X590" s="230"/>
      <c r="Y590" s="230"/>
      <c r="Z590" s="230"/>
    </row>
    <row r="591" spans="1:26" ht="15.75" customHeight="1">
      <c r="A591" s="230"/>
      <c r="B591" s="230"/>
      <c r="C591" s="230"/>
      <c r="D591" s="230"/>
      <c r="E591" s="230"/>
      <c r="F591" s="230"/>
      <c r="G591" s="230"/>
      <c r="H591" s="230"/>
      <c r="I591" s="230"/>
      <c r="J591" s="230"/>
      <c r="K591" s="230"/>
      <c r="L591" s="230"/>
      <c r="M591" s="230"/>
      <c r="N591" s="230"/>
      <c r="O591" s="230"/>
      <c r="P591" s="230"/>
      <c r="Q591" s="230"/>
      <c r="R591" s="230"/>
      <c r="S591" s="230"/>
      <c r="T591" s="230"/>
      <c r="U591" s="230"/>
      <c r="V591" s="230"/>
      <c r="W591" s="230"/>
      <c r="X591" s="230"/>
      <c r="Y591" s="230"/>
      <c r="Z591" s="230"/>
    </row>
    <row r="592" spans="1:26" ht="15.75" customHeight="1">
      <c r="A592" s="230"/>
      <c r="B592" s="230"/>
      <c r="C592" s="230"/>
      <c r="D592" s="230"/>
      <c r="E592" s="230"/>
      <c r="F592" s="230"/>
      <c r="G592" s="230"/>
      <c r="H592" s="230"/>
      <c r="I592" s="230"/>
      <c r="J592" s="230"/>
      <c r="K592" s="230"/>
      <c r="L592" s="230"/>
      <c r="M592" s="230"/>
      <c r="N592" s="230"/>
      <c r="O592" s="230"/>
      <c r="P592" s="230"/>
      <c r="Q592" s="230"/>
      <c r="R592" s="230"/>
      <c r="S592" s="230"/>
      <c r="T592" s="230"/>
      <c r="U592" s="230"/>
      <c r="V592" s="230"/>
      <c r="W592" s="230"/>
      <c r="X592" s="230"/>
      <c r="Y592" s="230"/>
      <c r="Z592" s="230"/>
    </row>
    <row r="593" spans="1:26" ht="15.75" customHeight="1">
      <c r="A593" s="230"/>
      <c r="B593" s="230"/>
      <c r="C593" s="230"/>
      <c r="D593" s="230"/>
      <c r="E593" s="230"/>
      <c r="F593" s="230"/>
      <c r="G593" s="230"/>
      <c r="H593" s="230"/>
      <c r="I593" s="230"/>
      <c r="J593" s="230"/>
      <c r="K593" s="230"/>
      <c r="L593" s="230"/>
      <c r="M593" s="230"/>
      <c r="N593" s="230"/>
      <c r="O593" s="230"/>
      <c r="P593" s="230"/>
      <c r="Q593" s="230"/>
      <c r="R593" s="230"/>
      <c r="S593" s="230"/>
      <c r="T593" s="230"/>
      <c r="U593" s="230"/>
      <c r="V593" s="230"/>
      <c r="W593" s="230"/>
      <c r="X593" s="230"/>
      <c r="Y593" s="230"/>
      <c r="Z593" s="230"/>
    </row>
    <row r="594" spans="1:26" ht="15.75" customHeight="1">
      <c r="A594" s="230"/>
      <c r="B594" s="230"/>
      <c r="C594" s="230"/>
      <c r="D594" s="230"/>
      <c r="E594" s="230"/>
      <c r="F594" s="230"/>
      <c r="G594" s="230"/>
      <c r="H594" s="230"/>
      <c r="I594" s="230"/>
      <c r="J594" s="230"/>
      <c r="K594" s="230"/>
      <c r="L594" s="230"/>
      <c r="M594" s="230"/>
      <c r="N594" s="230"/>
      <c r="O594" s="230"/>
      <c r="P594" s="230"/>
      <c r="Q594" s="230"/>
      <c r="R594" s="230"/>
      <c r="S594" s="230"/>
      <c r="T594" s="230"/>
      <c r="U594" s="230"/>
      <c r="V594" s="230"/>
      <c r="W594" s="230"/>
      <c r="X594" s="230"/>
      <c r="Y594" s="230"/>
      <c r="Z594" s="230"/>
    </row>
    <row r="595" spans="1:26" ht="15.75" customHeight="1">
      <c r="A595" s="230"/>
      <c r="B595" s="230"/>
      <c r="C595" s="230"/>
      <c r="D595" s="230"/>
      <c r="E595" s="230"/>
      <c r="F595" s="230"/>
      <c r="G595" s="230"/>
      <c r="H595" s="230"/>
      <c r="I595" s="230"/>
      <c r="J595" s="230"/>
      <c r="K595" s="230"/>
      <c r="L595" s="230"/>
      <c r="M595" s="230"/>
      <c r="N595" s="230"/>
      <c r="O595" s="230"/>
      <c r="P595" s="230"/>
      <c r="Q595" s="230"/>
      <c r="R595" s="230"/>
      <c r="S595" s="230"/>
      <c r="T595" s="230"/>
      <c r="U595" s="230"/>
      <c r="V595" s="230"/>
      <c r="W595" s="230"/>
      <c r="X595" s="230"/>
      <c r="Y595" s="230"/>
      <c r="Z595" s="230"/>
    </row>
    <row r="596" spans="1:26" ht="15.75" customHeight="1">
      <c r="A596" s="230"/>
      <c r="B596" s="230"/>
      <c r="C596" s="230"/>
      <c r="D596" s="230"/>
      <c r="E596" s="230"/>
      <c r="F596" s="230"/>
      <c r="G596" s="230"/>
      <c r="H596" s="230"/>
      <c r="I596" s="230"/>
      <c r="J596" s="230"/>
      <c r="K596" s="230"/>
      <c r="L596" s="230"/>
      <c r="M596" s="230"/>
      <c r="N596" s="230"/>
      <c r="O596" s="230"/>
      <c r="P596" s="230"/>
      <c r="Q596" s="230"/>
      <c r="R596" s="230"/>
      <c r="S596" s="230"/>
      <c r="T596" s="230"/>
      <c r="U596" s="230"/>
      <c r="V596" s="230"/>
      <c r="W596" s="230"/>
      <c r="X596" s="230"/>
      <c r="Y596" s="230"/>
      <c r="Z596" s="230"/>
    </row>
    <row r="597" spans="1:26" ht="15.75" customHeight="1">
      <c r="A597" s="230"/>
      <c r="B597" s="230"/>
      <c r="C597" s="230"/>
      <c r="D597" s="230"/>
      <c r="E597" s="230"/>
      <c r="F597" s="230"/>
      <c r="G597" s="230"/>
      <c r="H597" s="230"/>
      <c r="I597" s="230"/>
      <c r="J597" s="230"/>
      <c r="K597" s="230"/>
      <c r="L597" s="230"/>
      <c r="M597" s="230"/>
      <c r="N597" s="230"/>
      <c r="O597" s="230"/>
      <c r="P597" s="230"/>
      <c r="Q597" s="230"/>
      <c r="R597" s="230"/>
      <c r="S597" s="230"/>
      <c r="T597" s="230"/>
      <c r="U597" s="230"/>
      <c r="V597" s="230"/>
      <c r="W597" s="230"/>
      <c r="X597" s="230"/>
      <c r="Y597" s="230"/>
      <c r="Z597" s="230"/>
    </row>
    <row r="598" spans="1:26" ht="15.75" customHeight="1">
      <c r="A598" s="230"/>
      <c r="B598" s="230"/>
      <c r="C598" s="230"/>
      <c r="D598" s="230"/>
      <c r="E598" s="230"/>
      <c r="F598" s="230"/>
      <c r="G598" s="230"/>
      <c r="H598" s="230"/>
      <c r="I598" s="230"/>
      <c r="J598" s="230"/>
      <c r="K598" s="230"/>
      <c r="L598" s="230"/>
      <c r="M598" s="230"/>
      <c r="N598" s="230"/>
      <c r="O598" s="230"/>
      <c r="P598" s="230"/>
      <c r="Q598" s="230"/>
      <c r="R598" s="230"/>
      <c r="S598" s="230"/>
      <c r="T598" s="230"/>
      <c r="U598" s="230"/>
      <c r="V598" s="230"/>
      <c r="W598" s="230"/>
      <c r="X598" s="230"/>
      <c r="Y598" s="230"/>
      <c r="Z598" s="230"/>
    </row>
    <row r="599" spans="1:26" ht="15.75" customHeight="1">
      <c r="A599" s="230"/>
      <c r="B599" s="230"/>
      <c r="C599" s="230"/>
      <c r="D599" s="230"/>
      <c r="E599" s="230"/>
      <c r="F599" s="230"/>
      <c r="G599" s="230"/>
      <c r="H599" s="230"/>
      <c r="I599" s="230"/>
      <c r="J599" s="230"/>
      <c r="K599" s="230"/>
      <c r="L599" s="230"/>
      <c r="M599" s="230"/>
      <c r="N599" s="230"/>
      <c r="O599" s="230"/>
      <c r="P599" s="230"/>
      <c r="Q599" s="230"/>
      <c r="R599" s="230"/>
      <c r="S599" s="230"/>
      <c r="T599" s="230"/>
      <c r="U599" s="230"/>
      <c r="V599" s="230"/>
      <c r="W599" s="230"/>
      <c r="X599" s="230"/>
      <c r="Y599" s="230"/>
      <c r="Z599" s="230"/>
    </row>
    <row r="600" spans="1:26" ht="15.75" customHeight="1">
      <c r="A600" s="230"/>
      <c r="B600" s="230"/>
      <c r="C600" s="230"/>
      <c r="D600" s="230"/>
      <c r="E600" s="230"/>
      <c r="F600" s="230"/>
      <c r="G600" s="230"/>
      <c r="H600" s="230"/>
      <c r="I600" s="230"/>
      <c r="J600" s="230"/>
      <c r="K600" s="230"/>
      <c r="L600" s="230"/>
      <c r="M600" s="230"/>
      <c r="N600" s="230"/>
      <c r="O600" s="230"/>
      <c r="P600" s="230"/>
      <c r="Q600" s="230"/>
      <c r="R600" s="230"/>
      <c r="S600" s="230"/>
      <c r="T600" s="230"/>
      <c r="U600" s="230"/>
      <c r="V600" s="230"/>
      <c r="W600" s="230"/>
      <c r="X600" s="230"/>
      <c r="Y600" s="230"/>
      <c r="Z600" s="230"/>
    </row>
    <row r="601" spans="1:26" ht="15.75" customHeight="1">
      <c r="A601" s="230"/>
      <c r="B601" s="230"/>
      <c r="C601" s="230"/>
      <c r="D601" s="230"/>
      <c r="E601" s="230"/>
      <c r="F601" s="230"/>
      <c r="G601" s="230"/>
      <c r="H601" s="230"/>
      <c r="I601" s="230"/>
      <c r="J601" s="230"/>
      <c r="K601" s="230"/>
      <c r="L601" s="230"/>
      <c r="M601" s="230"/>
      <c r="N601" s="230"/>
      <c r="O601" s="230"/>
      <c r="P601" s="230"/>
      <c r="Q601" s="230"/>
      <c r="R601" s="230"/>
      <c r="S601" s="230"/>
      <c r="T601" s="230"/>
      <c r="U601" s="230"/>
      <c r="V601" s="230"/>
      <c r="W601" s="230"/>
      <c r="X601" s="230"/>
      <c r="Y601" s="230"/>
      <c r="Z601" s="230"/>
    </row>
    <row r="602" spans="1:26" ht="15.75" customHeight="1">
      <c r="A602" s="230"/>
      <c r="B602" s="230"/>
      <c r="C602" s="230"/>
      <c r="D602" s="230"/>
      <c r="E602" s="230"/>
      <c r="F602" s="230"/>
      <c r="G602" s="230"/>
      <c r="H602" s="230"/>
      <c r="I602" s="230"/>
      <c r="J602" s="230"/>
      <c r="K602" s="230"/>
      <c r="L602" s="230"/>
      <c r="M602" s="230"/>
      <c r="N602" s="230"/>
      <c r="O602" s="230"/>
      <c r="P602" s="230"/>
      <c r="Q602" s="230"/>
      <c r="R602" s="230"/>
      <c r="S602" s="230"/>
      <c r="T602" s="230"/>
      <c r="U602" s="230"/>
      <c r="V602" s="230"/>
      <c r="W602" s="230"/>
      <c r="X602" s="230"/>
      <c r="Y602" s="230"/>
      <c r="Z602" s="230"/>
    </row>
    <row r="603" spans="1:26" ht="15.75" customHeight="1">
      <c r="A603" s="230"/>
      <c r="B603" s="230"/>
      <c r="C603" s="230"/>
      <c r="D603" s="230"/>
      <c r="E603" s="230"/>
      <c r="F603" s="230"/>
      <c r="G603" s="230"/>
      <c r="H603" s="230"/>
      <c r="I603" s="230"/>
      <c r="J603" s="230"/>
      <c r="K603" s="230"/>
      <c r="L603" s="230"/>
      <c r="M603" s="230"/>
      <c r="N603" s="230"/>
      <c r="O603" s="230"/>
      <c r="P603" s="230"/>
      <c r="Q603" s="230"/>
      <c r="R603" s="230"/>
      <c r="S603" s="230"/>
      <c r="T603" s="230"/>
      <c r="U603" s="230"/>
      <c r="V603" s="230"/>
      <c r="W603" s="230"/>
      <c r="X603" s="230"/>
      <c r="Y603" s="230"/>
      <c r="Z603" s="230"/>
    </row>
    <row r="604" spans="1:26" ht="15.75" customHeight="1">
      <c r="A604" s="230"/>
      <c r="B604" s="230"/>
      <c r="C604" s="230"/>
      <c r="D604" s="230"/>
      <c r="E604" s="230"/>
      <c r="F604" s="230"/>
      <c r="G604" s="230"/>
      <c r="H604" s="230"/>
      <c r="I604" s="230"/>
      <c r="J604" s="230"/>
      <c r="K604" s="230"/>
      <c r="L604" s="230"/>
      <c r="M604" s="230"/>
      <c r="N604" s="230"/>
      <c r="O604" s="230"/>
      <c r="P604" s="230"/>
      <c r="Q604" s="230"/>
      <c r="R604" s="230"/>
      <c r="S604" s="230"/>
      <c r="T604" s="230"/>
      <c r="U604" s="230"/>
      <c r="V604" s="230"/>
      <c r="W604" s="230"/>
      <c r="X604" s="230"/>
      <c r="Y604" s="230"/>
      <c r="Z604" s="230"/>
    </row>
    <row r="605" spans="1:26" ht="15.75" customHeight="1">
      <c r="A605" s="230"/>
      <c r="B605" s="230"/>
      <c r="C605" s="230"/>
      <c r="D605" s="230"/>
      <c r="E605" s="230"/>
      <c r="F605" s="230"/>
      <c r="G605" s="230"/>
      <c r="H605" s="230"/>
      <c r="I605" s="230"/>
      <c r="J605" s="230"/>
      <c r="K605" s="230"/>
      <c r="L605" s="230"/>
      <c r="M605" s="230"/>
      <c r="N605" s="230"/>
      <c r="O605" s="230"/>
      <c r="P605" s="230"/>
      <c r="Q605" s="230"/>
      <c r="R605" s="230"/>
      <c r="S605" s="230"/>
      <c r="T605" s="230"/>
      <c r="U605" s="230"/>
      <c r="V605" s="230"/>
      <c r="W605" s="230"/>
      <c r="X605" s="230"/>
      <c r="Y605" s="230"/>
      <c r="Z605" s="230"/>
    </row>
    <row r="606" spans="1:26" ht="15.75" customHeight="1">
      <c r="A606" s="230"/>
      <c r="B606" s="230"/>
      <c r="C606" s="230"/>
      <c r="D606" s="230"/>
      <c r="E606" s="230"/>
      <c r="F606" s="230"/>
      <c r="G606" s="230"/>
      <c r="H606" s="230"/>
      <c r="I606" s="230"/>
      <c r="J606" s="230"/>
      <c r="K606" s="230"/>
      <c r="L606" s="230"/>
      <c r="M606" s="230"/>
      <c r="N606" s="230"/>
      <c r="O606" s="230"/>
      <c r="P606" s="230"/>
      <c r="Q606" s="230"/>
      <c r="R606" s="230"/>
      <c r="S606" s="230"/>
      <c r="T606" s="230"/>
      <c r="U606" s="230"/>
      <c r="V606" s="230"/>
      <c r="W606" s="230"/>
      <c r="X606" s="230"/>
      <c r="Y606" s="230"/>
      <c r="Z606" s="230"/>
    </row>
    <row r="607" spans="1:26" ht="15.75" customHeight="1">
      <c r="A607" s="230"/>
      <c r="B607" s="230"/>
      <c r="C607" s="230"/>
      <c r="D607" s="230"/>
      <c r="E607" s="230"/>
      <c r="F607" s="230"/>
      <c r="G607" s="230"/>
      <c r="H607" s="230"/>
      <c r="I607" s="230"/>
      <c r="J607" s="230"/>
      <c r="K607" s="230"/>
      <c r="L607" s="230"/>
      <c r="M607" s="230"/>
      <c r="N607" s="230"/>
      <c r="O607" s="230"/>
      <c r="P607" s="230"/>
      <c r="Q607" s="230"/>
      <c r="R607" s="230"/>
      <c r="S607" s="230"/>
      <c r="T607" s="230"/>
      <c r="U607" s="230"/>
      <c r="V607" s="230"/>
      <c r="W607" s="230"/>
      <c r="X607" s="230"/>
      <c r="Y607" s="230"/>
      <c r="Z607" s="230"/>
    </row>
    <row r="608" spans="1:26" ht="15.75" customHeight="1">
      <c r="A608" s="230"/>
      <c r="B608" s="230"/>
      <c r="C608" s="230"/>
      <c r="D608" s="230"/>
      <c r="E608" s="230"/>
      <c r="F608" s="230"/>
      <c r="G608" s="230"/>
      <c r="H608" s="230"/>
      <c r="I608" s="230"/>
      <c r="J608" s="230"/>
      <c r="K608" s="230"/>
      <c r="L608" s="230"/>
      <c r="M608" s="230"/>
      <c r="N608" s="230"/>
      <c r="O608" s="230"/>
      <c r="P608" s="230"/>
      <c r="Q608" s="230"/>
      <c r="R608" s="230"/>
      <c r="S608" s="230"/>
      <c r="T608" s="230"/>
      <c r="U608" s="230"/>
      <c r="V608" s="230"/>
      <c r="W608" s="230"/>
      <c r="X608" s="230"/>
      <c r="Y608" s="230"/>
      <c r="Z608" s="230"/>
    </row>
    <row r="609" spans="1:26" ht="15.75" customHeight="1">
      <c r="A609" s="230"/>
      <c r="B609" s="230"/>
      <c r="C609" s="230"/>
      <c r="D609" s="230"/>
      <c r="E609" s="230"/>
      <c r="F609" s="230"/>
      <c r="G609" s="230"/>
      <c r="H609" s="230"/>
      <c r="I609" s="230"/>
      <c r="J609" s="230"/>
      <c r="K609" s="230"/>
      <c r="L609" s="230"/>
      <c r="M609" s="230"/>
      <c r="N609" s="230"/>
      <c r="O609" s="230"/>
      <c r="P609" s="230"/>
      <c r="Q609" s="230"/>
      <c r="R609" s="230"/>
      <c r="S609" s="230"/>
      <c r="T609" s="230"/>
      <c r="U609" s="230"/>
      <c r="V609" s="230"/>
      <c r="W609" s="230"/>
      <c r="X609" s="230"/>
      <c r="Y609" s="230"/>
      <c r="Z609" s="230"/>
    </row>
    <row r="610" spans="1:26" ht="15.75" customHeight="1">
      <c r="A610" s="230"/>
      <c r="B610" s="230"/>
      <c r="C610" s="230"/>
      <c r="D610" s="230"/>
      <c r="E610" s="230"/>
      <c r="F610" s="230"/>
      <c r="G610" s="230"/>
      <c r="H610" s="230"/>
      <c r="I610" s="230"/>
      <c r="J610" s="230"/>
      <c r="K610" s="230"/>
      <c r="L610" s="230"/>
      <c r="M610" s="230"/>
      <c r="N610" s="230"/>
      <c r="O610" s="230"/>
      <c r="P610" s="230"/>
      <c r="Q610" s="230"/>
      <c r="R610" s="230"/>
      <c r="S610" s="230"/>
      <c r="T610" s="230"/>
      <c r="U610" s="230"/>
      <c r="V610" s="230"/>
      <c r="W610" s="230"/>
      <c r="X610" s="230"/>
      <c r="Y610" s="230"/>
      <c r="Z610" s="230"/>
    </row>
    <row r="611" spans="1:26" ht="15.75" customHeight="1">
      <c r="A611" s="230"/>
      <c r="B611" s="230"/>
      <c r="C611" s="230"/>
      <c r="D611" s="230"/>
      <c r="E611" s="230"/>
      <c r="F611" s="230"/>
      <c r="G611" s="230"/>
      <c r="H611" s="230"/>
      <c r="I611" s="230"/>
      <c r="J611" s="230"/>
      <c r="K611" s="230"/>
      <c r="L611" s="230"/>
      <c r="M611" s="230"/>
      <c r="N611" s="230"/>
      <c r="O611" s="230"/>
      <c r="P611" s="230"/>
      <c r="Q611" s="230"/>
      <c r="R611" s="230"/>
      <c r="S611" s="230"/>
      <c r="T611" s="230"/>
      <c r="U611" s="230"/>
      <c r="V611" s="230"/>
      <c r="W611" s="230"/>
      <c r="X611" s="230"/>
      <c r="Y611" s="230"/>
      <c r="Z611" s="230"/>
    </row>
    <row r="612" spans="1:26" ht="15.75" customHeight="1">
      <c r="A612" s="230"/>
      <c r="B612" s="230"/>
      <c r="C612" s="230"/>
      <c r="D612" s="230"/>
      <c r="E612" s="230"/>
      <c r="F612" s="230"/>
      <c r="G612" s="230"/>
      <c r="H612" s="230"/>
      <c r="I612" s="230"/>
      <c r="J612" s="230"/>
      <c r="K612" s="230"/>
      <c r="L612" s="230"/>
      <c r="M612" s="230"/>
      <c r="N612" s="230"/>
      <c r="O612" s="230"/>
      <c r="P612" s="230"/>
      <c r="Q612" s="230"/>
      <c r="R612" s="230"/>
      <c r="S612" s="230"/>
      <c r="T612" s="230"/>
      <c r="U612" s="230"/>
      <c r="V612" s="230"/>
      <c r="W612" s="230"/>
      <c r="X612" s="230"/>
      <c r="Y612" s="230"/>
      <c r="Z612" s="230"/>
    </row>
    <row r="613" spans="1:26" ht="15.75" customHeight="1">
      <c r="A613" s="230"/>
      <c r="B613" s="230"/>
      <c r="C613" s="230"/>
      <c r="D613" s="230"/>
      <c r="E613" s="230"/>
      <c r="F613" s="230"/>
      <c r="G613" s="230"/>
      <c r="H613" s="230"/>
      <c r="I613" s="230"/>
      <c r="J613" s="230"/>
      <c r="K613" s="230"/>
      <c r="L613" s="230"/>
      <c r="M613" s="230"/>
      <c r="N613" s="230"/>
      <c r="O613" s="230"/>
      <c r="P613" s="230"/>
      <c r="Q613" s="230"/>
      <c r="R613" s="230"/>
      <c r="S613" s="230"/>
      <c r="T613" s="230"/>
      <c r="U613" s="230"/>
      <c r="V613" s="230"/>
      <c r="W613" s="230"/>
      <c r="X613" s="230"/>
      <c r="Y613" s="230"/>
      <c r="Z613" s="230"/>
    </row>
    <row r="614" spans="1:26" ht="15.75" customHeight="1">
      <c r="A614" s="230"/>
      <c r="B614" s="230"/>
      <c r="C614" s="230"/>
      <c r="D614" s="230"/>
      <c r="E614" s="230"/>
      <c r="F614" s="230"/>
      <c r="G614" s="230"/>
      <c r="H614" s="230"/>
      <c r="I614" s="230"/>
      <c r="J614" s="230"/>
      <c r="K614" s="230"/>
      <c r="L614" s="230"/>
      <c r="M614" s="230"/>
      <c r="N614" s="230"/>
      <c r="O614" s="230"/>
      <c r="P614" s="230"/>
      <c r="Q614" s="230"/>
      <c r="R614" s="230"/>
      <c r="S614" s="230"/>
      <c r="T614" s="230"/>
      <c r="U614" s="230"/>
      <c r="V614" s="230"/>
      <c r="W614" s="230"/>
      <c r="X614" s="230"/>
      <c r="Y614" s="230"/>
      <c r="Z614" s="230"/>
    </row>
    <row r="615" spans="1:26" ht="15.75" customHeight="1">
      <c r="A615" s="230"/>
      <c r="B615" s="230"/>
      <c r="C615" s="230"/>
      <c r="D615" s="230"/>
      <c r="E615" s="230"/>
      <c r="F615" s="230"/>
      <c r="G615" s="230"/>
      <c r="H615" s="230"/>
      <c r="I615" s="230"/>
      <c r="J615" s="230"/>
      <c r="K615" s="230"/>
      <c r="L615" s="230"/>
      <c r="M615" s="230"/>
      <c r="N615" s="230"/>
      <c r="O615" s="230"/>
      <c r="P615" s="230"/>
      <c r="Q615" s="230"/>
      <c r="R615" s="230"/>
      <c r="S615" s="230"/>
      <c r="T615" s="230"/>
      <c r="U615" s="230"/>
      <c r="V615" s="230"/>
      <c r="W615" s="230"/>
      <c r="X615" s="230"/>
      <c r="Y615" s="230"/>
      <c r="Z615" s="230"/>
    </row>
    <row r="616" spans="1:26" ht="15.75" customHeight="1">
      <c r="A616" s="230"/>
      <c r="B616" s="230"/>
      <c r="C616" s="230"/>
      <c r="D616" s="230"/>
      <c r="E616" s="230"/>
      <c r="F616" s="230"/>
      <c r="G616" s="230"/>
      <c r="H616" s="230"/>
      <c r="I616" s="230"/>
      <c r="J616" s="230"/>
      <c r="K616" s="230"/>
      <c r="L616" s="230"/>
      <c r="M616" s="230"/>
      <c r="N616" s="230"/>
      <c r="O616" s="230"/>
      <c r="P616" s="230"/>
      <c r="Q616" s="230"/>
      <c r="R616" s="230"/>
      <c r="S616" s="230"/>
      <c r="T616" s="230"/>
      <c r="U616" s="230"/>
      <c r="V616" s="230"/>
      <c r="W616" s="230"/>
      <c r="X616" s="230"/>
      <c r="Y616" s="230"/>
      <c r="Z616" s="230"/>
    </row>
    <row r="617" spans="1:26" ht="15.75" customHeight="1">
      <c r="A617" s="230"/>
      <c r="B617" s="230"/>
      <c r="C617" s="230"/>
      <c r="D617" s="230"/>
      <c r="E617" s="230"/>
      <c r="F617" s="230"/>
      <c r="G617" s="230"/>
      <c r="H617" s="230"/>
      <c r="I617" s="230"/>
      <c r="J617" s="230"/>
      <c r="K617" s="230"/>
      <c r="L617" s="230"/>
      <c r="M617" s="230"/>
      <c r="N617" s="230"/>
      <c r="O617" s="230"/>
      <c r="P617" s="230"/>
      <c r="Q617" s="230"/>
      <c r="R617" s="230"/>
      <c r="S617" s="230"/>
      <c r="T617" s="230"/>
      <c r="U617" s="230"/>
      <c r="V617" s="230"/>
      <c r="W617" s="230"/>
      <c r="X617" s="230"/>
      <c r="Y617" s="230"/>
      <c r="Z617" s="230"/>
    </row>
    <row r="618" spans="1:26" ht="15.75" customHeight="1">
      <c r="A618" s="230"/>
      <c r="B618" s="230"/>
      <c r="C618" s="230"/>
      <c r="D618" s="230"/>
      <c r="E618" s="230"/>
      <c r="F618" s="230"/>
      <c r="G618" s="230"/>
      <c r="H618" s="230"/>
      <c r="I618" s="230"/>
      <c r="J618" s="230"/>
      <c r="K618" s="230"/>
      <c r="L618" s="230"/>
      <c r="M618" s="230"/>
      <c r="N618" s="230"/>
      <c r="O618" s="230"/>
      <c r="P618" s="230"/>
      <c r="Q618" s="230"/>
      <c r="R618" s="230"/>
      <c r="S618" s="230"/>
      <c r="T618" s="230"/>
      <c r="U618" s="230"/>
      <c r="V618" s="230"/>
      <c r="W618" s="230"/>
      <c r="X618" s="230"/>
      <c r="Y618" s="230"/>
      <c r="Z618" s="230"/>
    </row>
    <row r="619" spans="1:26" ht="15.75" customHeight="1">
      <c r="A619" s="230"/>
      <c r="B619" s="230"/>
      <c r="C619" s="230"/>
      <c r="D619" s="230"/>
      <c r="E619" s="230"/>
      <c r="F619" s="230"/>
      <c r="G619" s="230"/>
      <c r="H619" s="230"/>
      <c r="I619" s="230"/>
      <c r="J619" s="230"/>
      <c r="K619" s="230"/>
      <c r="L619" s="230"/>
      <c r="M619" s="230"/>
      <c r="N619" s="230"/>
      <c r="O619" s="230"/>
      <c r="P619" s="230"/>
      <c r="Q619" s="230"/>
      <c r="R619" s="230"/>
      <c r="S619" s="230"/>
      <c r="T619" s="230"/>
      <c r="U619" s="230"/>
      <c r="V619" s="230"/>
      <c r="W619" s="230"/>
      <c r="X619" s="230"/>
      <c r="Y619" s="230"/>
      <c r="Z619" s="230"/>
    </row>
    <row r="620" spans="1:26" ht="15.75" customHeight="1">
      <c r="A620" s="230"/>
      <c r="B620" s="230"/>
      <c r="C620" s="230"/>
      <c r="D620" s="230"/>
      <c r="E620" s="230"/>
      <c r="F620" s="230"/>
      <c r="G620" s="230"/>
      <c r="H620" s="230"/>
      <c r="I620" s="230"/>
      <c r="J620" s="230"/>
      <c r="K620" s="230"/>
      <c r="L620" s="230"/>
      <c r="M620" s="230"/>
      <c r="N620" s="230"/>
      <c r="O620" s="230"/>
      <c r="P620" s="230"/>
      <c r="Q620" s="230"/>
      <c r="R620" s="230"/>
      <c r="S620" s="230"/>
      <c r="T620" s="230"/>
      <c r="U620" s="230"/>
      <c r="V620" s="230"/>
      <c r="W620" s="230"/>
      <c r="X620" s="230"/>
      <c r="Y620" s="230"/>
      <c r="Z620" s="230"/>
    </row>
    <row r="621" spans="1:26" ht="15.75" customHeight="1">
      <c r="A621" s="230"/>
      <c r="B621" s="230"/>
      <c r="C621" s="230"/>
      <c r="D621" s="230"/>
      <c r="E621" s="230"/>
      <c r="F621" s="230"/>
      <c r="G621" s="230"/>
      <c r="H621" s="230"/>
      <c r="I621" s="230"/>
      <c r="J621" s="230"/>
      <c r="K621" s="230"/>
      <c r="L621" s="230"/>
      <c r="M621" s="230"/>
      <c r="N621" s="230"/>
      <c r="O621" s="230"/>
      <c r="P621" s="230"/>
      <c r="Q621" s="230"/>
      <c r="R621" s="230"/>
      <c r="S621" s="230"/>
      <c r="T621" s="230"/>
      <c r="U621" s="230"/>
      <c r="V621" s="230"/>
      <c r="W621" s="230"/>
      <c r="X621" s="230"/>
      <c r="Y621" s="230"/>
      <c r="Z621" s="230"/>
    </row>
    <row r="622" spans="1:26" ht="15.75" customHeight="1">
      <c r="A622" s="230"/>
      <c r="B622" s="230"/>
      <c r="C622" s="230"/>
      <c r="D622" s="230"/>
      <c r="E622" s="230"/>
      <c r="F622" s="230"/>
      <c r="G622" s="230"/>
      <c r="H622" s="230"/>
      <c r="I622" s="230"/>
      <c r="J622" s="230"/>
      <c r="K622" s="230"/>
      <c r="L622" s="230"/>
      <c r="M622" s="230"/>
      <c r="N622" s="230"/>
      <c r="O622" s="230"/>
      <c r="P622" s="230"/>
      <c r="Q622" s="230"/>
      <c r="R622" s="230"/>
      <c r="S622" s="230"/>
      <c r="T622" s="230"/>
      <c r="U622" s="230"/>
      <c r="V622" s="230"/>
      <c r="W622" s="230"/>
      <c r="X622" s="230"/>
      <c r="Y622" s="230"/>
      <c r="Z622" s="230"/>
    </row>
    <row r="623" spans="1:26" ht="15.75" customHeight="1">
      <c r="A623" s="230"/>
      <c r="B623" s="230"/>
      <c r="C623" s="230"/>
      <c r="D623" s="230"/>
      <c r="E623" s="230"/>
      <c r="F623" s="230"/>
      <c r="G623" s="230"/>
      <c r="H623" s="230"/>
      <c r="I623" s="230"/>
      <c r="J623" s="230"/>
      <c r="K623" s="230"/>
      <c r="L623" s="230"/>
      <c r="M623" s="230"/>
      <c r="N623" s="230"/>
      <c r="O623" s="230"/>
      <c r="P623" s="230"/>
      <c r="Q623" s="230"/>
      <c r="R623" s="230"/>
      <c r="S623" s="230"/>
      <c r="T623" s="230"/>
      <c r="U623" s="230"/>
      <c r="V623" s="230"/>
      <c r="W623" s="230"/>
      <c r="X623" s="230"/>
      <c r="Y623" s="230"/>
      <c r="Z623" s="230"/>
    </row>
    <row r="624" spans="1:26" ht="15.75" customHeight="1">
      <c r="A624" s="230"/>
      <c r="B624" s="230"/>
      <c r="C624" s="230"/>
      <c r="D624" s="230"/>
      <c r="E624" s="230"/>
      <c r="F624" s="230"/>
      <c r="G624" s="230"/>
      <c r="H624" s="230"/>
      <c r="I624" s="230"/>
      <c r="J624" s="230"/>
      <c r="K624" s="230"/>
      <c r="L624" s="230"/>
      <c r="M624" s="230"/>
      <c r="N624" s="230"/>
      <c r="O624" s="230"/>
      <c r="P624" s="230"/>
      <c r="Q624" s="230"/>
      <c r="R624" s="230"/>
      <c r="S624" s="230"/>
      <c r="T624" s="230"/>
      <c r="U624" s="230"/>
      <c r="V624" s="230"/>
      <c r="W624" s="230"/>
      <c r="X624" s="230"/>
      <c r="Y624" s="230"/>
      <c r="Z624" s="230"/>
    </row>
    <row r="625" spans="1:26" ht="15.75" customHeight="1">
      <c r="A625" s="230"/>
      <c r="B625" s="230"/>
      <c r="C625" s="230"/>
      <c r="D625" s="230"/>
      <c r="E625" s="230"/>
      <c r="F625" s="230"/>
      <c r="G625" s="230"/>
      <c r="H625" s="230"/>
      <c r="I625" s="230"/>
      <c r="J625" s="230"/>
      <c r="K625" s="230"/>
      <c r="L625" s="230"/>
      <c r="M625" s="230"/>
      <c r="N625" s="230"/>
      <c r="O625" s="230"/>
      <c r="P625" s="230"/>
      <c r="Q625" s="230"/>
      <c r="R625" s="230"/>
      <c r="S625" s="230"/>
      <c r="T625" s="230"/>
      <c r="U625" s="230"/>
      <c r="V625" s="230"/>
      <c r="W625" s="230"/>
      <c r="X625" s="230"/>
      <c r="Y625" s="230"/>
      <c r="Z625" s="230"/>
    </row>
    <row r="626" spans="1:26" ht="15.75" customHeight="1">
      <c r="A626" s="230"/>
      <c r="B626" s="230"/>
      <c r="C626" s="230"/>
      <c r="D626" s="230"/>
      <c r="E626" s="230"/>
      <c r="F626" s="230"/>
      <c r="G626" s="230"/>
      <c r="H626" s="230"/>
      <c r="I626" s="230"/>
      <c r="J626" s="230"/>
      <c r="K626" s="230"/>
      <c r="L626" s="230"/>
      <c r="M626" s="230"/>
      <c r="N626" s="230"/>
      <c r="O626" s="230"/>
      <c r="P626" s="230"/>
      <c r="Q626" s="230"/>
      <c r="R626" s="230"/>
      <c r="S626" s="230"/>
      <c r="T626" s="230"/>
      <c r="U626" s="230"/>
      <c r="V626" s="230"/>
      <c r="W626" s="230"/>
      <c r="X626" s="230"/>
      <c r="Y626" s="230"/>
      <c r="Z626" s="230"/>
    </row>
    <row r="627" spans="1:26" ht="15.75" customHeight="1">
      <c r="A627" s="230"/>
      <c r="B627" s="230"/>
      <c r="C627" s="230"/>
      <c r="D627" s="230"/>
      <c r="E627" s="230"/>
      <c r="F627" s="230"/>
      <c r="G627" s="230"/>
      <c r="H627" s="230"/>
      <c r="I627" s="230"/>
      <c r="J627" s="230"/>
      <c r="K627" s="230"/>
      <c r="L627" s="230"/>
      <c r="M627" s="230"/>
      <c r="N627" s="230"/>
      <c r="O627" s="230"/>
      <c r="P627" s="230"/>
      <c r="Q627" s="230"/>
      <c r="R627" s="230"/>
      <c r="S627" s="230"/>
      <c r="T627" s="230"/>
      <c r="U627" s="230"/>
      <c r="V627" s="230"/>
      <c r="W627" s="230"/>
      <c r="X627" s="230"/>
      <c r="Y627" s="230"/>
      <c r="Z627" s="230"/>
    </row>
    <row r="628" spans="1:26" ht="15.75" customHeight="1">
      <c r="A628" s="230"/>
      <c r="B628" s="230"/>
      <c r="C628" s="230"/>
      <c r="D628" s="230"/>
      <c r="E628" s="230"/>
      <c r="F628" s="230"/>
      <c r="G628" s="230"/>
      <c r="H628" s="230"/>
      <c r="I628" s="230"/>
      <c r="J628" s="230"/>
      <c r="K628" s="230"/>
      <c r="L628" s="230"/>
      <c r="M628" s="230"/>
      <c r="N628" s="230"/>
      <c r="O628" s="230"/>
      <c r="P628" s="230"/>
      <c r="Q628" s="230"/>
      <c r="R628" s="230"/>
      <c r="S628" s="230"/>
      <c r="T628" s="230"/>
      <c r="U628" s="230"/>
      <c r="V628" s="230"/>
      <c r="W628" s="230"/>
      <c r="X628" s="230"/>
      <c r="Y628" s="230"/>
      <c r="Z628" s="230"/>
    </row>
    <row r="629" spans="1:26" ht="15.75" customHeight="1">
      <c r="A629" s="230"/>
      <c r="B629" s="230"/>
      <c r="C629" s="230"/>
      <c r="D629" s="230"/>
      <c r="E629" s="230"/>
      <c r="F629" s="230"/>
      <c r="G629" s="230"/>
      <c r="H629" s="230"/>
      <c r="I629" s="230"/>
      <c r="J629" s="230"/>
      <c r="K629" s="230"/>
      <c r="L629" s="230"/>
      <c r="M629" s="230"/>
      <c r="N629" s="230"/>
      <c r="O629" s="230"/>
      <c r="P629" s="230"/>
      <c r="Q629" s="230"/>
      <c r="R629" s="230"/>
      <c r="S629" s="230"/>
      <c r="T629" s="230"/>
      <c r="U629" s="230"/>
      <c r="V629" s="230"/>
      <c r="W629" s="230"/>
      <c r="X629" s="230"/>
      <c r="Y629" s="230"/>
      <c r="Z629" s="230"/>
    </row>
    <row r="630" spans="1:26" ht="15.75" customHeight="1">
      <c r="A630" s="230"/>
      <c r="B630" s="230"/>
      <c r="C630" s="230"/>
      <c r="D630" s="230"/>
      <c r="E630" s="230"/>
      <c r="F630" s="230"/>
      <c r="G630" s="230"/>
      <c r="H630" s="230"/>
      <c r="I630" s="230"/>
      <c r="J630" s="230"/>
      <c r="K630" s="230"/>
      <c r="L630" s="230"/>
      <c r="M630" s="230"/>
      <c r="N630" s="230"/>
      <c r="O630" s="230"/>
      <c r="P630" s="230"/>
      <c r="Q630" s="230"/>
      <c r="R630" s="230"/>
      <c r="S630" s="230"/>
      <c r="T630" s="230"/>
      <c r="U630" s="230"/>
      <c r="V630" s="230"/>
      <c r="W630" s="230"/>
      <c r="X630" s="230"/>
      <c r="Y630" s="230"/>
      <c r="Z630" s="230"/>
    </row>
    <row r="631" spans="1:26" ht="15.75" customHeight="1">
      <c r="A631" s="230"/>
      <c r="B631" s="230"/>
      <c r="C631" s="230"/>
      <c r="D631" s="230"/>
      <c r="E631" s="230"/>
      <c r="F631" s="230"/>
      <c r="G631" s="230"/>
      <c r="H631" s="230"/>
      <c r="I631" s="230"/>
      <c r="J631" s="230"/>
      <c r="K631" s="230"/>
      <c r="L631" s="230"/>
      <c r="M631" s="230"/>
      <c r="N631" s="230"/>
      <c r="O631" s="230"/>
      <c r="P631" s="230"/>
      <c r="Q631" s="230"/>
      <c r="R631" s="230"/>
      <c r="S631" s="230"/>
      <c r="T631" s="230"/>
      <c r="U631" s="230"/>
      <c r="V631" s="230"/>
      <c r="W631" s="230"/>
      <c r="X631" s="230"/>
      <c r="Y631" s="230"/>
      <c r="Z631" s="230"/>
    </row>
    <row r="632" spans="1:26" ht="15.75" customHeight="1">
      <c r="A632" s="230"/>
      <c r="B632" s="230"/>
      <c r="C632" s="230"/>
      <c r="D632" s="230"/>
      <c r="E632" s="230"/>
      <c r="F632" s="230"/>
      <c r="G632" s="230"/>
      <c r="H632" s="230"/>
      <c r="I632" s="230"/>
      <c r="J632" s="230"/>
      <c r="K632" s="230"/>
      <c r="L632" s="230"/>
      <c r="M632" s="230"/>
      <c r="N632" s="230"/>
      <c r="O632" s="230"/>
      <c r="P632" s="230"/>
      <c r="Q632" s="230"/>
      <c r="R632" s="230"/>
      <c r="S632" s="230"/>
      <c r="T632" s="230"/>
      <c r="U632" s="230"/>
      <c r="V632" s="230"/>
      <c r="W632" s="230"/>
      <c r="X632" s="230"/>
      <c r="Y632" s="230"/>
      <c r="Z632" s="230"/>
    </row>
    <row r="633" spans="1:26" ht="15.75" customHeight="1">
      <c r="A633" s="230"/>
      <c r="B633" s="230"/>
      <c r="C633" s="230"/>
      <c r="D633" s="230"/>
      <c r="E633" s="230"/>
      <c r="F633" s="230"/>
      <c r="G633" s="230"/>
      <c r="H633" s="230"/>
      <c r="I633" s="230"/>
      <c r="J633" s="230"/>
      <c r="K633" s="230"/>
      <c r="L633" s="230"/>
      <c r="M633" s="230"/>
      <c r="N633" s="230"/>
      <c r="O633" s="230"/>
      <c r="P633" s="230"/>
      <c r="Q633" s="230"/>
      <c r="R633" s="230"/>
      <c r="S633" s="230"/>
      <c r="T633" s="230"/>
      <c r="U633" s="230"/>
      <c r="V633" s="230"/>
      <c r="W633" s="230"/>
      <c r="X633" s="230"/>
      <c r="Y633" s="230"/>
      <c r="Z633" s="230"/>
    </row>
    <row r="634" spans="1:26" ht="15.75" customHeight="1">
      <c r="A634" s="230"/>
      <c r="B634" s="230"/>
      <c r="C634" s="230"/>
      <c r="D634" s="230"/>
      <c r="E634" s="230"/>
      <c r="F634" s="230"/>
      <c r="G634" s="230"/>
      <c r="H634" s="230"/>
      <c r="I634" s="230"/>
      <c r="J634" s="230"/>
      <c r="K634" s="230"/>
      <c r="L634" s="230"/>
      <c r="M634" s="230"/>
      <c r="N634" s="230"/>
      <c r="O634" s="230"/>
      <c r="P634" s="230"/>
      <c r="Q634" s="230"/>
      <c r="R634" s="230"/>
      <c r="S634" s="230"/>
      <c r="T634" s="230"/>
      <c r="U634" s="230"/>
      <c r="V634" s="230"/>
      <c r="W634" s="230"/>
      <c r="X634" s="230"/>
      <c r="Y634" s="230"/>
      <c r="Z634" s="230"/>
    </row>
    <row r="635" spans="1:26" ht="15.75" customHeight="1">
      <c r="A635" s="230"/>
      <c r="B635" s="230"/>
      <c r="C635" s="230"/>
      <c r="D635" s="230"/>
      <c r="E635" s="230"/>
      <c r="F635" s="230"/>
      <c r="G635" s="230"/>
      <c r="H635" s="230"/>
      <c r="I635" s="230"/>
      <c r="J635" s="230"/>
      <c r="K635" s="230"/>
      <c r="L635" s="230"/>
      <c r="M635" s="230"/>
      <c r="N635" s="230"/>
      <c r="O635" s="230"/>
      <c r="P635" s="230"/>
      <c r="Q635" s="230"/>
      <c r="R635" s="230"/>
      <c r="S635" s="230"/>
      <c r="T635" s="230"/>
      <c r="U635" s="230"/>
      <c r="V635" s="230"/>
      <c r="W635" s="230"/>
      <c r="X635" s="230"/>
      <c r="Y635" s="230"/>
      <c r="Z635" s="230"/>
    </row>
    <row r="636" spans="1:26" ht="15.75" customHeight="1">
      <c r="A636" s="230"/>
      <c r="B636" s="230"/>
      <c r="C636" s="230"/>
      <c r="D636" s="230"/>
      <c r="E636" s="230"/>
      <c r="F636" s="230"/>
      <c r="G636" s="230"/>
      <c r="H636" s="230"/>
      <c r="I636" s="230"/>
      <c r="J636" s="230"/>
      <c r="K636" s="230"/>
      <c r="L636" s="230"/>
      <c r="M636" s="230"/>
      <c r="N636" s="230"/>
      <c r="O636" s="230"/>
      <c r="P636" s="230"/>
      <c r="Q636" s="230"/>
      <c r="R636" s="230"/>
      <c r="S636" s="230"/>
      <c r="T636" s="230"/>
      <c r="U636" s="230"/>
      <c r="V636" s="230"/>
      <c r="W636" s="230"/>
      <c r="X636" s="230"/>
      <c r="Y636" s="230"/>
      <c r="Z636" s="230"/>
    </row>
    <row r="637" spans="1:26" ht="15.75" customHeight="1">
      <c r="A637" s="230"/>
      <c r="B637" s="230"/>
      <c r="C637" s="230"/>
      <c r="D637" s="230"/>
      <c r="E637" s="230"/>
      <c r="F637" s="230"/>
      <c r="G637" s="230"/>
      <c r="H637" s="230"/>
      <c r="I637" s="230"/>
      <c r="J637" s="230"/>
      <c r="K637" s="230"/>
      <c r="L637" s="230"/>
      <c r="M637" s="230"/>
      <c r="N637" s="230"/>
      <c r="O637" s="230"/>
      <c r="P637" s="230"/>
      <c r="Q637" s="230"/>
      <c r="R637" s="230"/>
      <c r="S637" s="230"/>
      <c r="T637" s="230"/>
      <c r="U637" s="230"/>
      <c r="V637" s="230"/>
      <c r="W637" s="230"/>
      <c r="X637" s="230"/>
      <c r="Y637" s="230"/>
      <c r="Z637" s="230"/>
    </row>
    <row r="638" spans="1:26" ht="15.75" customHeight="1">
      <c r="A638" s="230"/>
      <c r="B638" s="230"/>
      <c r="C638" s="230"/>
      <c r="D638" s="230"/>
      <c r="E638" s="230"/>
      <c r="F638" s="230"/>
      <c r="G638" s="230"/>
      <c r="H638" s="230"/>
      <c r="I638" s="230"/>
      <c r="J638" s="230"/>
      <c r="K638" s="230"/>
      <c r="L638" s="230"/>
      <c r="M638" s="230"/>
      <c r="N638" s="230"/>
      <c r="O638" s="230"/>
      <c r="P638" s="230"/>
      <c r="Q638" s="230"/>
      <c r="R638" s="230"/>
      <c r="S638" s="230"/>
      <c r="T638" s="230"/>
      <c r="U638" s="230"/>
      <c r="V638" s="230"/>
      <c r="W638" s="230"/>
      <c r="X638" s="230"/>
      <c r="Y638" s="230"/>
      <c r="Z638" s="230"/>
    </row>
    <row r="639" spans="1:26" ht="15.75" customHeight="1">
      <c r="A639" s="230"/>
      <c r="B639" s="230"/>
      <c r="C639" s="230"/>
      <c r="D639" s="230"/>
      <c r="E639" s="230"/>
      <c r="F639" s="230"/>
      <c r="G639" s="230"/>
      <c r="H639" s="230"/>
      <c r="I639" s="230"/>
      <c r="J639" s="230"/>
      <c r="K639" s="230"/>
      <c r="L639" s="230"/>
      <c r="M639" s="230"/>
      <c r="N639" s="230"/>
      <c r="O639" s="230"/>
      <c r="P639" s="230"/>
      <c r="Q639" s="230"/>
      <c r="R639" s="230"/>
      <c r="S639" s="230"/>
      <c r="T639" s="230"/>
      <c r="U639" s="230"/>
      <c r="V639" s="230"/>
      <c r="W639" s="230"/>
      <c r="X639" s="230"/>
      <c r="Y639" s="230"/>
      <c r="Z639" s="230"/>
    </row>
    <row r="640" spans="1:26" ht="15.75" customHeight="1">
      <c r="A640" s="230"/>
      <c r="B640" s="230"/>
      <c r="C640" s="230"/>
      <c r="D640" s="230"/>
      <c r="E640" s="230"/>
      <c r="F640" s="230"/>
      <c r="G640" s="230"/>
      <c r="H640" s="230"/>
      <c r="I640" s="230"/>
      <c r="J640" s="230"/>
      <c r="K640" s="230"/>
      <c r="L640" s="230"/>
      <c r="M640" s="230"/>
      <c r="N640" s="230"/>
      <c r="O640" s="230"/>
      <c r="P640" s="230"/>
      <c r="Q640" s="230"/>
      <c r="R640" s="230"/>
      <c r="S640" s="230"/>
      <c r="T640" s="230"/>
      <c r="U640" s="230"/>
      <c r="V640" s="230"/>
      <c r="W640" s="230"/>
      <c r="X640" s="230"/>
      <c r="Y640" s="230"/>
      <c r="Z640" s="230"/>
    </row>
    <row r="641" spans="1:26" ht="15.75" customHeight="1">
      <c r="A641" s="230"/>
      <c r="B641" s="230"/>
      <c r="C641" s="230"/>
      <c r="D641" s="230"/>
      <c r="E641" s="230"/>
      <c r="F641" s="230"/>
      <c r="G641" s="230"/>
      <c r="H641" s="230"/>
      <c r="I641" s="230"/>
      <c r="J641" s="230"/>
      <c r="K641" s="230"/>
      <c r="L641" s="230"/>
      <c r="M641" s="230"/>
      <c r="N641" s="230"/>
      <c r="O641" s="230"/>
      <c r="P641" s="230"/>
      <c r="Q641" s="230"/>
      <c r="R641" s="230"/>
      <c r="S641" s="230"/>
      <c r="T641" s="230"/>
      <c r="U641" s="230"/>
      <c r="V641" s="230"/>
      <c r="W641" s="230"/>
      <c r="X641" s="230"/>
      <c r="Y641" s="230"/>
      <c r="Z641" s="230"/>
    </row>
    <row r="642" spans="1:26" ht="15.75" customHeight="1">
      <c r="A642" s="230"/>
      <c r="B642" s="230"/>
      <c r="C642" s="230"/>
      <c r="D642" s="230"/>
      <c r="E642" s="230"/>
      <c r="F642" s="230"/>
      <c r="G642" s="230"/>
      <c r="H642" s="230"/>
      <c r="I642" s="230"/>
      <c r="J642" s="230"/>
      <c r="K642" s="230"/>
      <c r="L642" s="230"/>
      <c r="M642" s="230"/>
      <c r="N642" s="230"/>
      <c r="O642" s="230"/>
      <c r="P642" s="230"/>
      <c r="Q642" s="230"/>
      <c r="R642" s="230"/>
      <c r="S642" s="230"/>
      <c r="T642" s="230"/>
      <c r="U642" s="230"/>
      <c r="V642" s="230"/>
      <c r="W642" s="230"/>
      <c r="X642" s="230"/>
      <c r="Y642" s="230"/>
      <c r="Z642" s="230"/>
    </row>
    <row r="643" spans="1:26" ht="15.75" customHeight="1">
      <c r="A643" s="230"/>
      <c r="B643" s="230"/>
      <c r="C643" s="230"/>
      <c r="D643" s="230"/>
      <c r="E643" s="230"/>
      <c r="F643" s="230"/>
      <c r="G643" s="230"/>
      <c r="H643" s="230"/>
      <c r="I643" s="230"/>
      <c r="J643" s="230"/>
      <c r="K643" s="230"/>
      <c r="L643" s="230"/>
      <c r="M643" s="230"/>
      <c r="N643" s="230"/>
      <c r="O643" s="230"/>
      <c r="P643" s="230"/>
      <c r="Q643" s="230"/>
      <c r="R643" s="230"/>
      <c r="S643" s="230"/>
      <c r="T643" s="230"/>
      <c r="U643" s="230"/>
      <c r="V643" s="230"/>
      <c r="W643" s="230"/>
      <c r="X643" s="230"/>
      <c r="Y643" s="230"/>
      <c r="Z643" s="230"/>
    </row>
    <row r="644" spans="1:26" ht="15.75" customHeight="1">
      <c r="A644" s="230"/>
      <c r="B644" s="230"/>
      <c r="C644" s="230"/>
      <c r="D644" s="230"/>
      <c r="E644" s="230"/>
      <c r="F644" s="230"/>
      <c r="G644" s="230"/>
      <c r="H644" s="230"/>
      <c r="I644" s="230"/>
      <c r="J644" s="230"/>
      <c r="K644" s="230"/>
      <c r="L644" s="230"/>
      <c r="M644" s="230"/>
      <c r="N644" s="230"/>
      <c r="O644" s="230"/>
      <c r="P644" s="230"/>
      <c r="Q644" s="230"/>
      <c r="R644" s="230"/>
      <c r="S644" s="230"/>
      <c r="T644" s="230"/>
      <c r="U644" s="230"/>
      <c r="V644" s="230"/>
      <c r="W644" s="230"/>
      <c r="X644" s="230"/>
      <c r="Y644" s="230"/>
      <c r="Z644" s="230"/>
    </row>
    <row r="645" spans="1:26" ht="15.75" customHeight="1">
      <c r="A645" s="230"/>
      <c r="B645" s="230"/>
      <c r="C645" s="230"/>
      <c r="D645" s="230"/>
      <c r="E645" s="230"/>
      <c r="F645" s="230"/>
      <c r="G645" s="230"/>
      <c r="H645" s="230"/>
      <c r="I645" s="230"/>
      <c r="J645" s="230"/>
      <c r="K645" s="230"/>
      <c r="L645" s="230"/>
      <c r="M645" s="230"/>
      <c r="N645" s="230"/>
      <c r="O645" s="230"/>
      <c r="P645" s="230"/>
      <c r="Q645" s="230"/>
      <c r="R645" s="230"/>
      <c r="S645" s="230"/>
      <c r="T645" s="230"/>
      <c r="U645" s="230"/>
      <c r="V645" s="230"/>
      <c r="W645" s="230"/>
      <c r="X645" s="230"/>
      <c r="Y645" s="230"/>
      <c r="Z645" s="230"/>
    </row>
    <row r="646" spans="1:26" ht="15.75" customHeight="1">
      <c r="A646" s="230"/>
      <c r="B646" s="230"/>
      <c r="C646" s="230"/>
      <c r="D646" s="230"/>
      <c r="E646" s="230"/>
      <c r="F646" s="230"/>
      <c r="G646" s="230"/>
      <c r="H646" s="230"/>
      <c r="I646" s="230"/>
      <c r="J646" s="230"/>
      <c r="K646" s="230"/>
      <c r="L646" s="230"/>
      <c r="M646" s="230"/>
      <c r="N646" s="230"/>
      <c r="O646" s="230"/>
      <c r="P646" s="230"/>
      <c r="Q646" s="230"/>
      <c r="R646" s="230"/>
      <c r="S646" s="230"/>
      <c r="T646" s="230"/>
      <c r="U646" s="230"/>
      <c r="V646" s="230"/>
      <c r="W646" s="230"/>
      <c r="X646" s="230"/>
      <c r="Y646" s="230"/>
      <c r="Z646" s="230"/>
    </row>
    <row r="647" spans="1:26" ht="15.75" customHeight="1">
      <c r="A647" s="230"/>
      <c r="B647" s="230"/>
      <c r="C647" s="230"/>
      <c r="D647" s="230"/>
      <c r="E647" s="230"/>
      <c r="F647" s="230"/>
      <c r="G647" s="230"/>
      <c r="H647" s="230"/>
      <c r="I647" s="230"/>
      <c r="J647" s="230"/>
      <c r="K647" s="230"/>
      <c r="L647" s="230"/>
      <c r="M647" s="230"/>
      <c r="N647" s="230"/>
      <c r="O647" s="230"/>
      <c r="P647" s="230"/>
      <c r="Q647" s="230"/>
      <c r="R647" s="230"/>
      <c r="S647" s="230"/>
      <c r="T647" s="230"/>
      <c r="U647" s="230"/>
      <c r="V647" s="230"/>
      <c r="W647" s="230"/>
      <c r="X647" s="230"/>
      <c r="Y647" s="230"/>
      <c r="Z647" s="230"/>
    </row>
    <row r="648" spans="1:26" ht="15.75" customHeight="1">
      <c r="A648" s="230"/>
      <c r="B648" s="230"/>
      <c r="C648" s="230"/>
      <c r="D648" s="230"/>
      <c r="E648" s="230"/>
      <c r="F648" s="230"/>
      <c r="G648" s="230"/>
      <c r="H648" s="230"/>
      <c r="I648" s="230"/>
      <c r="J648" s="230"/>
      <c r="K648" s="230"/>
      <c r="L648" s="230"/>
      <c r="M648" s="230"/>
      <c r="N648" s="230"/>
      <c r="O648" s="230"/>
      <c r="P648" s="230"/>
      <c r="Q648" s="230"/>
      <c r="R648" s="230"/>
      <c r="S648" s="230"/>
      <c r="T648" s="230"/>
      <c r="U648" s="230"/>
      <c r="V648" s="230"/>
      <c r="W648" s="230"/>
      <c r="X648" s="230"/>
      <c r="Y648" s="230"/>
      <c r="Z648" s="230"/>
    </row>
    <row r="649" spans="1:26" ht="15.75" customHeight="1">
      <c r="A649" s="230"/>
      <c r="B649" s="230"/>
      <c r="C649" s="230"/>
      <c r="D649" s="230"/>
      <c r="E649" s="230"/>
      <c r="F649" s="230"/>
      <c r="G649" s="230"/>
      <c r="H649" s="230"/>
      <c r="I649" s="230"/>
      <c r="J649" s="230"/>
      <c r="K649" s="230"/>
      <c r="L649" s="230"/>
      <c r="M649" s="230"/>
      <c r="N649" s="230"/>
      <c r="O649" s="230"/>
      <c r="P649" s="230"/>
      <c r="Q649" s="230"/>
      <c r="R649" s="230"/>
      <c r="S649" s="230"/>
      <c r="T649" s="230"/>
      <c r="U649" s="230"/>
      <c r="V649" s="230"/>
      <c r="W649" s="230"/>
      <c r="X649" s="230"/>
      <c r="Y649" s="230"/>
      <c r="Z649" s="230"/>
    </row>
    <row r="650" spans="1:26" ht="15.75" customHeight="1">
      <c r="A650" s="230"/>
      <c r="B650" s="230"/>
      <c r="C650" s="230"/>
      <c r="D650" s="230"/>
      <c r="E650" s="230"/>
      <c r="F650" s="230"/>
      <c r="G650" s="230"/>
      <c r="H650" s="230"/>
      <c r="I650" s="230"/>
      <c r="J650" s="230"/>
      <c r="K650" s="230"/>
      <c r="L650" s="230"/>
      <c r="M650" s="230"/>
      <c r="N650" s="230"/>
      <c r="O650" s="230"/>
      <c r="P650" s="230"/>
      <c r="Q650" s="230"/>
      <c r="R650" s="230"/>
      <c r="S650" s="230"/>
      <c r="T650" s="230"/>
      <c r="U650" s="230"/>
      <c r="V650" s="230"/>
      <c r="W650" s="230"/>
      <c r="X650" s="230"/>
      <c r="Y650" s="230"/>
      <c r="Z650" s="230"/>
    </row>
    <row r="651" spans="1:26" ht="15.75" customHeight="1">
      <c r="A651" s="230"/>
      <c r="B651" s="230"/>
      <c r="C651" s="230"/>
      <c r="D651" s="230"/>
      <c r="E651" s="230"/>
      <c r="F651" s="230"/>
      <c r="G651" s="230"/>
      <c r="H651" s="230"/>
      <c r="I651" s="230"/>
      <c r="J651" s="230"/>
      <c r="K651" s="230"/>
      <c r="L651" s="230"/>
      <c r="M651" s="230"/>
      <c r="N651" s="230"/>
      <c r="O651" s="230"/>
      <c r="P651" s="230"/>
      <c r="Q651" s="230"/>
      <c r="R651" s="230"/>
      <c r="S651" s="230"/>
      <c r="T651" s="230"/>
      <c r="U651" s="230"/>
      <c r="V651" s="230"/>
      <c r="W651" s="230"/>
      <c r="X651" s="230"/>
      <c r="Y651" s="230"/>
      <c r="Z651" s="230"/>
    </row>
    <row r="652" spans="1:26" ht="15.75" customHeight="1">
      <c r="A652" s="230"/>
      <c r="B652" s="230"/>
      <c r="C652" s="230"/>
      <c r="D652" s="230"/>
      <c r="E652" s="230"/>
      <c r="F652" s="230"/>
      <c r="G652" s="230"/>
      <c r="H652" s="230"/>
      <c r="I652" s="230"/>
      <c r="J652" s="230"/>
      <c r="K652" s="230"/>
      <c r="L652" s="230"/>
      <c r="M652" s="230"/>
      <c r="N652" s="230"/>
      <c r="O652" s="230"/>
      <c r="P652" s="230"/>
      <c r="Q652" s="230"/>
      <c r="R652" s="230"/>
      <c r="S652" s="230"/>
      <c r="T652" s="230"/>
      <c r="U652" s="230"/>
      <c r="V652" s="230"/>
      <c r="W652" s="230"/>
      <c r="X652" s="230"/>
      <c r="Y652" s="230"/>
      <c r="Z652" s="230"/>
    </row>
    <row r="653" spans="1:26" ht="15.75" customHeight="1">
      <c r="A653" s="230"/>
      <c r="B653" s="230"/>
      <c r="C653" s="230"/>
      <c r="D653" s="230"/>
      <c r="E653" s="230"/>
      <c r="F653" s="230"/>
      <c r="G653" s="230"/>
      <c r="H653" s="230"/>
      <c r="I653" s="230"/>
      <c r="J653" s="230"/>
      <c r="K653" s="230"/>
      <c r="L653" s="230"/>
      <c r="M653" s="230"/>
      <c r="N653" s="230"/>
      <c r="O653" s="230"/>
      <c r="P653" s="230"/>
      <c r="Q653" s="230"/>
      <c r="R653" s="230"/>
      <c r="S653" s="230"/>
      <c r="T653" s="230"/>
      <c r="U653" s="230"/>
      <c r="V653" s="230"/>
      <c r="W653" s="230"/>
      <c r="X653" s="230"/>
      <c r="Y653" s="230"/>
      <c r="Z653" s="230"/>
    </row>
    <row r="654" spans="1:26" ht="15.75" customHeight="1">
      <c r="A654" s="230"/>
      <c r="B654" s="230"/>
      <c r="C654" s="230"/>
      <c r="D654" s="230"/>
      <c r="E654" s="230"/>
      <c r="F654" s="230"/>
      <c r="G654" s="230"/>
      <c r="H654" s="230"/>
      <c r="I654" s="230"/>
      <c r="J654" s="230"/>
      <c r="K654" s="230"/>
      <c r="L654" s="230"/>
      <c r="M654" s="230"/>
      <c r="N654" s="230"/>
      <c r="O654" s="230"/>
      <c r="P654" s="230"/>
      <c r="Q654" s="230"/>
      <c r="R654" s="230"/>
      <c r="S654" s="230"/>
      <c r="T654" s="230"/>
      <c r="U654" s="230"/>
      <c r="V654" s="230"/>
      <c r="W654" s="230"/>
      <c r="X654" s="230"/>
      <c r="Y654" s="230"/>
      <c r="Z654" s="230"/>
    </row>
    <row r="655" spans="1:26" ht="15.75" customHeight="1">
      <c r="A655" s="230"/>
      <c r="B655" s="230"/>
      <c r="C655" s="230"/>
      <c r="D655" s="230"/>
      <c r="E655" s="230"/>
      <c r="F655" s="230"/>
      <c r="G655" s="230"/>
      <c r="H655" s="230"/>
      <c r="I655" s="230"/>
      <c r="J655" s="230"/>
      <c r="K655" s="230"/>
      <c r="L655" s="230"/>
      <c r="M655" s="230"/>
      <c r="N655" s="230"/>
      <c r="O655" s="230"/>
      <c r="P655" s="230"/>
      <c r="Q655" s="230"/>
      <c r="R655" s="230"/>
      <c r="S655" s="230"/>
      <c r="T655" s="230"/>
      <c r="U655" s="230"/>
      <c r="V655" s="230"/>
      <c r="W655" s="230"/>
      <c r="X655" s="230"/>
      <c r="Y655" s="230"/>
      <c r="Z655" s="230"/>
    </row>
    <row r="656" spans="1:26" ht="15.75" customHeight="1">
      <c r="A656" s="230"/>
      <c r="B656" s="230"/>
      <c r="C656" s="230"/>
      <c r="D656" s="230"/>
      <c r="E656" s="230"/>
      <c r="F656" s="230"/>
      <c r="G656" s="230"/>
      <c r="H656" s="230"/>
      <c r="I656" s="230"/>
      <c r="J656" s="230"/>
      <c r="K656" s="230"/>
      <c r="L656" s="230"/>
      <c r="M656" s="230"/>
      <c r="N656" s="230"/>
      <c r="O656" s="230"/>
      <c r="P656" s="230"/>
      <c r="Q656" s="230"/>
      <c r="R656" s="230"/>
      <c r="S656" s="230"/>
      <c r="T656" s="230"/>
      <c r="U656" s="230"/>
      <c r="V656" s="230"/>
      <c r="W656" s="230"/>
      <c r="X656" s="230"/>
      <c r="Y656" s="230"/>
      <c r="Z656" s="230"/>
    </row>
    <row r="657" spans="1:26" ht="15.75" customHeight="1">
      <c r="A657" s="230"/>
      <c r="B657" s="230"/>
      <c r="C657" s="230"/>
      <c r="D657" s="230"/>
      <c r="E657" s="230"/>
      <c r="F657" s="230"/>
      <c r="G657" s="230"/>
      <c r="H657" s="230"/>
      <c r="I657" s="230"/>
      <c r="J657" s="230"/>
      <c r="K657" s="230"/>
      <c r="L657" s="230"/>
      <c r="M657" s="230"/>
      <c r="N657" s="230"/>
      <c r="O657" s="230"/>
      <c r="P657" s="230"/>
      <c r="Q657" s="230"/>
      <c r="R657" s="230"/>
      <c r="S657" s="230"/>
      <c r="T657" s="230"/>
      <c r="U657" s="230"/>
      <c r="V657" s="230"/>
      <c r="W657" s="230"/>
      <c r="X657" s="230"/>
      <c r="Y657" s="230"/>
      <c r="Z657" s="230"/>
    </row>
    <row r="658" spans="1:26" ht="15.75" customHeight="1">
      <c r="A658" s="230"/>
      <c r="B658" s="230"/>
      <c r="C658" s="230"/>
      <c r="D658" s="230"/>
      <c r="E658" s="230"/>
      <c r="F658" s="230"/>
      <c r="G658" s="230"/>
      <c r="H658" s="230"/>
      <c r="I658" s="230"/>
      <c r="J658" s="230"/>
      <c r="K658" s="230"/>
      <c r="L658" s="230"/>
      <c r="M658" s="230"/>
      <c r="N658" s="230"/>
      <c r="O658" s="230"/>
      <c r="P658" s="230"/>
      <c r="Q658" s="230"/>
      <c r="R658" s="230"/>
      <c r="S658" s="230"/>
      <c r="T658" s="230"/>
      <c r="U658" s="230"/>
      <c r="V658" s="230"/>
      <c r="W658" s="230"/>
      <c r="X658" s="230"/>
      <c r="Y658" s="230"/>
      <c r="Z658" s="230"/>
    </row>
    <row r="659" spans="1:26" ht="15.75" customHeight="1">
      <c r="A659" s="230"/>
      <c r="B659" s="230"/>
      <c r="C659" s="230"/>
      <c r="D659" s="230"/>
      <c r="E659" s="230"/>
      <c r="F659" s="230"/>
      <c r="G659" s="230"/>
      <c r="H659" s="230"/>
      <c r="I659" s="230"/>
      <c r="J659" s="230"/>
      <c r="K659" s="230"/>
      <c r="L659" s="230"/>
      <c r="M659" s="230"/>
      <c r="N659" s="230"/>
      <c r="O659" s="230"/>
      <c r="P659" s="230"/>
      <c r="Q659" s="230"/>
      <c r="R659" s="230"/>
      <c r="S659" s="230"/>
      <c r="T659" s="230"/>
      <c r="U659" s="230"/>
      <c r="V659" s="230"/>
      <c r="W659" s="230"/>
      <c r="X659" s="230"/>
      <c r="Y659" s="230"/>
      <c r="Z659" s="230"/>
    </row>
    <row r="660" spans="1:26" ht="15.75" customHeight="1">
      <c r="A660" s="230"/>
      <c r="B660" s="230"/>
      <c r="C660" s="230"/>
      <c r="D660" s="230"/>
      <c r="E660" s="230"/>
      <c r="F660" s="230"/>
      <c r="G660" s="230"/>
      <c r="H660" s="230"/>
      <c r="I660" s="230"/>
      <c r="J660" s="230"/>
      <c r="K660" s="230"/>
      <c r="L660" s="230"/>
      <c r="M660" s="230"/>
      <c r="N660" s="230"/>
      <c r="O660" s="230"/>
      <c r="P660" s="230"/>
      <c r="Q660" s="230"/>
      <c r="R660" s="230"/>
      <c r="S660" s="230"/>
      <c r="T660" s="230"/>
      <c r="U660" s="230"/>
      <c r="V660" s="230"/>
      <c r="W660" s="230"/>
      <c r="X660" s="230"/>
      <c r="Y660" s="230"/>
      <c r="Z660" s="230"/>
    </row>
    <row r="661" spans="1:26" ht="15.75" customHeight="1">
      <c r="A661" s="230"/>
      <c r="B661" s="230"/>
      <c r="C661" s="230"/>
      <c r="D661" s="230"/>
      <c r="E661" s="230"/>
      <c r="F661" s="230"/>
      <c r="G661" s="230"/>
      <c r="H661" s="230"/>
      <c r="I661" s="230"/>
      <c r="J661" s="230"/>
      <c r="K661" s="230"/>
      <c r="L661" s="230"/>
      <c r="M661" s="230"/>
      <c r="N661" s="230"/>
      <c r="O661" s="230"/>
      <c r="P661" s="230"/>
      <c r="Q661" s="230"/>
      <c r="R661" s="230"/>
      <c r="S661" s="230"/>
      <c r="T661" s="230"/>
      <c r="U661" s="230"/>
      <c r="V661" s="230"/>
      <c r="W661" s="230"/>
      <c r="X661" s="230"/>
      <c r="Y661" s="230"/>
      <c r="Z661" s="230"/>
    </row>
    <row r="662" spans="1:26" ht="15.75" customHeight="1">
      <c r="A662" s="230"/>
      <c r="B662" s="230"/>
      <c r="C662" s="230"/>
      <c r="D662" s="230"/>
      <c r="E662" s="230"/>
      <c r="F662" s="230"/>
      <c r="G662" s="230"/>
      <c r="H662" s="230"/>
      <c r="I662" s="230"/>
      <c r="J662" s="230"/>
      <c r="K662" s="230"/>
      <c r="L662" s="230"/>
      <c r="M662" s="230"/>
      <c r="N662" s="230"/>
      <c r="O662" s="230"/>
      <c r="P662" s="230"/>
      <c r="Q662" s="230"/>
      <c r="R662" s="230"/>
      <c r="S662" s="230"/>
      <c r="T662" s="230"/>
      <c r="U662" s="230"/>
      <c r="V662" s="230"/>
      <c r="W662" s="230"/>
      <c r="X662" s="230"/>
      <c r="Y662" s="230"/>
      <c r="Z662" s="230"/>
    </row>
    <row r="663" spans="1:26" ht="15.75" customHeight="1">
      <c r="A663" s="230"/>
      <c r="B663" s="230"/>
      <c r="C663" s="230"/>
      <c r="D663" s="230"/>
      <c r="E663" s="230"/>
      <c r="F663" s="230"/>
      <c r="G663" s="230"/>
      <c r="H663" s="230"/>
      <c r="I663" s="230"/>
      <c r="J663" s="230"/>
      <c r="K663" s="230"/>
      <c r="L663" s="230"/>
      <c r="M663" s="230"/>
      <c r="N663" s="230"/>
      <c r="O663" s="230"/>
      <c r="P663" s="230"/>
      <c r="Q663" s="230"/>
      <c r="R663" s="230"/>
      <c r="S663" s="230"/>
      <c r="T663" s="230"/>
      <c r="U663" s="230"/>
      <c r="V663" s="230"/>
      <c r="W663" s="230"/>
      <c r="X663" s="230"/>
      <c r="Y663" s="230"/>
      <c r="Z663" s="230"/>
    </row>
    <row r="664" spans="1:26" ht="15.75" customHeight="1">
      <c r="A664" s="230"/>
      <c r="B664" s="230"/>
      <c r="C664" s="230"/>
      <c r="D664" s="230"/>
      <c r="E664" s="230"/>
      <c r="F664" s="230"/>
      <c r="G664" s="230"/>
      <c r="H664" s="230"/>
      <c r="I664" s="230"/>
      <c r="J664" s="230"/>
      <c r="K664" s="230"/>
      <c r="L664" s="230"/>
      <c r="M664" s="230"/>
      <c r="N664" s="230"/>
      <c r="O664" s="230"/>
      <c r="P664" s="230"/>
      <c r="Q664" s="230"/>
      <c r="R664" s="230"/>
      <c r="S664" s="230"/>
      <c r="T664" s="230"/>
      <c r="U664" s="230"/>
      <c r="V664" s="230"/>
      <c r="W664" s="230"/>
      <c r="X664" s="230"/>
      <c r="Y664" s="230"/>
      <c r="Z664" s="230"/>
    </row>
    <row r="665" spans="1:26" ht="15.75" customHeight="1">
      <c r="A665" s="230"/>
      <c r="B665" s="230"/>
      <c r="C665" s="230"/>
      <c r="D665" s="230"/>
      <c r="E665" s="230"/>
      <c r="F665" s="230"/>
      <c r="G665" s="230"/>
      <c r="H665" s="230"/>
      <c r="I665" s="230"/>
      <c r="J665" s="230"/>
      <c r="K665" s="230"/>
      <c r="L665" s="230"/>
      <c r="M665" s="230"/>
      <c r="N665" s="230"/>
      <c r="O665" s="230"/>
      <c r="P665" s="230"/>
      <c r="Q665" s="230"/>
      <c r="R665" s="230"/>
      <c r="S665" s="230"/>
      <c r="T665" s="230"/>
      <c r="U665" s="230"/>
      <c r="V665" s="230"/>
      <c r="W665" s="230"/>
      <c r="X665" s="230"/>
      <c r="Y665" s="230"/>
      <c r="Z665" s="230"/>
    </row>
    <row r="666" spans="1:26" ht="15.75" customHeight="1">
      <c r="A666" s="230"/>
      <c r="B666" s="230"/>
      <c r="C666" s="230"/>
      <c r="D666" s="230"/>
      <c r="E666" s="230"/>
      <c r="F666" s="230"/>
      <c r="G666" s="230"/>
      <c r="H666" s="230"/>
      <c r="I666" s="230"/>
      <c r="J666" s="230"/>
      <c r="K666" s="230"/>
      <c r="L666" s="230"/>
      <c r="M666" s="230"/>
      <c r="N666" s="230"/>
      <c r="O666" s="230"/>
      <c r="P666" s="230"/>
      <c r="Q666" s="230"/>
      <c r="R666" s="230"/>
      <c r="S666" s="230"/>
      <c r="T666" s="230"/>
      <c r="U666" s="230"/>
      <c r="V666" s="230"/>
      <c r="W666" s="230"/>
      <c r="X666" s="230"/>
      <c r="Y666" s="230"/>
      <c r="Z666" s="230"/>
    </row>
    <row r="667" spans="1:26" ht="15.75" customHeight="1">
      <c r="A667" s="230"/>
      <c r="B667" s="230"/>
      <c r="C667" s="230"/>
      <c r="D667" s="230"/>
      <c r="E667" s="230"/>
      <c r="F667" s="230"/>
      <c r="G667" s="230"/>
      <c r="H667" s="230"/>
      <c r="I667" s="230"/>
      <c r="J667" s="230"/>
      <c r="K667" s="230"/>
      <c r="L667" s="230"/>
      <c r="M667" s="230"/>
      <c r="N667" s="230"/>
      <c r="O667" s="230"/>
      <c r="P667" s="230"/>
      <c r="Q667" s="230"/>
      <c r="R667" s="230"/>
      <c r="S667" s="230"/>
      <c r="T667" s="230"/>
      <c r="U667" s="230"/>
      <c r="V667" s="230"/>
      <c r="W667" s="230"/>
      <c r="X667" s="230"/>
      <c r="Y667" s="230"/>
      <c r="Z667" s="230"/>
    </row>
    <row r="668" spans="1:26" ht="15.75" customHeight="1">
      <c r="A668" s="230"/>
      <c r="B668" s="230"/>
      <c r="C668" s="230"/>
      <c r="D668" s="230"/>
      <c r="E668" s="230"/>
      <c r="F668" s="230"/>
      <c r="G668" s="230"/>
      <c r="H668" s="230"/>
      <c r="I668" s="230"/>
      <c r="J668" s="230"/>
      <c r="K668" s="230"/>
      <c r="L668" s="230"/>
      <c r="M668" s="230"/>
      <c r="N668" s="230"/>
      <c r="O668" s="230"/>
      <c r="P668" s="230"/>
      <c r="Q668" s="230"/>
      <c r="R668" s="230"/>
      <c r="S668" s="230"/>
      <c r="T668" s="230"/>
      <c r="U668" s="230"/>
      <c r="V668" s="230"/>
      <c r="W668" s="230"/>
      <c r="X668" s="230"/>
      <c r="Y668" s="230"/>
      <c r="Z668" s="230"/>
    </row>
    <row r="669" spans="1:26" ht="15.75" customHeight="1">
      <c r="A669" s="230"/>
      <c r="B669" s="230"/>
      <c r="C669" s="230"/>
      <c r="D669" s="230"/>
      <c r="E669" s="230"/>
      <c r="F669" s="230"/>
      <c r="G669" s="230"/>
      <c r="H669" s="230"/>
      <c r="I669" s="230"/>
      <c r="J669" s="230"/>
      <c r="K669" s="230"/>
      <c r="L669" s="230"/>
      <c r="M669" s="230"/>
      <c r="N669" s="230"/>
      <c r="O669" s="230"/>
      <c r="P669" s="230"/>
      <c r="Q669" s="230"/>
      <c r="R669" s="230"/>
      <c r="S669" s="230"/>
      <c r="T669" s="230"/>
      <c r="U669" s="230"/>
      <c r="V669" s="230"/>
      <c r="W669" s="230"/>
      <c r="X669" s="230"/>
      <c r="Y669" s="230"/>
      <c r="Z669" s="230"/>
    </row>
    <row r="670" spans="1:26" ht="15.75" customHeight="1">
      <c r="A670" s="230"/>
      <c r="B670" s="230"/>
      <c r="C670" s="230"/>
      <c r="D670" s="230"/>
      <c r="E670" s="230"/>
      <c r="F670" s="230"/>
      <c r="G670" s="230"/>
      <c r="H670" s="230"/>
      <c r="I670" s="230"/>
      <c r="J670" s="230"/>
      <c r="K670" s="230"/>
      <c r="L670" s="230"/>
      <c r="M670" s="230"/>
      <c r="N670" s="230"/>
      <c r="O670" s="230"/>
      <c r="P670" s="230"/>
      <c r="Q670" s="230"/>
      <c r="R670" s="230"/>
      <c r="S670" s="230"/>
      <c r="T670" s="230"/>
      <c r="U670" s="230"/>
      <c r="V670" s="230"/>
      <c r="W670" s="230"/>
      <c r="X670" s="230"/>
      <c r="Y670" s="230"/>
      <c r="Z670" s="230"/>
    </row>
    <row r="671" spans="1:26" ht="15.75" customHeight="1">
      <c r="A671" s="230"/>
      <c r="B671" s="230"/>
      <c r="C671" s="230"/>
      <c r="D671" s="230"/>
      <c r="E671" s="230"/>
      <c r="F671" s="230"/>
      <c r="G671" s="230"/>
      <c r="H671" s="230"/>
      <c r="I671" s="230"/>
      <c r="J671" s="230"/>
      <c r="K671" s="230"/>
      <c r="L671" s="230"/>
      <c r="M671" s="230"/>
      <c r="N671" s="230"/>
      <c r="O671" s="230"/>
      <c r="P671" s="230"/>
      <c r="Q671" s="230"/>
      <c r="R671" s="230"/>
      <c r="S671" s="230"/>
      <c r="T671" s="230"/>
      <c r="U671" s="230"/>
      <c r="V671" s="230"/>
      <c r="W671" s="230"/>
      <c r="X671" s="230"/>
      <c r="Y671" s="230"/>
      <c r="Z671" s="230"/>
    </row>
    <row r="672" spans="1:26" ht="15.75" customHeight="1">
      <c r="A672" s="230"/>
      <c r="B672" s="230"/>
      <c r="C672" s="230"/>
      <c r="D672" s="230"/>
      <c r="E672" s="230"/>
      <c r="F672" s="230"/>
      <c r="G672" s="230"/>
      <c r="H672" s="230"/>
      <c r="I672" s="230"/>
      <c r="J672" s="230"/>
      <c r="K672" s="230"/>
      <c r="L672" s="230"/>
      <c r="M672" s="230"/>
      <c r="N672" s="230"/>
      <c r="O672" s="230"/>
      <c r="P672" s="230"/>
      <c r="Q672" s="230"/>
      <c r="R672" s="230"/>
      <c r="S672" s="230"/>
      <c r="T672" s="230"/>
      <c r="U672" s="230"/>
      <c r="V672" s="230"/>
      <c r="W672" s="230"/>
      <c r="X672" s="230"/>
      <c r="Y672" s="230"/>
      <c r="Z672" s="230"/>
    </row>
    <row r="673" spans="1:26" ht="15.75" customHeight="1">
      <c r="A673" s="230"/>
      <c r="B673" s="230"/>
      <c r="C673" s="230"/>
      <c r="D673" s="230"/>
      <c r="E673" s="230"/>
      <c r="F673" s="230"/>
      <c r="G673" s="230"/>
      <c r="H673" s="230"/>
      <c r="I673" s="230"/>
      <c r="J673" s="230"/>
      <c r="K673" s="230"/>
      <c r="L673" s="230"/>
      <c r="M673" s="230"/>
      <c r="N673" s="230"/>
      <c r="O673" s="230"/>
      <c r="P673" s="230"/>
      <c r="Q673" s="230"/>
      <c r="R673" s="230"/>
      <c r="S673" s="230"/>
      <c r="T673" s="230"/>
      <c r="U673" s="230"/>
      <c r="V673" s="230"/>
      <c r="W673" s="230"/>
      <c r="X673" s="230"/>
      <c r="Y673" s="230"/>
      <c r="Z673" s="230"/>
    </row>
    <row r="674" spans="1:26" ht="15.75" customHeight="1">
      <c r="A674" s="230"/>
      <c r="B674" s="230"/>
      <c r="C674" s="230"/>
      <c r="D674" s="230"/>
      <c r="E674" s="230"/>
      <c r="F674" s="230"/>
      <c r="G674" s="230"/>
      <c r="H674" s="230"/>
      <c r="I674" s="230"/>
      <c r="J674" s="230"/>
      <c r="K674" s="230"/>
      <c r="L674" s="230"/>
      <c r="M674" s="230"/>
      <c r="N674" s="230"/>
      <c r="O674" s="230"/>
      <c r="P674" s="230"/>
      <c r="Q674" s="230"/>
      <c r="R674" s="230"/>
      <c r="S674" s="230"/>
      <c r="T674" s="230"/>
      <c r="U674" s="230"/>
      <c r="V674" s="230"/>
      <c r="W674" s="230"/>
      <c r="X674" s="230"/>
      <c r="Y674" s="230"/>
      <c r="Z674" s="230"/>
    </row>
    <row r="675" spans="1:26" ht="15.75" customHeight="1">
      <c r="A675" s="230"/>
      <c r="B675" s="230"/>
      <c r="C675" s="230"/>
      <c r="D675" s="230"/>
      <c r="E675" s="230"/>
      <c r="F675" s="230"/>
      <c r="G675" s="230"/>
      <c r="H675" s="230"/>
      <c r="I675" s="230"/>
      <c r="J675" s="230"/>
      <c r="K675" s="230"/>
      <c r="L675" s="230"/>
      <c r="M675" s="230"/>
      <c r="N675" s="230"/>
      <c r="O675" s="230"/>
      <c r="P675" s="230"/>
      <c r="Q675" s="230"/>
      <c r="R675" s="230"/>
      <c r="S675" s="230"/>
      <c r="T675" s="230"/>
      <c r="U675" s="230"/>
      <c r="V675" s="230"/>
      <c r="W675" s="230"/>
      <c r="X675" s="230"/>
      <c r="Y675" s="230"/>
      <c r="Z675" s="230"/>
    </row>
    <row r="676" spans="1:26" ht="15.75" customHeight="1">
      <c r="A676" s="230"/>
      <c r="B676" s="230"/>
      <c r="C676" s="230"/>
      <c r="D676" s="230"/>
      <c r="E676" s="230"/>
      <c r="F676" s="230"/>
      <c r="G676" s="230"/>
      <c r="H676" s="230"/>
      <c r="I676" s="230"/>
      <c r="J676" s="230"/>
      <c r="K676" s="230"/>
      <c r="L676" s="230"/>
      <c r="M676" s="230"/>
      <c r="N676" s="230"/>
      <c r="O676" s="230"/>
      <c r="P676" s="230"/>
      <c r="Q676" s="230"/>
      <c r="R676" s="230"/>
      <c r="S676" s="230"/>
      <c r="T676" s="230"/>
      <c r="U676" s="230"/>
      <c r="V676" s="230"/>
      <c r="W676" s="230"/>
      <c r="X676" s="230"/>
      <c r="Y676" s="230"/>
      <c r="Z676" s="230"/>
    </row>
    <row r="677" spans="1:26" ht="15.75" customHeight="1">
      <c r="A677" s="230"/>
      <c r="B677" s="230"/>
      <c r="C677" s="230"/>
      <c r="D677" s="230"/>
      <c r="E677" s="230"/>
      <c r="F677" s="230"/>
      <c r="G677" s="230"/>
      <c r="H677" s="230"/>
      <c r="I677" s="230"/>
      <c r="J677" s="230"/>
      <c r="K677" s="230"/>
      <c r="L677" s="230"/>
      <c r="M677" s="230"/>
      <c r="N677" s="230"/>
      <c r="O677" s="230"/>
      <c r="P677" s="230"/>
      <c r="Q677" s="230"/>
      <c r="R677" s="230"/>
      <c r="S677" s="230"/>
      <c r="T677" s="230"/>
      <c r="U677" s="230"/>
      <c r="V677" s="230"/>
      <c r="W677" s="230"/>
      <c r="X677" s="230"/>
      <c r="Y677" s="230"/>
      <c r="Z677" s="230"/>
    </row>
    <row r="678" spans="1:26" ht="15.75" customHeight="1">
      <c r="A678" s="230"/>
      <c r="B678" s="230"/>
      <c r="C678" s="230"/>
      <c r="D678" s="230"/>
      <c r="E678" s="230"/>
      <c r="F678" s="230"/>
      <c r="G678" s="230"/>
      <c r="H678" s="230"/>
      <c r="I678" s="230"/>
      <c r="J678" s="230"/>
      <c r="K678" s="230"/>
      <c r="L678" s="230"/>
      <c r="M678" s="230"/>
      <c r="N678" s="230"/>
      <c r="O678" s="230"/>
      <c r="P678" s="230"/>
      <c r="Q678" s="230"/>
      <c r="R678" s="230"/>
      <c r="S678" s="230"/>
      <c r="T678" s="230"/>
      <c r="U678" s="230"/>
      <c r="V678" s="230"/>
      <c r="W678" s="230"/>
      <c r="X678" s="230"/>
      <c r="Y678" s="230"/>
      <c r="Z678" s="230"/>
    </row>
    <row r="679" spans="1:26" ht="15.75" customHeight="1">
      <c r="A679" s="230"/>
      <c r="B679" s="230"/>
      <c r="C679" s="230"/>
      <c r="D679" s="230"/>
      <c r="E679" s="230"/>
      <c r="F679" s="230"/>
      <c r="G679" s="230"/>
      <c r="H679" s="230"/>
      <c r="I679" s="230"/>
      <c r="J679" s="230"/>
      <c r="K679" s="230"/>
      <c r="L679" s="230"/>
      <c r="M679" s="230"/>
      <c r="N679" s="230"/>
      <c r="O679" s="230"/>
      <c r="P679" s="230"/>
      <c r="Q679" s="230"/>
      <c r="R679" s="230"/>
      <c r="S679" s="230"/>
      <c r="T679" s="230"/>
      <c r="U679" s="230"/>
      <c r="V679" s="230"/>
      <c r="W679" s="230"/>
      <c r="X679" s="230"/>
      <c r="Y679" s="230"/>
      <c r="Z679" s="230"/>
    </row>
    <row r="680" spans="1:26" ht="15.75" customHeight="1">
      <c r="A680" s="230"/>
      <c r="B680" s="230"/>
      <c r="C680" s="230"/>
      <c r="D680" s="230"/>
      <c r="E680" s="230"/>
      <c r="F680" s="230"/>
      <c r="G680" s="230"/>
      <c r="H680" s="230"/>
      <c r="I680" s="230"/>
      <c r="J680" s="230"/>
      <c r="K680" s="230"/>
      <c r="L680" s="230"/>
      <c r="M680" s="230"/>
      <c r="N680" s="230"/>
      <c r="O680" s="230"/>
      <c r="P680" s="230"/>
      <c r="Q680" s="230"/>
      <c r="R680" s="230"/>
      <c r="S680" s="230"/>
      <c r="T680" s="230"/>
      <c r="U680" s="230"/>
      <c r="V680" s="230"/>
      <c r="W680" s="230"/>
      <c r="X680" s="230"/>
      <c r="Y680" s="230"/>
      <c r="Z680" s="230"/>
    </row>
    <row r="681" spans="1:26" ht="15.75" customHeight="1">
      <c r="A681" s="230"/>
      <c r="B681" s="230"/>
      <c r="C681" s="230"/>
      <c r="D681" s="230"/>
      <c r="E681" s="230"/>
      <c r="F681" s="230"/>
      <c r="G681" s="230"/>
      <c r="H681" s="230"/>
      <c r="I681" s="230"/>
      <c r="J681" s="230"/>
      <c r="K681" s="230"/>
      <c r="L681" s="230"/>
      <c r="M681" s="230"/>
      <c r="N681" s="230"/>
      <c r="O681" s="230"/>
      <c r="P681" s="230"/>
      <c r="Q681" s="230"/>
      <c r="R681" s="230"/>
      <c r="S681" s="230"/>
      <c r="T681" s="230"/>
      <c r="U681" s="230"/>
      <c r="V681" s="230"/>
      <c r="W681" s="230"/>
      <c r="X681" s="230"/>
      <c r="Y681" s="230"/>
      <c r="Z681" s="230"/>
    </row>
    <row r="682" spans="1:26" ht="15.75" customHeight="1">
      <c r="A682" s="230"/>
      <c r="B682" s="230"/>
      <c r="C682" s="230"/>
      <c r="D682" s="230"/>
      <c r="E682" s="230"/>
      <c r="F682" s="230"/>
      <c r="G682" s="230"/>
      <c r="H682" s="230"/>
      <c r="I682" s="230"/>
      <c r="J682" s="230"/>
      <c r="K682" s="230"/>
      <c r="L682" s="230"/>
      <c r="M682" s="230"/>
      <c r="N682" s="230"/>
      <c r="O682" s="230"/>
      <c r="P682" s="230"/>
      <c r="Q682" s="230"/>
      <c r="R682" s="230"/>
      <c r="S682" s="230"/>
      <c r="T682" s="230"/>
      <c r="U682" s="230"/>
      <c r="V682" s="230"/>
      <c r="W682" s="230"/>
      <c r="X682" s="230"/>
      <c r="Y682" s="230"/>
      <c r="Z682" s="230"/>
    </row>
    <row r="683" spans="1:26" ht="15.75" customHeight="1">
      <c r="A683" s="230"/>
      <c r="B683" s="230"/>
      <c r="C683" s="230"/>
      <c r="D683" s="230"/>
      <c r="E683" s="230"/>
      <c r="F683" s="230"/>
      <c r="G683" s="230"/>
      <c r="H683" s="230"/>
      <c r="I683" s="230"/>
      <c r="J683" s="230"/>
      <c r="K683" s="230"/>
      <c r="L683" s="230"/>
      <c r="M683" s="230"/>
      <c r="N683" s="230"/>
      <c r="O683" s="230"/>
      <c r="P683" s="230"/>
      <c r="Q683" s="230"/>
      <c r="R683" s="230"/>
      <c r="S683" s="230"/>
      <c r="T683" s="230"/>
      <c r="U683" s="230"/>
      <c r="V683" s="230"/>
      <c r="W683" s="230"/>
      <c r="X683" s="230"/>
      <c r="Y683" s="230"/>
      <c r="Z683" s="230"/>
    </row>
    <row r="684" spans="1:26" ht="15.75" customHeight="1">
      <c r="A684" s="230"/>
      <c r="B684" s="230"/>
      <c r="C684" s="230"/>
      <c r="D684" s="230"/>
      <c r="E684" s="230"/>
      <c r="F684" s="230"/>
      <c r="G684" s="230"/>
      <c r="H684" s="230"/>
      <c r="I684" s="230"/>
      <c r="J684" s="230"/>
      <c r="K684" s="230"/>
      <c r="L684" s="230"/>
      <c r="M684" s="230"/>
      <c r="N684" s="230"/>
      <c r="O684" s="230"/>
      <c r="P684" s="230"/>
      <c r="Q684" s="230"/>
      <c r="R684" s="230"/>
      <c r="S684" s="230"/>
      <c r="T684" s="230"/>
      <c r="U684" s="230"/>
      <c r="V684" s="230"/>
      <c r="W684" s="230"/>
      <c r="X684" s="230"/>
      <c r="Y684" s="230"/>
      <c r="Z684" s="230"/>
    </row>
    <row r="685" spans="1:26" ht="15.75" customHeight="1">
      <c r="A685" s="230"/>
      <c r="B685" s="230"/>
      <c r="C685" s="230"/>
      <c r="D685" s="230"/>
      <c r="E685" s="230"/>
      <c r="F685" s="230"/>
      <c r="G685" s="230"/>
      <c r="H685" s="230"/>
      <c r="I685" s="230"/>
      <c r="J685" s="230"/>
      <c r="K685" s="230"/>
      <c r="L685" s="230"/>
      <c r="M685" s="230"/>
      <c r="N685" s="230"/>
      <c r="O685" s="230"/>
      <c r="P685" s="230"/>
      <c r="Q685" s="230"/>
      <c r="R685" s="230"/>
      <c r="S685" s="230"/>
      <c r="T685" s="230"/>
      <c r="U685" s="230"/>
      <c r="V685" s="230"/>
      <c r="W685" s="230"/>
      <c r="X685" s="230"/>
      <c r="Y685" s="230"/>
      <c r="Z685" s="230"/>
    </row>
    <row r="686" spans="1:26" ht="15.75" customHeight="1">
      <c r="A686" s="230"/>
      <c r="B686" s="230"/>
      <c r="C686" s="230"/>
      <c r="D686" s="230"/>
      <c r="E686" s="230"/>
      <c r="F686" s="230"/>
      <c r="G686" s="230"/>
      <c r="H686" s="230"/>
      <c r="I686" s="230"/>
      <c r="J686" s="230"/>
      <c r="K686" s="230"/>
      <c r="L686" s="230"/>
      <c r="M686" s="230"/>
      <c r="N686" s="230"/>
      <c r="O686" s="230"/>
      <c r="P686" s="230"/>
      <c r="Q686" s="230"/>
      <c r="R686" s="230"/>
      <c r="S686" s="230"/>
      <c r="T686" s="230"/>
      <c r="U686" s="230"/>
      <c r="V686" s="230"/>
      <c r="W686" s="230"/>
      <c r="X686" s="230"/>
      <c r="Y686" s="230"/>
      <c r="Z686" s="230"/>
    </row>
    <row r="687" spans="1:26" ht="15.75" customHeight="1">
      <c r="A687" s="230"/>
      <c r="B687" s="230"/>
      <c r="C687" s="230"/>
      <c r="D687" s="230"/>
      <c r="E687" s="230"/>
      <c r="F687" s="230"/>
      <c r="G687" s="230"/>
      <c r="H687" s="230"/>
      <c r="I687" s="230"/>
      <c r="J687" s="230"/>
      <c r="K687" s="230"/>
      <c r="L687" s="230"/>
      <c r="M687" s="230"/>
      <c r="N687" s="230"/>
      <c r="O687" s="230"/>
      <c r="P687" s="230"/>
      <c r="Q687" s="230"/>
      <c r="R687" s="230"/>
      <c r="S687" s="230"/>
      <c r="T687" s="230"/>
      <c r="U687" s="230"/>
      <c r="V687" s="230"/>
      <c r="W687" s="230"/>
      <c r="X687" s="230"/>
      <c r="Y687" s="230"/>
      <c r="Z687" s="230"/>
    </row>
    <row r="688" spans="1:26" ht="15.75" customHeight="1">
      <c r="A688" s="230"/>
      <c r="B688" s="230"/>
      <c r="C688" s="230"/>
      <c r="D688" s="230"/>
      <c r="E688" s="230"/>
      <c r="F688" s="230"/>
      <c r="G688" s="230"/>
      <c r="H688" s="230"/>
      <c r="I688" s="230"/>
      <c r="J688" s="230"/>
      <c r="K688" s="230"/>
      <c r="L688" s="230"/>
      <c r="M688" s="230"/>
      <c r="N688" s="230"/>
      <c r="O688" s="230"/>
      <c r="P688" s="230"/>
      <c r="Q688" s="230"/>
      <c r="R688" s="230"/>
      <c r="S688" s="230"/>
      <c r="T688" s="230"/>
      <c r="U688" s="230"/>
      <c r="V688" s="230"/>
      <c r="W688" s="230"/>
      <c r="X688" s="230"/>
      <c r="Y688" s="230"/>
      <c r="Z688" s="230"/>
    </row>
    <row r="689" spans="1:26" ht="15.75" customHeight="1">
      <c r="A689" s="230"/>
      <c r="B689" s="230"/>
      <c r="C689" s="230"/>
      <c r="D689" s="230"/>
      <c r="E689" s="230"/>
      <c r="F689" s="230"/>
      <c r="G689" s="230"/>
      <c r="H689" s="230"/>
      <c r="I689" s="230"/>
      <c r="J689" s="230"/>
      <c r="K689" s="230"/>
      <c r="L689" s="230"/>
      <c r="M689" s="230"/>
      <c r="N689" s="230"/>
      <c r="O689" s="230"/>
      <c r="P689" s="230"/>
      <c r="Q689" s="230"/>
      <c r="R689" s="230"/>
      <c r="S689" s="230"/>
      <c r="T689" s="230"/>
      <c r="U689" s="230"/>
      <c r="V689" s="230"/>
      <c r="W689" s="230"/>
      <c r="X689" s="230"/>
      <c r="Y689" s="230"/>
      <c r="Z689" s="230"/>
    </row>
    <row r="690" spans="1:26" ht="15.75" customHeight="1">
      <c r="A690" s="230"/>
      <c r="B690" s="230"/>
      <c r="C690" s="230"/>
      <c r="D690" s="230"/>
      <c r="E690" s="230"/>
      <c r="F690" s="230"/>
      <c r="G690" s="230"/>
      <c r="H690" s="230"/>
      <c r="I690" s="230"/>
      <c r="J690" s="230"/>
      <c r="K690" s="230"/>
      <c r="L690" s="230"/>
      <c r="M690" s="230"/>
      <c r="N690" s="230"/>
      <c r="O690" s="230"/>
      <c r="P690" s="230"/>
      <c r="Q690" s="230"/>
      <c r="R690" s="230"/>
      <c r="S690" s="230"/>
      <c r="T690" s="230"/>
      <c r="U690" s="230"/>
      <c r="V690" s="230"/>
      <c r="W690" s="230"/>
      <c r="X690" s="230"/>
      <c r="Y690" s="230"/>
      <c r="Z690" s="230"/>
    </row>
    <row r="691" spans="1:26" ht="15.75" customHeight="1">
      <c r="A691" s="230"/>
      <c r="B691" s="230"/>
      <c r="C691" s="230"/>
      <c r="D691" s="230"/>
      <c r="E691" s="230"/>
      <c r="F691" s="230"/>
      <c r="G691" s="230"/>
      <c r="H691" s="230"/>
      <c r="I691" s="230"/>
      <c r="J691" s="230"/>
      <c r="K691" s="230"/>
      <c r="L691" s="230"/>
      <c r="M691" s="230"/>
      <c r="N691" s="230"/>
      <c r="O691" s="230"/>
      <c r="P691" s="230"/>
      <c r="Q691" s="230"/>
      <c r="R691" s="230"/>
      <c r="S691" s="230"/>
      <c r="T691" s="230"/>
      <c r="U691" s="230"/>
      <c r="V691" s="230"/>
      <c r="W691" s="230"/>
      <c r="X691" s="230"/>
      <c r="Y691" s="230"/>
      <c r="Z691" s="230"/>
    </row>
    <row r="692" spans="1:26" ht="15.75" customHeight="1">
      <c r="A692" s="230"/>
      <c r="B692" s="230"/>
      <c r="C692" s="230"/>
      <c r="D692" s="230"/>
      <c r="E692" s="230"/>
      <c r="F692" s="230"/>
      <c r="G692" s="230"/>
      <c r="H692" s="230"/>
      <c r="I692" s="230"/>
      <c r="J692" s="230"/>
      <c r="K692" s="230"/>
      <c r="L692" s="230"/>
      <c r="M692" s="230"/>
      <c r="N692" s="230"/>
      <c r="O692" s="230"/>
      <c r="P692" s="230"/>
      <c r="Q692" s="230"/>
      <c r="R692" s="230"/>
      <c r="S692" s="230"/>
      <c r="T692" s="230"/>
      <c r="U692" s="230"/>
      <c r="V692" s="230"/>
      <c r="W692" s="230"/>
      <c r="X692" s="230"/>
      <c r="Y692" s="230"/>
      <c r="Z692" s="230"/>
    </row>
    <row r="693" spans="1:26" ht="15.75" customHeight="1">
      <c r="A693" s="230"/>
      <c r="B693" s="230"/>
      <c r="C693" s="230"/>
      <c r="D693" s="230"/>
      <c r="E693" s="230"/>
      <c r="F693" s="230"/>
      <c r="G693" s="230"/>
      <c r="H693" s="230"/>
      <c r="I693" s="230"/>
      <c r="J693" s="230"/>
      <c r="K693" s="230"/>
      <c r="L693" s="230"/>
      <c r="M693" s="230"/>
      <c r="N693" s="230"/>
      <c r="O693" s="230"/>
      <c r="P693" s="230"/>
      <c r="Q693" s="230"/>
      <c r="R693" s="230"/>
      <c r="S693" s="230"/>
      <c r="T693" s="230"/>
      <c r="U693" s="230"/>
      <c r="V693" s="230"/>
      <c r="W693" s="230"/>
      <c r="X693" s="230"/>
      <c r="Y693" s="230"/>
      <c r="Z693" s="230"/>
    </row>
    <row r="694" spans="1:26" ht="15.75" customHeight="1">
      <c r="A694" s="230"/>
      <c r="B694" s="230"/>
      <c r="C694" s="230"/>
      <c r="D694" s="230"/>
      <c r="E694" s="230"/>
      <c r="F694" s="230"/>
      <c r="G694" s="230"/>
      <c r="H694" s="230"/>
      <c r="I694" s="230"/>
      <c r="J694" s="230"/>
      <c r="K694" s="230"/>
      <c r="L694" s="230"/>
      <c r="M694" s="230"/>
      <c r="N694" s="230"/>
      <c r="O694" s="230"/>
      <c r="P694" s="230"/>
      <c r="Q694" s="230"/>
      <c r="R694" s="230"/>
      <c r="S694" s="230"/>
      <c r="T694" s="230"/>
      <c r="U694" s="230"/>
      <c r="V694" s="230"/>
      <c r="W694" s="230"/>
      <c r="X694" s="230"/>
      <c r="Y694" s="230"/>
      <c r="Z694" s="230"/>
    </row>
    <row r="695" spans="1:26" ht="15.75" customHeight="1">
      <c r="A695" s="230"/>
      <c r="B695" s="230"/>
      <c r="C695" s="230"/>
      <c r="D695" s="230"/>
      <c r="E695" s="230"/>
      <c r="F695" s="230"/>
      <c r="G695" s="230"/>
      <c r="H695" s="230"/>
      <c r="I695" s="230"/>
      <c r="J695" s="230"/>
      <c r="K695" s="230"/>
      <c r="L695" s="230"/>
      <c r="M695" s="230"/>
      <c r="N695" s="230"/>
      <c r="O695" s="230"/>
      <c r="P695" s="230"/>
      <c r="Q695" s="230"/>
      <c r="R695" s="230"/>
      <c r="S695" s="230"/>
      <c r="T695" s="230"/>
      <c r="U695" s="230"/>
      <c r="V695" s="230"/>
      <c r="W695" s="230"/>
      <c r="X695" s="230"/>
      <c r="Y695" s="230"/>
      <c r="Z695" s="230"/>
    </row>
    <row r="696" spans="1:26" ht="15.75" customHeight="1">
      <c r="A696" s="230"/>
      <c r="B696" s="230"/>
      <c r="C696" s="230"/>
      <c r="D696" s="230"/>
      <c r="E696" s="230"/>
      <c r="F696" s="230"/>
      <c r="G696" s="230"/>
      <c r="H696" s="230"/>
      <c r="I696" s="230"/>
      <c r="J696" s="230"/>
      <c r="K696" s="230"/>
      <c r="L696" s="230"/>
      <c r="M696" s="230"/>
      <c r="N696" s="230"/>
      <c r="O696" s="230"/>
      <c r="P696" s="230"/>
      <c r="Q696" s="230"/>
      <c r="R696" s="230"/>
      <c r="S696" s="230"/>
      <c r="T696" s="230"/>
      <c r="U696" s="230"/>
      <c r="V696" s="230"/>
      <c r="W696" s="230"/>
      <c r="X696" s="230"/>
      <c r="Y696" s="230"/>
      <c r="Z696" s="230"/>
    </row>
    <row r="697" spans="1:26" ht="15.75" customHeight="1">
      <c r="A697" s="230"/>
      <c r="B697" s="230"/>
      <c r="C697" s="230"/>
      <c r="D697" s="230"/>
      <c r="E697" s="230"/>
      <c r="F697" s="230"/>
      <c r="G697" s="230"/>
      <c r="H697" s="230"/>
      <c r="I697" s="230"/>
      <c r="J697" s="230"/>
      <c r="K697" s="230"/>
      <c r="L697" s="230"/>
      <c r="M697" s="230"/>
      <c r="N697" s="230"/>
      <c r="O697" s="230"/>
      <c r="P697" s="230"/>
      <c r="Q697" s="230"/>
      <c r="R697" s="230"/>
      <c r="S697" s="230"/>
      <c r="T697" s="230"/>
      <c r="U697" s="230"/>
      <c r="V697" s="230"/>
      <c r="W697" s="230"/>
      <c r="X697" s="230"/>
      <c r="Y697" s="230"/>
      <c r="Z697" s="230"/>
    </row>
    <row r="698" spans="1:26" ht="15.75" customHeight="1">
      <c r="A698" s="230"/>
      <c r="B698" s="230"/>
      <c r="C698" s="230"/>
      <c r="D698" s="230"/>
      <c r="E698" s="230"/>
      <c r="F698" s="230"/>
      <c r="G698" s="230"/>
      <c r="H698" s="230"/>
      <c r="I698" s="230"/>
      <c r="J698" s="230"/>
      <c r="K698" s="230"/>
      <c r="L698" s="230"/>
      <c r="M698" s="230"/>
      <c r="N698" s="230"/>
      <c r="O698" s="230"/>
      <c r="P698" s="230"/>
      <c r="Q698" s="230"/>
      <c r="R698" s="230"/>
      <c r="S698" s="230"/>
      <c r="T698" s="230"/>
      <c r="U698" s="230"/>
      <c r="V698" s="230"/>
      <c r="W698" s="230"/>
      <c r="X698" s="230"/>
      <c r="Y698" s="230"/>
      <c r="Z698" s="230"/>
    </row>
    <row r="699" spans="1:26" ht="15.75" customHeight="1">
      <c r="A699" s="230"/>
      <c r="B699" s="230"/>
      <c r="C699" s="230"/>
      <c r="D699" s="230"/>
      <c r="E699" s="230"/>
      <c r="F699" s="230"/>
      <c r="G699" s="230"/>
      <c r="H699" s="230"/>
      <c r="I699" s="230"/>
      <c r="J699" s="230"/>
      <c r="K699" s="230"/>
      <c r="L699" s="230"/>
      <c r="M699" s="230"/>
      <c r="N699" s="230"/>
      <c r="O699" s="230"/>
      <c r="P699" s="230"/>
      <c r="Q699" s="230"/>
      <c r="R699" s="230"/>
      <c r="S699" s="230"/>
      <c r="T699" s="230"/>
      <c r="U699" s="230"/>
      <c r="V699" s="230"/>
      <c r="W699" s="230"/>
      <c r="X699" s="230"/>
      <c r="Y699" s="230"/>
      <c r="Z699" s="230"/>
    </row>
    <row r="700" spans="1:26" ht="15.75" customHeight="1">
      <c r="A700" s="230"/>
      <c r="B700" s="230"/>
      <c r="C700" s="230"/>
      <c r="D700" s="230"/>
      <c r="E700" s="230"/>
      <c r="F700" s="230"/>
      <c r="G700" s="230"/>
      <c r="H700" s="230"/>
      <c r="I700" s="230"/>
      <c r="J700" s="230"/>
      <c r="K700" s="230"/>
      <c r="L700" s="230"/>
      <c r="M700" s="230"/>
      <c r="N700" s="230"/>
      <c r="O700" s="230"/>
      <c r="P700" s="230"/>
      <c r="Q700" s="230"/>
      <c r="R700" s="230"/>
      <c r="S700" s="230"/>
      <c r="T700" s="230"/>
      <c r="U700" s="230"/>
      <c r="V700" s="230"/>
      <c r="W700" s="230"/>
      <c r="X700" s="230"/>
      <c r="Y700" s="230"/>
      <c r="Z700" s="230"/>
    </row>
    <row r="701" spans="1:26" ht="15.75" customHeight="1">
      <c r="A701" s="230"/>
      <c r="B701" s="230"/>
      <c r="C701" s="230"/>
      <c r="D701" s="230"/>
      <c r="E701" s="230"/>
      <c r="F701" s="230"/>
      <c r="G701" s="230"/>
      <c r="H701" s="230"/>
      <c r="I701" s="230"/>
      <c r="J701" s="230"/>
      <c r="K701" s="230"/>
      <c r="L701" s="230"/>
      <c r="M701" s="230"/>
      <c r="N701" s="230"/>
      <c r="O701" s="230"/>
      <c r="P701" s="230"/>
      <c r="Q701" s="230"/>
      <c r="R701" s="230"/>
      <c r="S701" s="230"/>
      <c r="T701" s="230"/>
      <c r="U701" s="230"/>
      <c r="V701" s="230"/>
      <c r="W701" s="230"/>
      <c r="X701" s="230"/>
      <c r="Y701" s="230"/>
      <c r="Z701" s="230"/>
    </row>
    <row r="702" spans="1:26" ht="15.75" customHeight="1">
      <c r="A702" s="230"/>
      <c r="B702" s="230"/>
      <c r="C702" s="230"/>
      <c r="D702" s="230"/>
      <c r="E702" s="230"/>
      <c r="F702" s="230"/>
      <c r="G702" s="230"/>
      <c r="H702" s="230"/>
      <c r="I702" s="230"/>
      <c r="J702" s="230"/>
      <c r="K702" s="230"/>
      <c r="L702" s="230"/>
      <c r="M702" s="230"/>
      <c r="N702" s="230"/>
      <c r="O702" s="230"/>
      <c r="P702" s="230"/>
      <c r="Q702" s="230"/>
      <c r="R702" s="230"/>
      <c r="S702" s="230"/>
      <c r="T702" s="230"/>
      <c r="U702" s="230"/>
      <c r="V702" s="230"/>
      <c r="W702" s="230"/>
      <c r="X702" s="230"/>
      <c r="Y702" s="230"/>
      <c r="Z702" s="230"/>
    </row>
    <row r="703" spans="1:26" ht="15.75" customHeight="1">
      <c r="A703" s="230"/>
      <c r="B703" s="230"/>
      <c r="C703" s="230"/>
      <c r="D703" s="230"/>
      <c r="E703" s="230"/>
      <c r="F703" s="230"/>
      <c r="G703" s="230"/>
      <c r="H703" s="230"/>
      <c r="I703" s="230"/>
      <c r="J703" s="230"/>
      <c r="K703" s="230"/>
      <c r="L703" s="230"/>
      <c r="M703" s="230"/>
      <c r="N703" s="230"/>
      <c r="O703" s="230"/>
      <c r="P703" s="230"/>
      <c r="Q703" s="230"/>
      <c r="R703" s="230"/>
      <c r="S703" s="230"/>
      <c r="T703" s="230"/>
      <c r="U703" s="230"/>
      <c r="V703" s="230"/>
      <c r="W703" s="230"/>
      <c r="X703" s="230"/>
      <c r="Y703" s="230"/>
      <c r="Z703" s="230"/>
    </row>
    <row r="704" spans="1:26" ht="15.75" customHeight="1">
      <c r="A704" s="230"/>
      <c r="B704" s="230"/>
      <c r="C704" s="230"/>
      <c r="D704" s="230"/>
      <c r="E704" s="230"/>
      <c r="F704" s="230"/>
      <c r="G704" s="230"/>
      <c r="H704" s="230"/>
      <c r="I704" s="230"/>
      <c r="J704" s="230"/>
      <c r="K704" s="230"/>
      <c r="L704" s="230"/>
      <c r="M704" s="230"/>
      <c r="N704" s="230"/>
      <c r="O704" s="230"/>
      <c r="P704" s="230"/>
      <c r="Q704" s="230"/>
      <c r="R704" s="230"/>
      <c r="S704" s="230"/>
      <c r="T704" s="230"/>
      <c r="U704" s="230"/>
      <c r="V704" s="230"/>
      <c r="W704" s="230"/>
      <c r="X704" s="230"/>
      <c r="Y704" s="230"/>
      <c r="Z704" s="230"/>
    </row>
    <row r="705" spans="1:26" ht="15.75" customHeight="1">
      <c r="A705" s="230"/>
      <c r="B705" s="230"/>
      <c r="C705" s="230"/>
      <c r="D705" s="230"/>
      <c r="E705" s="230"/>
      <c r="F705" s="230"/>
      <c r="G705" s="230"/>
      <c r="H705" s="230"/>
      <c r="I705" s="230"/>
      <c r="J705" s="230"/>
      <c r="K705" s="230"/>
      <c r="L705" s="230"/>
      <c r="M705" s="230"/>
      <c r="N705" s="230"/>
      <c r="O705" s="230"/>
      <c r="P705" s="230"/>
      <c r="Q705" s="230"/>
      <c r="R705" s="230"/>
      <c r="S705" s="230"/>
      <c r="T705" s="230"/>
      <c r="U705" s="230"/>
      <c r="V705" s="230"/>
      <c r="W705" s="230"/>
      <c r="X705" s="230"/>
      <c r="Y705" s="230"/>
      <c r="Z705" s="230"/>
    </row>
    <row r="706" spans="1:26" ht="15.75" customHeight="1">
      <c r="A706" s="230"/>
      <c r="B706" s="230"/>
      <c r="C706" s="230"/>
      <c r="D706" s="230"/>
      <c r="E706" s="230"/>
      <c r="F706" s="230"/>
      <c r="G706" s="230"/>
      <c r="H706" s="230"/>
      <c r="I706" s="230"/>
      <c r="J706" s="230"/>
      <c r="K706" s="230"/>
      <c r="L706" s="230"/>
      <c r="M706" s="230"/>
      <c r="N706" s="230"/>
      <c r="O706" s="230"/>
      <c r="P706" s="230"/>
      <c r="Q706" s="230"/>
      <c r="R706" s="230"/>
      <c r="S706" s="230"/>
      <c r="T706" s="230"/>
      <c r="U706" s="230"/>
      <c r="V706" s="230"/>
      <c r="W706" s="230"/>
      <c r="X706" s="230"/>
      <c r="Y706" s="230"/>
      <c r="Z706" s="230"/>
    </row>
    <row r="707" spans="1:26" ht="15.75" customHeight="1">
      <c r="A707" s="230"/>
      <c r="B707" s="230"/>
      <c r="C707" s="230"/>
      <c r="D707" s="230"/>
      <c r="E707" s="230"/>
      <c r="F707" s="230"/>
      <c r="G707" s="230"/>
      <c r="H707" s="230"/>
      <c r="I707" s="230"/>
      <c r="J707" s="230"/>
      <c r="K707" s="230"/>
      <c r="L707" s="230"/>
      <c r="M707" s="230"/>
      <c r="N707" s="230"/>
      <c r="O707" s="230"/>
      <c r="P707" s="230"/>
      <c r="Q707" s="230"/>
      <c r="R707" s="230"/>
      <c r="S707" s="230"/>
      <c r="T707" s="230"/>
      <c r="U707" s="230"/>
      <c r="V707" s="230"/>
      <c r="W707" s="230"/>
      <c r="X707" s="230"/>
      <c r="Y707" s="230"/>
      <c r="Z707" s="230"/>
    </row>
    <row r="708" spans="1:26" ht="15.75" customHeight="1">
      <c r="A708" s="230"/>
      <c r="B708" s="230"/>
      <c r="C708" s="230"/>
      <c r="D708" s="230"/>
      <c r="E708" s="230"/>
      <c r="F708" s="230"/>
      <c r="G708" s="230"/>
      <c r="H708" s="230"/>
      <c r="I708" s="230"/>
      <c r="J708" s="230"/>
      <c r="K708" s="230"/>
      <c r="L708" s="230"/>
      <c r="M708" s="230"/>
      <c r="N708" s="230"/>
      <c r="O708" s="230"/>
      <c r="P708" s="230"/>
      <c r="Q708" s="230"/>
      <c r="R708" s="230"/>
      <c r="S708" s="230"/>
      <c r="T708" s="230"/>
      <c r="U708" s="230"/>
      <c r="V708" s="230"/>
      <c r="W708" s="230"/>
      <c r="X708" s="230"/>
      <c r="Y708" s="230"/>
      <c r="Z708" s="230"/>
    </row>
    <row r="709" spans="1:26" ht="15.75" customHeight="1">
      <c r="A709" s="230"/>
      <c r="B709" s="230"/>
      <c r="C709" s="230"/>
      <c r="D709" s="230"/>
      <c r="E709" s="230"/>
      <c r="F709" s="230"/>
      <c r="G709" s="230"/>
      <c r="H709" s="230"/>
      <c r="I709" s="230"/>
      <c r="J709" s="230"/>
      <c r="K709" s="230"/>
      <c r="L709" s="230"/>
      <c r="M709" s="230"/>
      <c r="N709" s="230"/>
      <c r="O709" s="230"/>
      <c r="P709" s="230"/>
      <c r="Q709" s="230"/>
      <c r="R709" s="230"/>
      <c r="S709" s="230"/>
      <c r="T709" s="230"/>
      <c r="U709" s="230"/>
      <c r="V709" s="230"/>
      <c r="W709" s="230"/>
      <c r="X709" s="230"/>
      <c r="Y709" s="230"/>
      <c r="Z709" s="230"/>
    </row>
    <row r="710" spans="1:26" ht="15.75" customHeight="1">
      <c r="A710" s="230"/>
      <c r="B710" s="230"/>
      <c r="C710" s="230"/>
      <c r="D710" s="230"/>
      <c r="E710" s="230"/>
      <c r="F710" s="230"/>
      <c r="G710" s="230"/>
      <c r="H710" s="230"/>
      <c r="I710" s="230"/>
      <c r="J710" s="230"/>
      <c r="K710" s="230"/>
      <c r="L710" s="230"/>
      <c r="M710" s="230"/>
      <c r="N710" s="230"/>
      <c r="O710" s="230"/>
      <c r="P710" s="230"/>
      <c r="Q710" s="230"/>
      <c r="R710" s="230"/>
      <c r="S710" s="230"/>
      <c r="T710" s="230"/>
      <c r="U710" s="230"/>
      <c r="V710" s="230"/>
      <c r="W710" s="230"/>
      <c r="X710" s="230"/>
      <c r="Y710" s="230"/>
      <c r="Z710" s="230"/>
    </row>
    <row r="711" spans="1:26" ht="15.75" customHeight="1">
      <c r="A711" s="230"/>
      <c r="B711" s="230"/>
      <c r="C711" s="230"/>
      <c r="D711" s="230"/>
      <c r="E711" s="230"/>
      <c r="F711" s="230"/>
      <c r="G711" s="230"/>
      <c r="H711" s="230"/>
      <c r="I711" s="230"/>
      <c r="J711" s="230"/>
      <c r="K711" s="230"/>
      <c r="L711" s="230"/>
      <c r="M711" s="230"/>
      <c r="N711" s="230"/>
      <c r="O711" s="230"/>
      <c r="P711" s="230"/>
      <c r="Q711" s="230"/>
      <c r="R711" s="230"/>
      <c r="S711" s="230"/>
      <c r="T711" s="230"/>
      <c r="U711" s="230"/>
      <c r="V711" s="230"/>
      <c r="W711" s="230"/>
      <c r="X711" s="230"/>
      <c r="Y711" s="230"/>
      <c r="Z711" s="230"/>
    </row>
    <row r="712" spans="1:26" ht="15.75" customHeight="1">
      <c r="A712" s="230"/>
      <c r="B712" s="230"/>
      <c r="C712" s="230"/>
      <c r="D712" s="230"/>
      <c r="E712" s="230"/>
      <c r="F712" s="230"/>
      <c r="G712" s="230"/>
      <c r="H712" s="230"/>
      <c r="I712" s="230"/>
      <c r="J712" s="230"/>
      <c r="K712" s="230"/>
      <c r="L712" s="230"/>
      <c r="M712" s="230"/>
      <c r="N712" s="230"/>
      <c r="O712" s="230"/>
      <c r="P712" s="230"/>
      <c r="Q712" s="230"/>
      <c r="R712" s="230"/>
      <c r="S712" s="230"/>
      <c r="T712" s="230"/>
      <c r="U712" s="230"/>
      <c r="V712" s="230"/>
      <c r="W712" s="230"/>
      <c r="X712" s="230"/>
      <c r="Y712" s="230"/>
      <c r="Z712" s="230"/>
    </row>
    <row r="713" spans="1:26" ht="15.75" customHeight="1">
      <c r="A713" s="230"/>
      <c r="B713" s="230"/>
      <c r="C713" s="230"/>
      <c r="D713" s="230"/>
      <c r="E713" s="230"/>
      <c r="F713" s="230"/>
      <c r="G713" s="230"/>
      <c r="H713" s="230"/>
      <c r="I713" s="230"/>
      <c r="J713" s="230"/>
      <c r="K713" s="230"/>
      <c r="L713" s="230"/>
      <c r="M713" s="230"/>
      <c r="N713" s="230"/>
      <c r="O713" s="230"/>
      <c r="P713" s="230"/>
      <c r="Q713" s="230"/>
      <c r="R713" s="230"/>
      <c r="S713" s="230"/>
      <c r="T713" s="230"/>
      <c r="U713" s="230"/>
      <c r="V713" s="230"/>
      <c r="W713" s="230"/>
      <c r="X713" s="230"/>
      <c r="Y713" s="230"/>
      <c r="Z713" s="230"/>
    </row>
    <row r="714" spans="1:26" ht="15.75" customHeight="1">
      <c r="A714" s="230"/>
      <c r="B714" s="230"/>
      <c r="C714" s="230"/>
      <c r="D714" s="230"/>
      <c r="E714" s="230"/>
      <c r="F714" s="230"/>
      <c r="G714" s="230"/>
      <c r="H714" s="230"/>
      <c r="I714" s="230"/>
      <c r="J714" s="230"/>
      <c r="K714" s="230"/>
      <c r="L714" s="230"/>
      <c r="M714" s="230"/>
      <c r="N714" s="230"/>
      <c r="O714" s="230"/>
      <c r="P714" s="230"/>
      <c r="Q714" s="230"/>
      <c r="R714" s="230"/>
      <c r="S714" s="230"/>
      <c r="T714" s="230"/>
      <c r="U714" s="230"/>
      <c r="V714" s="230"/>
      <c r="W714" s="230"/>
      <c r="X714" s="230"/>
      <c r="Y714" s="230"/>
      <c r="Z714" s="230"/>
    </row>
    <row r="715" spans="1:26" ht="15.75" customHeight="1">
      <c r="A715" s="230"/>
      <c r="B715" s="230"/>
      <c r="C715" s="230"/>
      <c r="D715" s="230"/>
      <c r="E715" s="230"/>
      <c r="F715" s="230"/>
      <c r="G715" s="230"/>
      <c r="H715" s="230"/>
      <c r="I715" s="230"/>
      <c r="J715" s="230"/>
      <c r="K715" s="230"/>
      <c r="L715" s="230"/>
      <c r="M715" s="230"/>
      <c r="N715" s="230"/>
      <c r="O715" s="230"/>
      <c r="P715" s="230"/>
      <c r="Q715" s="230"/>
      <c r="R715" s="230"/>
      <c r="S715" s="230"/>
      <c r="T715" s="230"/>
      <c r="U715" s="230"/>
      <c r="V715" s="230"/>
      <c r="W715" s="230"/>
      <c r="X715" s="230"/>
      <c r="Y715" s="230"/>
      <c r="Z715" s="230"/>
    </row>
    <row r="716" spans="1:26" ht="15.75" customHeight="1">
      <c r="A716" s="230"/>
      <c r="B716" s="230"/>
      <c r="C716" s="230"/>
      <c r="D716" s="230"/>
      <c r="E716" s="230"/>
      <c r="F716" s="230"/>
      <c r="G716" s="230"/>
      <c r="H716" s="230"/>
      <c r="I716" s="230"/>
      <c r="J716" s="230"/>
      <c r="K716" s="230"/>
      <c r="L716" s="230"/>
      <c r="M716" s="230"/>
      <c r="N716" s="230"/>
      <c r="O716" s="230"/>
      <c r="P716" s="230"/>
      <c r="Q716" s="230"/>
      <c r="R716" s="230"/>
      <c r="S716" s="230"/>
      <c r="T716" s="230"/>
      <c r="U716" s="230"/>
      <c r="V716" s="230"/>
      <c r="W716" s="230"/>
      <c r="X716" s="230"/>
      <c r="Y716" s="230"/>
      <c r="Z716" s="230"/>
    </row>
    <row r="717" spans="1:26" ht="15.75" customHeight="1">
      <c r="A717" s="230"/>
      <c r="B717" s="230"/>
      <c r="C717" s="230"/>
      <c r="D717" s="230"/>
      <c r="E717" s="230"/>
      <c r="F717" s="230"/>
      <c r="G717" s="230"/>
      <c r="H717" s="230"/>
      <c r="I717" s="230"/>
      <c r="J717" s="230"/>
      <c r="K717" s="230"/>
      <c r="L717" s="230"/>
      <c r="M717" s="230"/>
      <c r="N717" s="230"/>
      <c r="O717" s="230"/>
      <c r="P717" s="230"/>
      <c r="Q717" s="230"/>
      <c r="R717" s="230"/>
      <c r="S717" s="230"/>
      <c r="T717" s="230"/>
      <c r="U717" s="230"/>
      <c r="V717" s="230"/>
      <c r="W717" s="230"/>
      <c r="X717" s="230"/>
      <c r="Y717" s="230"/>
      <c r="Z717" s="230"/>
    </row>
    <row r="718" spans="1:26" ht="15.75" customHeight="1">
      <c r="A718" s="230"/>
      <c r="B718" s="230"/>
      <c r="C718" s="230"/>
      <c r="D718" s="230"/>
      <c r="E718" s="230"/>
      <c r="F718" s="230"/>
      <c r="G718" s="230"/>
      <c r="H718" s="230"/>
      <c r="I718" s="230"/>
      <c r="J718" s="230"/>
      <c r="K718" s="230"/>
      <c r="L718" s="230"/>
      <c r="M718" s="230"/>
      <c r="N718" s="230"/>
      <c r="O718" s="230"/>
      <c r="P718" s="230"/>
      <c r="Q718" s="230"/>
      <c r="R718" s="230"/>
      <c r="S718" s="230"/>
      <c r="T718" s="230"/>
      <c r="U718" s="230"/>
      <c r="V718" s="230"/>
      <c r="W718" s="230"/>
      <c r="X718" s="230"/>
      <c r="Y718" s="230"/>
      <c r="Z718" s="230"/>
    </row>
    <row r="719" spans="1:26" ht="15.75" customHeight="1">
      <c r="A719" s="230"/>
      <c r="B719" s="230"/>
      <c r="C719" s="230"/>
      <c r="D719" s="230"/>
      <c r="E719" s="230"/>
      <c r="F719" s="230"/>
      <c r="G719" s="230"/>
      <c r="H719" s="230"/>
      <c r="I719" s="230"/>
      <c r="J719" s="230"/>
      <c r="K719" s="230"/>
      <c r="L719" s="230"/>
      <c r="M719" s="230"/>
      <c r="N719" s="230"/>
      <c r="O719" s="230"/>
      <c r="P719" s="230"/>
      <c r="Q719" s="230"/>
      <c r="R719" s="230"/>
      <c r="S719" s="230"/>
      <c r="T719" s="230"/>
      <c r="U719" s="230"/>
      <c r="V719" s="230"/>
      <c r="W719" s="230"/>
      <c r="X719" s="230"/>
      <c r="Y719" s="230"/>
      <c r="Z719" s="230"/>
    </row>
    <row r="720" spans="1:26" ht="15.75" customHeight="1">
      <c r="A720" s="230"/>
      <c r="B720" s="230"/>
      <c r="C720" s="230"/>
      <c r="D720" s="230"/>
      <c r="E720" s="230"/>
      <c r="F720" s="230"/>
      <c r="G720" s="230"/>
      <c r="H720" s="230"/>
      <c r="I720" s="230"/>
      <c r="J720" s="230"/>
      <c r="K720" s="230"/>
      <c r="L720" s="230"/>
      <c r="M720" s="230"/>
      <c r="N720" s="230"/>
      <c r="O720" s="230"/>
      <c r="P720" s="230"/>
      <c r="Q720" s="230"/>
      <c r="R720" s="230"/>
      <c r="S720" s="230"/>
      <c r="T720" s="230"/>
      <c r="U720" s="230"/>
      <c r="V720" s="230"/>
      <c r="W720" s="230"/>
      <c r="X720" s="230"/>
      <c r="Y720" s="230"/>
      <c r="Z720" s="230"/>
    </row>
    <row r="721" spans="1:26" ht="15.75" customHeight="1">
      <c r="A721" s="230"/>
      <c r="B721" s="230"/>
      <c r="C721" s="230"/>
      <c r="D721" s="230"/>
      <c r="E721" s="230"/>
      <c r="F721" s="230"/>
      <c r="G721" s="230"/>
      <c r="H721" s="230"/>
      <c r="I721" s="230"/>
      <c r="J721" s="230"/>
      <c r="K721" s="230"/>
      <c r="L721" s="230"/>
      <c r="M721" s="230"/>
      <c r="N721" s="230"/>
      <c r="O721" s="230"/>
      <c r="P721" s="230"/>
      <c r="Q721" s="230"/>
      <c r="R721" s="230"/>
      <c r="S721" s="230"/>
      <c r="T721" s="230"/>
      <c r="U721" s="230"/>
      <c r="V721" s="230"/>
      <c r="W721" s="230"/>
      <c r="X721" s="230"/>
      <c r="Y721" s="230"/>
      <c r="Z721" s="230"/>
    </row>
    <row r="722" spans="1:26" ht="15.75" customHeight="1">
      <c r="A722" s="230"/>
      <c r="B722" s="230"/>
      <c r="C722" s="230"/>
      <c r="D722" s="230"/>
      <c r="E722" s="230"/>
      <c r="F722" s="230"/>
      <c r="G722" s="230"/>
      <c r="H722" s="230"/>
      <c r="I722" s="230"/>
      <c r="J722" s="230"/>
      <c r="K722" s="230"/>
      <c r="L722" s="230"/>
      <c r="M722" s="230"/>
      <c r="N722" s="230"/>
      <c r="O722" s="230"/>
      <c r="P722" s="230"/>
      <c r="Q722" s="230"/>
      <c r="R722" s="230"/>
      <c r="S722" s="230"/>
      <c r="T722" s="230"/>
      <c r="U722" s="230"/>
      <c r="V722" s="230"/>
      <c r="W722" s="230"/>
      <c r="X722" s="230"/>
      <c r="Y722" s="230"/>
      <c r="Z722" s="230"/>
    </row>
    <row r="723" spans="1:26" ht="15.75" customHeight="1">
      <c r="A723" s="230"/>
      <c r="B723" s="230"/>
      <c r="C723" s="230"/>
      <c r="D723" s="230"/>
      <c r="E723" s="230"/>
      <c r="F723" s="230"/>
      <c r="G723" s="230"/>
      <c r="H723" s="230"/>
      <c r="I723" s="230"/>
      <c r="J723" s="230"/>
      <c r="K723" s="230"/>
      <c r="L723" s="230"/>
      <c r="M723" s="230"/>
      <c r="N723" s="230"/>
      <c r="O723" s="230"/>
      <c r="P723" s="230"/>
      <c r="Q723" s="230"/>
      <c r="R723" s="230"/>
      <c r="S723" s="230"/>
      <c r="T723" s="230"/>
      <c r="U723" s="230"/>
      <c r="V723" s="230"/>
      <c r="W723" s="230"/>
      <c r="X723" s="230"/>
      <c r="Y723" s="230"/>
      <c r="Z723" s="230"/>
    </row>
    <row r="724" spans="1:26" ht="15.75" customHeight="1">
      <c r="A724" s="230"/>
      <c r="B724" s="230"/>
      <c r="C724" s="230"/>
      <c r="D724" s="230"/>
      <c r="E724" s="230"/>
      <c r="F724" s="230"/>
      <c r="G724" s="230"/>
      <c r="H724" s="230"/>
      <c r="I724" s="230"/>
      <c r="J724" s="230"/>
      <c r="K724" s="230"/>
      <c r="L724" s="230"/>
      <c r="M724" s="230"/>
      <c r="N724" s="230"/>
      <c r="O724" s="230"/>
      <c r="P724" s="230"/>
      <c r="Q724" s="230"/>
      <c r="R724" s="230"/>
      <c r="S724" s="230"/>
      <c r="T724" s="230"/>
      <c r="U724" s="230"/>
      <c r="V724" s="230"/>
      <c r="W724" s="230"/>
      <c r="X724" s="230"/>
      <c r="Y724" s="230"/>
      <c r="Z724" s="230"/>
    </row>
    <row r="725" spans="1:26" ht="15.75" customHeight="1">
      <c r="A725" s="230"/>
      <c r="B725" s="230"/>
      <c r="C725" s="230"/>
      <c r="D725" s="230"/>
      <c r="E725" s="230"/>
      <c r="F725" s="230"/>
      <c r="G725" s="230"/>
      <c r="H725" s="230"/>
      <c r="I725" s="230"/>
      <c r="J725" s="230"/>
      <c r="K725" s="230"/>
      <c r="L725" s="230"/>
      <c r="M725" s="230"/>
      <c r="N725" s="230"/>
      <c r="O725" s="230"/>
      <c r="P725" s="230"/>
      <c r="Q725" s="230"/>
      <c r="R725" s="230"/>
      <c r="S725" s="230"/>
      <c r="T725" s="230"/>
      <c r="U725" s="230"/>
      <c r="V725" s="230"/>
      <c r="W725" s="230"/>
      <c r="X725" s="230"/>
      <c r="Y725" s="230"/>
      <c r="Z725" s="230"/>
    </row>
    <row r="726" spans="1:26" ht="15.75" customHeight="1">
      <c r="A726" s="230"/>
      <c r="B726" s="230"/>
      <c r="C726" s="230"/>
      <c r="D726" s="230"/>
      <c r="E726" s="230"/>
      <c r="F726" s="230"/>
      <c r="G726" s="230"/>
      <c r="H726" s="230"/>
      <c r="I726" s="230"/>
      <c r="J726" s="230"/>
      <c r="K726" s="230"/>
      <c r="L726" s="230"/>
      <c r="M726" s="230"/>
      <c r="N726" s="230"/>
      <c r="O726" s="230"/>
      <c r="P726" s="230"/>
      <c r="Q726" s="230"/>
      <c r="R726" s="230"/>
      <c r="S726" s="230"/>
      <c r="T726" s="230"/>
      <c r="U726" s="230"/>
      <c r="V726" s="230"/>
      <c r="W726" s="230"/>
      <c r="X726" s="230"/>
      <c r="Y726" s="230"/>
      <c r="Z726" s="230"/>
    </row>
    <row r="727" spans="1:26" ht="15.75" customHeight="1">
      <c r="A727" s="230"/>
      <c r="B727" s="230"/>
      <c r="C727" s="230"/>
      <c r="D727" s="230"/>
      <c r="E727" s="230"/>
      <c r="F727" s="230"/>
      <c r="G727" s="230"/>
      <c r="H727" s="230"/>
      <c r="I727" s="230"/>
      <c r="J727" s="230"/>
      <c r="K727" s="230"/>
      <c r="L727" s="230"/>
      <c r="M727" s="230"/>
      <c r="N727" s="230"/>
      <c r="O727" s="230"/>
      <c r="P727" s="230"/>
      <c r="Q727" s="230"/>
      <c r="R727" s="230"/>
      <c r="S727" s="230"/>
      <c r="T727" s="230"/>
      <c r="U727" s="230"/>
      <c r="V727" s="230"/>
      <c r="W727" s="230"/>
      <c r="X727" s="230"/>
      <c r="Y727" s="230"/>
      <c r="Z727" s="230"/>
    </row>
    <row r="728" spans="1:26" ht="15.75" customHeight="1">
      <c r="A728" s="230"/>
      <c r="B728" s="230"/>
      <c r="C728" s="230"/>
      <c r="D728" s="230"/>
      <c r="E728" s="230"/>
      <c r="F728" s="230"/>
      <c r="G728" s="230"/>
      <c r="H728" s="230"/>
      <c r="I728" s="230"/>
      <c r="J728" s="230"/>
      <c r="K728" s="230"/>
      <c r="L728" s="230"/>
      <c r="M728" s="230"/>
      <c r="N728" s="230"/>
      <c r="O728" s="230"/>
      <c r="P728" s="230"/>
      <c r="Q728" s="230"/>
      <c r="R728" s="230"/>
      <c r="S728" s="230"/>
      <c r="T728" s="230"/>
      <c r="U728" s="230"/>
      <c r="V728" s="230"/>
      <c r="W728" s="230"/>
      <c r="X728" s="230"/>
      <c r="Y728" s="230"/>
      <c r="Z728" s="230"/>
    </row>
    <row r="729" spans="1:26" ht="15.75" customHeight="1">
      <c r="A729" s="230"/>
      <c r="B729" s="230"/>
      <c r="C729" s="230"/>
      <c r="D729" s="230"/>
      <c r="E729" s="230"/>
      <c r="F729" s="230"/>
      <c r="G729" s="230"/>
      <c r="H729" s="230"/>
      <c r="I729" s="230"/>
      <c r="J729" s="230"/>
      <c r="K729" s="230"/>
      <c r="L729" s="230"/>
      <c r="M729" s="230"/>
      <c r="N729" s="230"/>
      <c r="O729" s="230"/>
      <c r="P729" s="230"/>
      <c r="Q729" s="230"/>
      <c r="R729" s="230"/>
      <c r="S729" s="230"/>
      <c r="T729" s="230"/>
      <c r="U729" s="230"/>
      <c r="V729" s="230"/>
      <c r="W729" s="230"/>
      <c r="X729" s="230"/>
      <c r="Y729" s="230"/>
      <c r="Z729" s="230"/>
    </row>
    <row r="730" spans="1:26" ht="15.75" customHeight="1">
      <c r="A730" s="230"/>
      <c r="B730" s="230"/>
      <c r="C730" s="230"/>
      <c r="D730" s="230"/>
      <c r="E730" s="230"/>
      <c r="F730" s="230"/>
      <c r="G730" s="230"/>
      <c r="H730" s="230"/>
      <c r="I730" s="230"/>
      <c r="J730" s="230"/>
      <c r="K730" s="230"/>
      <c r="L730" s="230"/>
      <c r="M730" s="230"/>
      <c r="N730" s="230"/>
      <c r="O730" s="230"/>
      <c r="P730" s="230"/>
      <c r="Q730" s="230"/>
      <c r="R730" s="230"/>
      <c r="S730" s="230"/>
      <c r="T730" s="230"/>
      <c r="U730" s="230"/>
      <c r="V730" s="230"/>
      <c r="W730" s="230"/>
      <c r="X730" s="230"/>
      <c r="Y730" s="230"/>
      <c r="Z730" s="230"/>
    </row>
    <row r="731" spans="1:26" ht="15.75" customHeight="1">
      <c r="A731" s="230"/>
      <c r="B731" s="230"/>
      <c r="C731" s="230"/>
      <c r="D731" s="230"/>
      <c r="E731" s="230"/>
      <c r="F731" s="230"/>
      <c r="G731" s="230"/>
      <c r="H731" s="230"/>
      <c r="I731" s="230"/>
      <c r="J731" s="230"/>
      <c r="K731" s="230"/>
      <c r="L731" s="230"/>
      <c r="M731" s="230"/>
      <c r="N731" s="230"/>
      <c r="O731" s="230"/>
      <c r="P731" s="230"/>
      <c r="Q731" s="230"/>
      <c r="R731" s="230"/>
      <c r="S731" s="230"/>
      <c r="T731" s="230"/>
      <c r="U731" s="230"/>
      <c r="V731" s="230"/>
      <c r="W731" s="230"/>
      <c r="X731" s="230"/>
      <c r="Y731" s="230"/>
      <c r="Z731" s="230"/>
    </row>
    <row r="732" spans="1:26" ht="15.75" customHeight="1">
      <c r="A732" s="230"/>
      <c r="B732" s="230"/>
      <c r="C732" s="230"/>
      <c r="D732" s="230"/>
      <c r="E732" s="230"/>
      <c r="F732" s="230"/>
      <c r="G732" s="230"/>
      <c r="H732" s="230"/>
      <c r="I732" s="230"/>
      <c r="J732" s="230"/>
      <c r="K732" s="230"/>
      <c r="L732" s="230"/>
      <c r="M732" s="230"/>
      <c r="N732" s="230"/>
      <c r="O732" s="230"/>
      <c r="P732" s="230"/>
      <c r="Q732" s="230"/>
      <c r="R732" s="230"/>
      <c r="S732" s="230"/>
      <c r="T732" s="230"/>
      <c r="U732" s="230"/>
      <c r="V732" s="230"/>
      <c r="W732" s="230"/>
      <c r="X732" s="230"/>
      <c r="Y732" s="230"/>
      <c r="Z732" s="230"/>
    </row>
    <row r="733" spans="1:26" ht="15.75" customHeight="1">
      <c r="A733" s="230"/>
      <c r="B733" s="230"/>
      <c r="C733" s="230"/>
      <c r="D733" s="230"/>
      <c r="E733" s="230"/>
      <c r="F733" s="230"/>
      <c r="G733" s="230"/>
      <c r="H733" s="230"/>
      <c r="I733" s="230"/>
      <c r="J733" s="230"/>
      <c r="K733" s="230"/>
      <c r="L733" s="230"/>
      <c r="M733" s="230"/>
      <c r="N733" s="230"/>
      <c r="O733" s="230"/>
      <c r="P733" s="230"/>
      <c r="Q733" s="230"/>
      <c r="R733" s="230"/>
      <c r="S733" s="230"/>
      <c r="T733" s="230"/>
      <c r="U733" s="230"/>
      <c r="V733" s="230"/>
      <c r="W733" s="230"/>
      <c r="X733" s="230"/>
      <c r="Y733" s="230"/>
      <c r="Z733" s="230"/>
    </row>
    <row r="734" spans="1:26" ht="15.75" customHeight="1">
      <c r="A734" s="230"/>
      <c r="B734" s="230"/>
      <c r="C734" s="230"/>
      <c r="D734" s="230"/>
      <c r="E734" s="230"/>
      <c r="F734" s="230"/>
      <c r="G734" s="230"/>
      <c r="H734" s="230"/>
      <c r="I734" s="230"/>
      <c r="J734" s="230"/>
      <c r="K734" s="230"/>
      <c r="L734" s="230"/>
      <c r="M734" s="230"/>
      <c r="N734" s="230"/>
      <c r="O734" s="230"/>
      <c r="P734" s="230"/>
      <c r="Q734" s="230"/>
      <c r="R734" s="230"/>
      <c r="S734" s="230"/>
      <c r="T734" s="230"/>
      <c r="U734" s="230"/>
      <c r="V734" s="230"/>
      <c r="W734" s="230"/>
      <c r="X734" s="230"/>
      <c r="Y734" s="230"/>
      <c r="Z734" s="230"/>
    </row>
    <row r="735" spans="1:26" ht="15.75" customHeight="1">
      <c r="A735" s="230"/>
      <c r="B735" s="230"/>
      <c r="C735" s="230"/>
      <c r="D735" s="230"/>
      <c r="E735" s="230"/>
      <c r="F735" s="230"/>
      <c r="G735" s="230"/>
      <c r="H735" s="230"/>
      <c r="I735" s="230"/>
      <c r="J735" s="230"/>
      <c r="K735" s="230"/>
      <c r="L735" s="230"/>
      <c r="M735" s="230"/>
      <c r="N735" s="230"/>
      <c r="O735" s="230"/>
      <c r="P735" s="230"/>
      <c r="Q735" s="230"/>
      <c r="R735" s="230"/>
      <c r="S735" s="230"/>
      <c r="T735" s="230"/>
      <c r="U735" s="230"/>
      <c r="V735" s="230"/>
      <c r="W735" s="230"/>
      <c r="X735" s="230"/>
      <c r="Y735" s="230"/>
      <c r="Z735" s="230"/>
    </row>
    <row r="736" spans="1:26" ht="15.75" customHeight="1">
      <c r="A736" s="230"/>
      <c r="B736" s="230"/>
      <c r="C736" s="230"/>
      <c r="D736" s="230"/>
      <c r="E736" s="230"/>
      <c r="F736" s="230"/>
      <c r="G736" s="230"/>
      <c r="H736" s="230"/>
      <c r="I736" s="230"/>
      <c r="J736" s="230"/>
      <c r="K736" s="230"/>
      <c r="L736" s="230"/>
      <c r="M736" s="230"/>
      <c r="N736" s="230"/>
      <c r="O736" s="230"/>
      <c r="P736" s="230"/>
      <c r="Q736" s="230"/>
      <c r="R736" s="230"/>
      <c r="S736" s="230"/>
      <c r="T736" s="230"/>
      <c r="U736" s="230"/>
      <c r="V736" s="230"/>
      <c r="W736" s="230"/>
      <c r="X736" s="230"/>
      <c r="Y736" s="230"/>
      <c r="Z736" s="230"/>
    </row>
    <row r="737" spans="1:26" ht="15.75" customHeight="1">
      <c r="A737" s="230"/>
      <c r="B737" s="230"/>
      <c r="C737" s="230"/>
      <c r="D737" s="230"/>
      <c r="E737" s="230"/>
      <c r="F737" s="230"/>
      <c r="G737" s="230"/>
      <c r="H737" s="230"/>
      <c r="I737" s="230"/>
      <c r="J737" s="230"/>
      <c r="K737" s="230"/>
      <c r="L737" s="230"/>
      <c r="M737" s="230"/>
      <c r="N737" s="230"/>
      <c r="O737" s="230"/>
      <c r="P737" s="230"/>
      <c r="Q737" s="230"/>
      <c r="R737" s="230"/>
      <c r="S737" s="230"/>
      <c r="T737" s="230"/>
      <c r="U737" s="230"/>
      <c r="V737" s="230"/>
      <c r="W737" s="230"/>
      <c r="X737" s="230"/>
      <c r="Y737" s="230"/>
      <c r="Z737" s="230"/>
    </row>
    <row r="738" spans="1:26" ht="15.75" customHeight="1">
      <c r="A738" s="230"/>
      <c r="B738" s="230"/>
      <c r="C738" s="230"/>
      <c r="D738" s="230"/>
      <c r="E738" s="230"/>
      <c r="F738" s="230"/>
      <c r="G738" s="230"/>
      <c r="H738" s="230"/>
      <c r="I738" s="230"/>
      <c r="J738" s="230"/>
      <c r="K738" s="230"/>
      <c r="L738" s="230"/>
      <c r="M738" s="230"/>
      <c r="N738" s="230"/>
      <c r="O738" s="230"/>
      <c r="P738" s="230"/>
      <c r="Q738" s="230"/>
      <c r="R738" s="230"/>
      <c r="S738" s="230"/>
      <c r="T738" s="230"/>
      <c r="U738" s="230"/>
      <c r="V738" s="230"/>
      <c r="W738" s="230"/>
      <c r="X738" s="230"/>
      <c r="Y738" s="230"/>
      <c r="Z738" s="230"/>
    </row>
    <row r="739" spans="1:26" ht="15.75" customHeight="1">
      <c r="A739" s="230"/>
      <c r="B739" s="230"/>
      <c r="C739" s="230"/>
      <c r="D739" s="230"/>
      <c r="E739" s="230"/>
      <c r="F739" s="230"/>
      <c r="G739" s="230"/>
      <c r="H739" s="230"/>
      <c r="I739" s="230"/>
      <c r="J739" s="230"/>
      <c r="K739" s="230"/>
      <c r="L739" s="230"/>
      <c r="M739" s="230"/>
      <c r="N739" s="230"/>
      <c r="O739" s="230"/>
      <c r="P739" s="230"/>
      <c r="Q739" s="230"/>
      <c r="R739" s="230"/>
      <c r="S739" s="230"/>
      <c r="T739" s="230"/>
      <c r="U739" s="230"/>
      <c r="V739" s="230"/>
      <c r="W739" s="230"/>
      <c r="X739" s="230"/>
      <c r="Y739" s="230"/>
      <c r="Z739" s="230"/>
    </row>
    <row r="740" spans="1:26" ht="15.75" customHeight="1">
      <c r="A740" s="230"/>
      <c r="B740" s="230"/>
      <c r="C740" s="230"/>
      <c r="D740" s="230"/>
      <c r="E740" s="230"/>
      <c r="F740" s="230"/>
      <c r="G740" s="230"/>
      <c r="H740" s="230"/>
      <c r="I740" s="230"/>
      <c r="J740" s="230"/>
      <c r="K740" s="230"/>
      <c r="L740" s="230"/>
      <c r="M740" s="230"/>
      <c r="N740" s="230"/>
      <c r="O740" s="230"/>
      <c r="P740" s="230"/>
      <c r="Q740" s="230"/>
      <c r="R740" s="230"/>
      <c r="S740" s="230"/>
      <c r="T740" s="230"/>
      <c r="U740" s="230"/>
      <c r="V740" s="230"/>
      <c r="W740" s="230"/>
      <c r="X740" s="230"/>
      <c r="Y740" s="230"/>
      <c r="Z740" s="230"/>
    </row>
    <row r="741" spans="1:26" ht="15.75" customHeight="1">
      <c r="A741" s="230"/>
      <c r="B741" s="230"/>
      <c r="C741" s="230"/>
      <c r="D741" s="230"/>
      <c r="E741" s="230"/>
      <c r="F741" s="230"/>
      <c r="G741" s="230"/>
      <c r="H741" s="230"/>
      <c r="I741" s="230"/>
      <c r="J741" s="230"/>
      <c r="K741" s="230"/>
      <c r="L741" s="230"/>
      <c r="M741" s="230"/>
      <c r="N741" s="230"/>
      <c r="O741" s="230"/>
      <c r="P741" s="230"/>
      <c r="Q741" s="230"/>
      <c r="R741" s="230"/>
      <c r="S741" s="230"/>
      <c r="T741" s="230"/>
      <c r="U741" s="230"/>
      <c r="V741" s="230"/>
      <c r="W741" s="230"/>
      <c r="X741" s="230"/>
      <c r="Y741" s="230"/>
      <c r="Z741" s="230"/>
    </row>
    <row r="742" spans="1:26" ht="15.75" customHeight="1">
      <c r="A742" s="230"/>
      <c r="B742" s="230"/>
      <c r="C742" s="230"/>
      <c r="D742" s="230"/>
      <c r="E742" s="230"/>
      <c r="F742" s="230"/>
      <c r="G742" s="230"/>
      <c r="H742" s="230"/>
      <c r="I742" s="230"/>
      <c r="J742" s="230"/>
      <c r="K742" s="230"/>
      <c r="L742" s="230"/>
      <c r="M742" s="230"/>
      <c r="N742" s="230"/>
      <c r="O742" s="230"/>
      <c r="P742" s="230"/>
      <c r="Q742" s="230"/>
      <c r="R742" s="230"/>
      <c r="S742" s="230"/>
      <c r="T742" s="230"/>
      <c r="U742" s="230"/>
      <c r="V742" s="230"/>
      <c r="W742" s="230"/>
      <c r="X742" s="230"/>
      <c r="Y742" s="230"/>
      <c r="Z742" s="230"/>
    </row>
    <row r="743" spans="1:26" ht="15.75" customHeight="1">
      <c r="A743" s="230"/>
      <c r="B743" s="230"/>
      <c r="C743" s="230"/>
      <c r="D743" s="230"/>
      <c r="E743" s="230"/>
      <c r="F743" s="230"/>
      <c r="G743" s="230"/>
      <c r="H743" s="230"/>
      <c r="I743" s="230"/>
      <c r="J743" s="230"/>
      <c r="K743" s="230"/>
      <c r="L743" s="230"/>
      <c r="M743" s="230"/>
      <c r="N743" s="230"/>
      <c r="O743" s="230"/>
      <c r="P743" s="230"/>
      <c r="Q743" s="230"/>
      <c r="R743" s="230"/>
      <c r="S743" s="230"/>
      <c r="T743" s="230"/>
      <c r="U743" s="230"/>
      <c r="V743" s="230"/>
      <c r="W743" s="230"/>
      <c r="X743" s="230"/>
      <c r="Y743" s="230"/>
      <c r="Z743" s="230"/>
    </row>
    <row r="744" spans="1:26" ht="15.75" customHeight="1">
      <c r="A744" s="230"/>
      <c r="B744" s="230"/>
      <c r="C744" s="230"/>
      <c r="D744" s="230"/>
      <c r="E744" s="230"/>
      <c r="F744" s="230"/>
      <c r="G744" s="230"/>
      <c r="H744" s="230"/>
      <c r="I744" s="230"/>
      <c r="J744" s="230"/>
      <c r="K744" s="230"/>
      <c r="L744" s="230"/>
      <c r="M744" s="230"/>
      <c r="N744" s="230"/>
      <c r="O744" s="230"/>
      <c r="P744" s="230"/>
      <c r="Q744" s="230"/>
      <c r="R744" s="230"/>
      <c r="S744" s="230"/>
      <c r="T744" s="230"/>
      <c r="U744" s="230"/>
      <c r="V744" s="230"/>
      <c r="W744" s="230"/>
      <c r="X744" s="230"/>
      <c r="Y744" s="230"/>
      <c r="Z744" s="230"/>
    </row>
    <row r="745" spans="1:26" ht="15.75" customHeight="1">
      <c r="A745" s="230"/>
      <c r="B745" s="230"/>
      <c r="C745" s="230"/>
      <c r="D745" s="230"/>
      <c r="E745" s="230"/>
      <c r="F745" s="230"/>
      <c r="G745" s="230"/>
      <c r="H745" s="230"/>
      <c r="I745" s="230"/>
      <c r="J745" s="230"/>
      <c r="K745" s="230"/>
      <c r="L745" s="230"/>
      <c r="M745" s="230"/>
      <c r="N745" s="230"/>
      <c r="O745" s="230"/>
      <c r="P745" s="230"/>
      <c r="Q745" s="230"/>
      <c r="R745" s="230"/>
      <c r="S745" s="230"/>
      <c r="T745" s="230"/>
      <c r="U745" s="230"/>
      <c r="V745" s="230"/>
      <c r="W745" s="230"/>
      <c r="X745" s="230"/>
      <c r="Y745" s="230"/>
      <c r="Z745" s="230"/>
    </row>
    <row r="746" spans="1:26" ht="15.75" customHeight="1">
      <c r="A746" s="230"/>
      <c r="B746" s="230"/>
      <c r="C746" s="230"/>
      <c r="D746" s="230"/>
      <c r="E746" s="230"/>
      <c r="F746" s="230"/>
      <c r="G746" s="230"/>
      <c r="H746" s="230"/>
      <c r="I746" s="230"/>
      <c r="J746" s="230"/>
      <c r="K746" s="230"/>
      <c r="L746" s="230"/>
      <c r="M746" s="230"/>
      <c r="N746" s="230"/>
      <c r="O746" s="230"/>
      <c r="P746" s="230"/>
      <c r="Q746" s="230"/>
      <c r="R746" s="230"/>
      <c r="S746" s="230"/>
      <c r="T746" s="230"/>
      <c r="U746" s="230"/>
      <c r="V746" s="230"/>
      <c r="W746" s="230"/>
      <c r="X746" s="230"/>
      <c r="Y746" s="230"/>
      <c r="Z746" s="230"/>
    </row>
    <row r="747" spans="1:26" ht="15.75" customHeight="1">
      <c r="A747" s="230"/>
      <c r="B747" s="230"/>
      <c r="C747" s="230"/>
      <c r="D747" s="230"/>
      <c r="E747" s="230"/>
      <c r="F747" s="230"/>
      <c r="G747" s="230"/>
      <c r="H747" s="230"/>
      <c r="I747" s="230"/>
      <c r="J747" s="230"/>
      <c r="K747" s="230"/>
      <c r="L747" s="230"/>
      <c r="M747" s="230"/>
      <c r="N747" s="230"/>
      <c r="O747" s="230"/>
      <c r="P747" s="230"/>
      <c r="Q747" s="230"/>
      <c r="R747" s="230"/>
      <c r="S747" s="230"/>
      <c r="T747" s="230"/>
      <c r="U747" s="230"/>
      <c r="V747" s="230"/>
      <c r="W747" s="230"/>
      <c r="X747" s="230"/>
      <c r="Y747" s="230"/>
      <c r="Z747" s="230"/>
    </row>
    <row r="748" spans="1:26" ht="15.75" customHeight="1">
      <c r="A748" s="230"/>
      <c r="B748" s="230"/>
      <c r="C748" s="230"/>
      <c r="D748" s="230"/>
      <c r="E748" s="230"/>
      <c r="F748" s="230"/>
      <c r="G748" s="230"/>
      <c r="H748" s="230"/>
      <c r="I748" s="230"/>
      <c r="J748" s="230"/>
      <c r="K748" s="230"/>
      <c r="L748" s="230"/>
      <c r="M748" s="230"/>
      <c r="N748" s="230"/>
      <c r="O748" s="230"/>
      <c r="P748" s="230"/>
      <c r="Q748" s="230"/>
      <c r="R748" s="230"/>
      <c r="S748" s="230"/>
      <c r="T748" s="230"/>
      <c r="U748" s="230"/>
      <c r="V748" s="230"/>
      <c r="W748" s="230"/>
      <c r="X748" s="230"/>
      <c r="Y748" s="230"/>
      <c r="Z748" s="230"/>
    </row>
    <row r="749" spans="1:26" ht="15.75" customHeight="1">
      <c r="A749" s="230"/>
      <c r="B749" s="230"/>
      <c r="C749" s="230"/>
      <c r="D749" s="230"/>
      <c r="E749" s="230"/>
      <c r="F749" s="230"/>
      <c r="G749" s="230"/>
      <c r="H749" s="230"/>
      <c r="I749" s="230"/>
      <c r="J749" s="230"/>
      <c r="K749" s="230"/>
      <c r="L749" s="230"/>
      <c r="M749" s="230"/>
      <c r="N749" s="230"/>
      <c r="O749" s="230"/>
      <c r="P749" s="230"/>
      <c r="Q749" s="230"/>
      <c r="R749" s="230"/>
      <c r="S749" s="230"/>
      <c r="T749" s="230"/>
      <c r="U749" s="230"/>
      <c r="V749" s="230"/>
      <c r="W749" s="230"/>
      <c r="X749" s="230"/>
      <c r="Y749" s="230"/>
      <c r="Z749" s="230"/>
    </row>
    <row r="750" spans="1:26" ht="15.75" customHeight="1">
      <c r="A750" s="230"/>
      <c r="B750" s="230"/>
      <c r="C750" s="230"/>
      <c r="D750" s="230"/>
      <c r="E750" s="230"/>
      <c r="F750" s="230"/>
      <c r="G750" s="230"/>
      <c r="H750" s="230"/>
      <c r="I750" s="230"/>
      <c r="J750" s="230"/>
      <c r="K750" s="230"/>
      <c r="L750" s="230"/>
      <c r="M750" s="230"/>
      <c r="N750" s="230"/>
      <c r="O750" s="230"/>
      <c r="P750" s="230"/>
      <c r="Q750" s="230"/>
      <c r="R750" s="230"/>
      <c r="S750" s="230"/>
      <c r="T750" s="230"/>
      <c r="U750" s="230"/>
      <c r="V750" s="230"/>
      <c r="W750" s="230"/>
      <c r="X750" s="230"/>
      <c r="Y750" s="230"/>
      <c r="Z750" s="230"/>
    </row>
    <row r="751" spans="1:26" ht="15.75" customHeight="1">
      <c r="A751" s="230"/>
      <c r="B751" s="230"/>
      <c r="C751" s="230"/>
      <c r="D751" s="230"/>
      <c r="E751" s="230"/>
      <c r="F751" s="230"/>
      <c r="G751" s="230"/>
      <c r="H751" s="230"/>
      <c r="I751" s="230"/>
      <c r="J751" s="230"/>
      <c r="K751" s="230"/>
      <c r="L751" s="230"/>
      <c r="M751" s="230"/>
      <c r="N751" s="230"/>
      <c r="O751" s="230"/>
      <c r="P751" s="230"/>
      <c r="Q751" s="230"/>
      <c r="R751" s="230"/>
      <c r="S751" s="230"/>
      <c r="T751" s="230"/>
      <c r="U751" s="230"/>
      <c r="V751" s="230"/>
      <c r="W751" s="230"/>
      <c r="X751" s="230"/>
      <c r="Y751" s="230"/>
      <c r="Z751" s="230"/>
    </row>
    <row r="752" spans="1:26" ht="15.75" customHeight="1">
      <c r="A752" s="230"/>
      <c r="B752" s="230"/>
      <c r="C752" s="230"/>
      <c r="D752" s="230"/>
      <c r="E752" s="230"/>
      <c r="F752" s="230"/>
      <c r="G752" s="230"/>
      <c r="H752" s="230"/>
      <c r="I752" s="230"/>
      <c r="J752" s="230"/>
      <c r="K752" s="230"/>
      <c r="L752" s="230"/>
      <c r="M752" s="230"/>
      <c r="N752" s="230"/>
      <c r="O752" s="230"/>
      <c r="P752" s="230"/>
      <c r="Q752" s="230"/>
      <c r="R752" s="230"/>
      <c r="S752" s="230"/>
      <c r="T752" s="230"/>
      <c r="U752" s="230"/>
      <c r="V752" s="230"/>
      <c r="W752" s="230"/>
      <c r="X752" s="230"/>
      <c r="Y752" s="230"/>
      <c r="Z752" s="230"/>
    </row>
    <row r="753" spans="1:26" ht="15.75" customHeight="1">
      <c r="A753" s="230"/>
      <c r="B753" s="230"/>
      <c r="C753" s="230"/>
      <c r="D753" s="230"/>
      <c r="E753" s="230"/>
      <c r="F753" s="230"/>
      <c r="G753" s="230"/>
      <c r="H753" s="230"/>
      <c r="I753" s="230"/>
      <c r="J753" s="230"/>
      <c r="K753" s="230"/>
      <c r="L753" s="230"/>
      <c r="M753" s="230"/>
      <c r="N753" s="230"/>
      <c r="O753" s="230"/>
      <c r="P753" s="230"/>
      <c r="Q753" s="230"/>
      <c r="R753" s="230"/>
      <c r="S753" s="230"/>
      <c r="T753" s="230"/>
      <c r="U753" s="230"/>
      <c r="V753" s="230"/>
      <c r="W753" s="230"/>
      <c r="X753" s="230"/>
      <c r="Y753" s="230"/>
      <c r="Z753" s="230"/>
    </row>
    <row r="754" spans="1:26" ht="15.75" customHeight="1">
      <c r="A754" s="230"/>
      <c r="B754" s="230"/>
      <c r="C754" s="230"/>
      <c r="D754" s="230"/>
      <c r="E754" s="230"/>
      <c r="F754" s="230"/>
      <c r="G754" s="230"/>
      <c r="H754" s="230"/>
      <c r="I754" s="230"/>
      <c r="J754" s="230"/>
      <c r="K754" s="230"/>
      <c r="L754" s="230"/>
      <c r="M754" s="230"/>
      <c r="N754" s="230"/>
      <c r="O754" s="230"/>
      <c r="P754" s="230"/>
      <c r="Q754" s="230"/>
      <c r="R754" s="230"/>
      <c r="S754" s="230"/>
      <c r="T754" s="230"/>
      <c r="U754" s="230"/>
      <c r="V754" s="230"/>
      <c r="W754" s="230"/>
      <c r="X754" s="230"/>
      <c r="Y754" s="230"/>
      <c r="Z754" s="230"/>
    </row>
    <row r="755" spans="1:26" ht="15.75" customHeight="1">
      <c r="A755" s="230"/>
      <c r="B755" s="230"/>
      <c r="C755" s="230"/>
      <c r="D755" s="230"/>
      <c r="E755" s="230"/>
      <c r="F755" s="230"/>
      <c r="G755" s="230"/>
      <c r="H755" s="230"/>
      <c r="I755" s="230"/>
      <c r="J755" s="230"/>
      <c r="K755" s="230"/>
      <c r="L755" s="230"/>
      <c r="M755" s="230"/>
      <c r="N755" s="230"/>
      <c r="O755" s="230"/>
      <c r="P755" s="230"/>
      <c r="Q755" s="230"/>
      <c r="R755" s="230"/>
      <c r="S755" s="230"/>
      <c r="T755" s="230"/>
      <c r="U755" s="230"/>
      <c r="V755" s="230"/>
      <c r="W755" s="230"/>
      <c r="X755" s="230"/>
      <c r="Y755" s="230"/>
      <c r="Z755" s="230"/>
    </row>
    <row r="756" spans="1:26" ht="15.75" customHeight="1">
      <c r="A756" s="230"/>
      <c r="B756" s="230"/>
      <c r="C756" s="230"/>
      <c r="D756" s="230"/>
      <c r="E756" s="230"/>
      <c r="F756" s="230"/>
      <c r="G756" s="230"/>
      <c r="H756" s="230"/>
      <c r="I756" s="230"/>
      <c r="J756" s="230"/>
      <c r="K756" s="230"/>
      <c r="L756" s="230"/>
      <c r="M756" s="230"/>
      <c r="N756" s="230"/>
      <c r="O756" s="230"/>
      <c r="P756" s="230"/>
      <c r="Q756" s="230"/>
      <c r="R756" s="230"/>
      <c r="S756" s="230"/>
      <c r="T756" s="230"/>
      <c r="U756" s="230"/>
      <c r="V756" s="230"/>
      <c r="W756" s="230"/>
      <c r="X756" s="230"/>
      <c r="Y756" s="230"/>
      <c r="Z756" s="230"/>
    </row>
    <row r="757" spans="1:26" ht="15.75" customHeight="1">
      <c r="A757" s="230"/>
      <c r="B757" s="230"/>
      <c r="C757" s="230"/>
      <c r="D757" s="230"/>
      <c r="E757" s="230"/>
      <c r="F757" s="230"/>
      <c r="G757" s="230"/>
      <c r="H757" s="230"/>
      <c r="I757" s="230"/>
      <c r="J757" s="230"/>
      <c r="K757" s="230"/>
      <c r="L757" s="230"/>
      <c r="M757" s="230"/>
      <c r="N757" s="230"/>
      <c r="O757" s="230"/>
      <c r="P757" s="230"/>
      <c r="Q757" s="230"/>
      <c r="R757" s="230"/>
      <c r="S757" s="230"/>
      <c r="T757" s="230"/>
      <c r="U757" s="230"/>
      <c r="V757" s="230"/>
      <c r="W757" s="230"/>
      <c r="X757" s="230"/>
      <c r="Y757" s="230"/>
      <c r="Z757" s="230"/>
    </row>
    <row r="758" spans="1:26" ht="15.75" customHeight="1">
      <c r="A758" s="230"/>
      <c r="B758" s="230"/>
      <c r="C758" s="230"/>
      <c r="D758" s="230"/>
      <c r="E758" s="230"/>
      <c r="F758" s="230"/>
      <c r="G758" s="230"/>
      <c r="H758" s="230"/>
      <c r="I758" s="230"/>
      <c r="J758" s="230"/>
      <c r="K758" s="230"/>
      <c r="L758" s="230"/>
      <c r="M758" s="230"/>
      <c r="N758" s="230"/>
      <c r="O758" s="230"/>
      <c r="P758" s="230"/>
      <c r="Q758" s="230"/>
      <c r="R758" s="230"/>
      <c r="S758" s="230"/>
      <c r="T758" s="230"/>
      <c r="U758" s="230"/>
      <c r="V758" s="230"/>
      <c r="W758" s="230"/>
      <c r="X758" s="230"/>
      <c r="Y758" s="230"/>
      <c r="Z758" s="230"/>
    </row>
    <row r="759" spans="1:26" ht="15.75" customHeight="1">
      <c r="A759" s="230"/>
      <c r="B759" s="230"/>
      <c r="C759" s="230"/>
      <c r="D759" s="230"/>
      <c r="E759" s="230"/>
      <c r="F759" s="230"/>
      <c r="G759" s="230"/>
      <c r="H759" s="230"/>
      <c r="I759" s="230"/>
      <c r="J759" s="230"/>
      <c r="K759" s="230"/>
      <c r="L759" s="230"/>
      <c r="M759" s="230"/>
      <c r="N759" s="230"/>
      <c r="O759" s="230"/>
      <c r="P759" s="230"/>
      <c r="Q759" s="230"/>
      <c r="R759" s="230"/>
      <c r="S759" s="230"/>
      <c r="T759" s="230"/>
      <c r="U759" s="230"/>
      <c r="V759" s="230"/>
      <c r="W759" s="230"/>
      <c r="X759" s="230"/>
      <c r="Y759" s="230"/>
      <c r="Z759" s="230"/>
    </row>
    <row r="760" spans="1:26" ht="15.75" customHeight="1">
      <c r="A760" s="230"/>
      <c r="B760" s="230"/>
      <c r="C760" s="230"/>
      <c r="D760" s="230"/>
      <c r="E760" s="230"/>
      <c r="F760" s="230"/>
      <c r="G760" s="230"/>
      <c r="H760" s="230"/>
      <c r="I760" s="230"/>
      <c r="J760" s="230"/>
      <c r="K760" s="230"/>
      <c r="L760" s="230"/>
      <c r="M760" s="230"/>
      <c r="N760" s="230"/>
      <c r="O760" s="230"/>
      <c r="P760" s="230"/>
      <c r="Q760" s="230"/>
      <c r="R760" s="230"/>
      <c r="S760" s="230"/>
      <c r="T760" s="230"/>
      <c r="U760" s="230"/>
      <c r="V760" s="230"/>
      <c r="W760" s="230"/>
      <c r="X760" s="230"/>
      <c r="Y760" s="230"/>
      <c r="Z760" s="230"/>
    </row>
    <row r="761" spans="1:26" ht="15.75" customHeight="1">
      <c r="A761" s="230"/>
      <c r="B761" s="230"/>
      <c r="C761" s="230"/>
      <c r="D761" s="230"/>
      <c r="E761" s="230"/>
      <c r="F761" s="230"/>
      <c r="G761" s="230"/>
      <c r="H761" s="230"/>
      <c r="I761" s="230"/>
      <c r="J761" s="230"/>
      <c r="K761" s="230"/>
      <c r="L761" s="230"/>
      <c r="M761" s="230"/>
      <c r="N761" s="230"/>
      <c r="O761" s="230"/>
      <c r="P761" s="230"/>
      <c r="Q761" s="230"/>
      <c r="R761" s="230"/>
      <c r="S761" s="230"/>
      <c r="T761" s="230"/>
      <c r="U761" s="230"/>
      <c r="V761" s="230"/>
      <c r="W761" s="230"/>
      <c r="X761" s="230"/>
      <c r="Y761" s="230"/>
      <c r="Z761" s="230"/>
    </row>
    <row r="762" spans="1:26" ht="15.75" customHeight="1">
      <c r="A762" s="230"/>
      <c r="B762" s="230"/>
      <c r="C762" s="230"/>
      <c r="D762" s="230"/>
      <c r="E762" s="230"/>
      <c r="F762" s="230"/>
      <c r="G762" s="230"/>
      <c r="H762" s="230"/>
      <c r="I762" s="230"/>
      <c r="J762" s="230"/>
      <c r="K762" s="230"/>
      <c r="L762" s="230"/>
      <c r="M762" s="230"/>
      <c r="N762" s="230"/>
      <c r="O762" s="230"/>
      <c r="P762" s="230"/>
      <c r="Q762" s="230"/>
      <c r="R762" s="230"/>
      <c r="S762" s="230"/>
      <c r="T762" s="230"/>
      <c r="U762" s="230"/>
      <c r="V762" s="230"/>
      <c r="W762" s="230"/>
      <c r="X762" s="230"/>
      <c r="Y762" s="230"/>
      <c r="Z762" s="230"/>
    </row>
    <row r="763" spans="1:26" ht="15.75" customHeight="1">
      <c r="A763" s="230"/>
      <c r="B763" s="230"/>
      <c r="C763" s="230"/>
      <c r="D763" s="230"/>
      <c r="E763" s="230"/>
      <c r="F763" s="230"/>
      <c r="G763" s="230"/>
      <c r="H763" s="230"/>
      <c r="I763" s="230"/>
      <c r="J763" s="230"/>
      <c r="K763" s="230"/>
      <c r="L763" s="230"/>
      <c r="M763" s="230"/>
      <c r="N763" s="230"/>
      <c r="O763" s="230"/>
      <c r="P763" s="230"/>
      <c r="Q763" s="230"/>
      <c r="R763" s="230"/>
      <c r="S763" s="230"/>
      <c r="T763" s="230"/>
      <c r="U763" s="230"/>
      <c r="V763" s="230"/>
      <c r="W763" s="230"/>
      <c r="X763" s="230"/>
      <c r="Y763" s="230"/>
      <c r="Z763" s="230"/>
    </row>
    <row r="764" spans="1:26" ht="15.75" customHeight="1">
      <c r="A764" s="230"/>
      <c r="B764" s="230"/>
      <c r="C764" s="230"/>
      <c r="D764" s="230"/>
      <c r="E764" s="230"/>
      <c r="F764" s="230"/>
      <c r="G764" s="230"/>
      <c r="H764" s="230"/>
      <c r="I764" s="230"/>
      <c r="J764" s="230"/>
      <c r="K764" s="230"/>
      <c r="L764" s="230"/>
      <c r="M764" s="230"/>
      <c r="N764" s="230"/>
      <c r="O764" s="230"/>
      <c r="P764" s="230"/>
      <c r="Q764" s="230"/>
      <c r="R764" s="230"/>
      <c r="S764" s="230"/>
      <c r="T764" s="230"/>
      <c r="U764" s="230"/>
      <c r="V764" s="230"/>
      <c r="W764" s="230"/>
      <c r="X764" s="230"/>
      <c r="Y764" s="230"/>
      <c r="Z764" s="230"/>
    </row>
    <row r="765" spans="1:26" ht="15.75" customHeight="1">
      <c r="A765" s="230"/>
      <c r="B765" s="230"/>
      <c r="C765" s="230"/>
      <c r="D765" s="230"/>
      <c r="E765" s="230"/>
      <c r="F765" s="230"/>
      <c r="G765" s="230"/>
      <c r="H765" s="230"/>
      <c r="I765" s="230"/>
      <c r="J765" s="230"/>
      <c r="K765" s="230"/>
      <c r="L765" s="230"/>
      <c r="M765" s="230"/>
      <c r="N765" s="230"/>
      <c r="O765" s="230"/>
      <c r="P765" s="230"/>
      <c r="Q765" s="230"/>
      <c r="R765" s="230"/>
      <c r="S765" s="230"/>
      <c r="T765" s="230"/>
      <c r="U765" s="230"/>
      <c r="V765" s="230"/>
      <c r="W765" s="230"/>
      <c r="X765" s="230"/>
      <c r="Y765" s="230"/>
      <c r="Z765" s="230"/>
    </row>
    <row r="766" spans="1:26" ht="15.75" customHeight="1">
      <c r="A766" s="230"/>
      <c r="B766" s="230"/>
      <c r="C766" s="230"/>
      <c r="D766" s="230"/>
      <c r="E766" s="230"/>
      <c r="F766" s="230"/>
      <c r="G766" s="230"/>
      <c r="H766" s="230"/>
      <c r="I766" s="230"/>
      <c r="J766" s="230"/>
      <c r="K766" s="230"/>
      <c r="L766" s="230"/>
      <c r="M766" s="230"/>
      <c r="N766" s="230"/>
      <c r="O766" s="230"/>
      <c r="P766" s="230"/>
      <c r="Q766" s="230"/>
      <c r="R766" s="230"/>
      <c r="S766" s="230"/>
      <c r="T766" s="230"/>
      <c r="U766" s="230"/>
      <c r="V766" s="230"/>
      <c r="W766" s="230"/>
      <c r="X766" s="230"/>
      <c r="Y766" s="230"/>
      <c r="Z766" s="230"/>
    </row>
    <row r="767" spans="1:26" ht="15.75" customHeight="1">
      <c r="A767" s="230"/>
      <c r="B767" s="230"/>
      <c r="C767" s="230"/>
      <c r="D767" s="230"/>
      <c r="E767" s="230"/>
      <c r="F767" s="230"/>
      <c r="G767" s="230"/>
      <c r="H767" s="230"/>
      <c r="I767" s="230"/>
      <c r="J767" s="230"/>
      <c r="K767" s="230"/>
      <c r="L767" s="230"/>
      <c r="M767" s="230"/>
      <c r="N767" s="230"/>
      <c r="O767" s="230"/>
      <c r="P767" s="230"/>
      <c r="Q767" s="230"/>
      <c r="R767" s="230"/>
      <c r="S767" s="230"/>
      <c r="T767" s="230"/>
      <c r="U767" s="230"/>
      <c r="V767" s="230"/>
      <c r="W767" s="230"/>
      <c r="X767" s="230"/>
      <c r="Y767" s="230"/>
      <c r="Z767" s="230"/>
    </row>
    <row r="768" spans="1:26" ht="15.75" customHeight="1">
      <c r="A768" s="230"/>
      <c r="B768" s="230"/>
      <c r="C768" s="230"/>
      <c r="D768" s="230"/>
      <c r="E768" s="230"/>
      <c r="F768" s="230"/>
      <c r="G768" s="230"/>
      <c r="H768" s="230"/>
      <c r="I768" s="230"/>
      <c r="J768" s="230"/>
      <c r="K768" s="230"/>
      <c r="L768" s="230"/>
      <c r="M768" s="230"/>
      <c r="N768" s="230"/>
      <c r="O768" s="230"/>
      <c r="P768" s="230"/>
      <c r="Q768" s="230"/>
      <c r="R768" s="230"/>
      <c r="S768" s="230"/>
      <c r="T768" s="230"/>
      <c r="U768" s="230"/>
      <c r="V768" s="230"/>
      <c r="W768" s="230"/>
      <c r="X768" s="230"/>
      <c r="Y768" s="230"/>
      <c r="Z768" s="230"/>
    </row>
    <row r="769" spans="1:26" ht="15.75" customHeight="1">
      <c r="A769" s="230"/>
      <c r="B769" s="230"/>
      <c r="C769" s="230"/>
      <c r="D769" s="230"/>
      <c r="E769" s="230"/>
      <c r="F769" s="230"/>
      <c r="G769" s="230"/>
      <c r="H769" s="230"/>
      <c r="I769" s="230"/>
      <c r="J769" s="230"/>
      <c r="K769" s="230"/>
      <c r="L769" s="230"/>
      <c r="M769" s="230"/>
      <c r="N769" s="230"/>
      <c r="O769" s="230"/>
      <c r="P769" s="230"/>
      <c r="Q769" s="230"/>
      <c r="R769" s="230"/>
      <c r="S769" s="230"/>
      <c r="T769" s="230"/>
      <c r="U769" s="230"/>
      <c r="V769" s="230"/>
      <c r="W769" s="230"/>
      <c r="X769" s="230"/>
      <c r="Y769" s="230"/>
      <c r="Z769" s="230"/>
    </row>
    <row r="770" spans="1:26" ht="15.75" customHeight="1">
      <c r="A770" s="230"/>
      <c r="B770" s="230"/>
      <c r="C770" s="230"/>
      <c r="D770" s="230"/>
      <c r="E770" s="230"/>
      <c r="F770" s="230"/>
      <c r="G770" s="230"/>
      <c r="H770" s="230"/>
      <c r="I770" s="230"/>
      <c r="J770" s="230"/>
      <c r="K770" s="230"/>
      <c r="L770" s="230"/>
      <c r="M770" s="230"/>
      <c r="N770" s="230"/>
      <c r="O770" s="230"/>
      <c r="P770" s="230"/>
      <c r="Q770" s="230"/>
      <c r="R770" s="230"/>
      <c r="S770" s="230"/>
      <c r="T770" s="230"/>
      <c r="U770" s="230"/>
      <c r="V770" s="230"/>
      <c r="W770" s="230"/>
      <c r="X770" s="230"/>
      <c r="Y770" s="230"/>
      <c r="Z770" s="230"/>
    </row>
    <row r="771" spans="1:26" ht="15.75" customHeight="1">
      <c r="A771" s="230"/>
      <c r="B771" s="230"/>
      <c r="C771" s="230"/>
      <c r="D771" s="230"/>
      <c r="E771" s="230"/>
      <c r="F771" s="230"/>
      <c r="G771" s="230"/>
      <c r="H771" s="230"/>
      <c r="I771" s="230"/>
      <c r="J771" s="230"/>
      <c r="K771" s="230"/>
      <c r="L771" s="230"/>
      <c r="M771" s="230"/>
      <c r="N771" s="230"/>
      <c r="O771" s="230"/>
      <c r="P771" s="230"/>
      <c r="Q771" s="230"/>
      <c r="R771" s="230"/>
      <c r="S771" s="230"/>
      <c r="T771" s="230"/>
      <c r="U771" s="230"/>
      <c r="V771" s="230"/>
      <c r="W771" s="230"/>
      <c r="X771" s="230"/>
      <c r="Y771" s="230"/>
      <c r="Z771" s="230"/>
    </row>
    <row r="772" spans="1:26" ht="15.75" customHeight="1">
      <c r="A772" s="230"/>
      <c r="B772" s="230"/>
      <c r="C772" s="230"/>
      <c r="D772" s="230"/>
      <c r="E772" s="230"/>
      <c r="F772" s="230"/>
      <c r="G772" s="230"/>
      <c r="H772" s="230"/>
      <c r="I772" s="230"/>
      <c r="J772" s="230"/>
      <c r="K772" s="230"/>
      <c r="L772" s="230"/>
      <c r="M772" s="230"/>
      <c r="N772" s="230"/>
      <c r="O772" s="230"/>
      <c r="P772" s="230"/>
      <c r="Q772" s="230"/>
      <c r="R772" s="230"/>
      <c r="S772" s="230"/>
      <c r="T772" s="230"/>
      <c r="U772" s="230"/>
      <c r="V772" s="230"/>
      <c r="W772" s="230"/>
      <c r="X772" s="230"/>
      <c r="Y772" s="230"/>
      <c r="Z772" s="230"/>
    </row>
    <row r="773" spans="1:26" ht="15.75" customHeight="1">
      <c r="A773" s="230"/>
      <c r="B773" s="230"/>
      <c r="C773" s="230"/>
      <c r="D773" s="230"/>
      <c r="E773" s="230"/>
      <c r="F773" s="230"/>
      <c r="G773" s="230"/>
      <c r="H773" s="230"/>
      <c r="I773" s="230"/>
      <c r="J773" s="230"/>
      <c r="K773" s="230"/>
      <c r="L773" s="230"/>
      <c r="M773" s="230"/>
      <c r="N773" s="230"/>
      <c r="O773" s="230"/>
      <c r="P773" s="230"/>
      <c r="Q773" s="230"/>
      <c r="R773" s="230"/>
      <c r="S773" s="230"/>
      <c r="T773" s="230"/>
      <c r="U773" s="230"/>
      <c r="V773" s="230"/>
      <c r="W773" s="230"/>
      <c r="X773" s="230"/>
      <c r="Y773" s="230"/>
      <c r="Z773" s="230"/>
    </row>
    <row r="774" spans="1:26" ht="15.75" customHeight="1">
      <c r="A774" s="230"/>
      <c r="B774" s="230"/>
      <c r="C774" s="230"/>
      <c r="D774" s="230"/>
      <c r="E774" s="230"/>
      <c r="F774" s="230"/>
      <c r="G774" s="230"/>
      <c r="H774" s="230"/>
      <c r="I774" s="230"/>
      <c r="J774" s="230"/>
      <c r="K774" s="230"/>
      <c r="L774" s="230"/>
      <c r="M774" s="230"/>
      <c r="N774" s="230"/>
      <c r="O774" s="230"/>
      <c r="P774" s="230"/>
      <c r="Q774" s="230"/>
      <c r="R774" s="230"/>
      <c r="S774" s="230"/>
      <c r="T774" s="230"/>
      <c r="U774" s="230"/>
      <c r="V774" s="230"/>
      <c r="W774" s="230"/>
      <c r="X774" s="230"/>
      <c r="Y774" s="230"/>
      <c r="Z774" s="230"/>
    </row>
    <row r="775" spans="1:26" ht="15.75" customHeight="1">
      <c r="A775" s="230"/>
      <c r="B775" s="230"/>
      <c r="C775" s="230"/>
      <c r="D775" s="230"/>
      <c r="E775" s="230"/>
      <c r="F775" s="230"/>
      <c r="G775" s="230"/>
      <c r="H775" s="230"/>
      <c r="I775" s="230"/>
      <c r="J775" s="230"/>
      <c r="K775" s="230"/>
      <c r="L775" s="230"/>
      <c r="M775" s="230"/>
      <c r="N775" s="230"/>
      <c r="O775" s="230"/>
      <c r="P775" s="230"/>
      <c r="Q775" s="230"/>
      <c r="R775" s="230"/>
      <c r="S775" s="230"/>
      <c r="T775" s="230"/>
      <c r="U775" s="230"/>
      <c r="V775" s="230"/>
      <c r="W775" s="230"/>
      <c r="X775" s="230"/>
      <c r="Y775" s="230"/>
      <c r="Z775" s="230"/>
    </row>
    <row r="776" spans="1:26" ht="15.75" customHeight="1">
      <c r="A776" s="230"/>
      <c r="B776" s="230"/>
      <c r="C776" s="230"/>
      <c r="D776" s="230"/>
      <c r="E776" s="230"/>
      <c r="F776" s="230"/>
      <c r="G776" s="230"/>
      <c r="H776" s="230"/>
      <c r="I776" s="230"/>
      <c r="J776" s="230"/>
      <c r="K776" s="230"/>
      <c r="L776" s="230"/>
      <c r="M776" s="230"/>
      <c r="N776" s="230"/>
      <c r="O776" s="230"/>
      <c r="P776" s="230"/>
      <c r="Q776" s="230"/>
      <c r="R776" s="230"/>
      <c r="S776" s="230"/>
      <c r="T776" s="230"/>
      <c r="U776" s="230"/>
      <c r="V776" s="230"/>
      <c r="W776" s="230"/>
      <c r="X776" s="230"/>
      <c r="Y776" s="230"/>
      <c r="Z776" s="230"/>
    </row>
    <row r="777" spans="1:26" ht="15.75" customHeight="1">
      <c r="A777" s="230"/>
      <c r="B777" s="230"/>
      <c r="C777" s="230"/>
      <c r="D777" s="230"/>
      <c r="E777" s="230"/>
      <c r="F777" s="230"/>
      <c r="G777" s="230"/>
      <c r="H777" s="230"/>
      <c r="I777" s="230"/>
      <c r="J777" s="230"/>
      <c r="K777" s="230"/>
      <c r="L777" s="230"/>
      <c r="M777" s="230"/>
      <c r="N777" s="230"/>
      <c r="O777" s="230"/>
      <c r="P777" s="230"/>
      <c r="Q777" s="230"/>
      <c r="R777" s="230"/>
      <c r="S777" s="230"/>
      <c r="T777" s="230"/>
      <c r="U777" s="230"/>
      <c r="V777" s="230"/>
      <c r="W777" s="230"/>
      <c r="X777" s="230"/>
      <c r="Y777" s="230"/>
      <c r="Z777" s="230"/>
    </row>
    <row r="778" spans="1:26" ht="15.75" customHeight="1">
      <c r="A778" s="230"/>
      <c r="B778" s="230"/>
      <c r="C778" s="230"/>
      <c r="D778" s="230"/>
      <c r="E778" s="230"/>
      <c r="F778" s="230"/>
      <c r="G778" s="230"/>
      <c r="H778" s="230"/>
      <c r="I778" s="230"/>
      <c r="J778" s="230"/>
      <c r="K778" s="230"/>
      <c r="L778" s="230"/>
      <c r="M778" s="230"/>
      <c r="N778" s="230"/>
      <c r="O778" s="230"/>
      <c r="P778" s="230"/>
      <c r="Q778" s="230"/>
      <c r="R778" s="230"/>
      <c r="S778" s="230"/>
      <c r="T778" s="230"/>
      <c r="U778" s="230"/>
      <c r="V778" s="230"/>
      <c r="W778" s="230"/>
      <c r="X778" s="230"/>
      <c r="Y778" s="230"/>
      <c r="Z778" s="230"/>
    </row>
    <row r="779" spans="1:26" ht="15.75" customHeight="1">
      <c r="A779" s="230"/>
      <c r="B779" s="230"/>
      <c r="C779" s="230"/>
      <c r="D779" s="230"/>
      <c r="E779" s="230"/>
      <c r="F779" s="230"/>
      <c r="G779" s="230"/>
      <c r="H779" s="230"/>
      <c r="I779" s="230"/>
      <c r="J779" s="230"/>
      <c r="K779" s="230"/>
      <c r="L779" s="230"/>
      <c r="M779" s="230"/>
      <c r="N779" s="230"/>
      <c r="O779" s="230"/>
      <c r="P779" s="230"/>
      <c r="Q779" s="230"/>
      <c r="R779" s="230"/>
      <c r="S779" s="230"/>
      <c r="T779" s="230"/>
      <c r="U779" s="230"/>
      <c r="V779" s="230"/>
      <c r="W779" s="230"/>
      <c r="X779" s="230"/>
      <c r="Y779" s="230"/>
      <c r="Z779" s="230"/>
    </row>
    <row r="780" spans="1:26" ht="15.75" customHeight="1">
      <c r="A780" s="230"/>
      <c r="B780" s="230"/>
      <c r="C780" s="230"/>
      <c r="D780" s="230"/>
      <c r="E780" s="230"/>
      <c r="F780" s="230"/>
      <c r="G780" s="230"/>
      <c r="H780" s="230"/>
      <c r="I780" s="230"/>
      <c r="J780" s="230"/>
      <c r="K780" s="230"/>
      <c r="L780" s="230"/>
      <c r="M780" s="230"/>
      <c r="N780" s="230"/>
      <c r="O780" s="230"/>
      <c r="P780" s="230"/>
      <c r="Q780" s="230"/>
      <c r="R780" s="230"/>
      <c r="S780" s="230"/>
      <c r="T780" s="230"/>
      <c r="U780" s="230"/>
      <c r="V780" s="230"/>
      <c r="W780" s="230"/>
      <c r="X780" s="230"/>
      <c r="Y780" s="230"/>
      <c r="Z780" s="230"/>
    </row>
    <row r="781" spans="1:26" ht="15.75" customHeight="1">
      <c r="A781" s="230"/>
      <c r="B781" s="230"/>
      <c r="C781" s="230"/>
      <c r="D781" s="230"/>
      <c r="E781" s="230"/>
      <c r="F781" s="230"/>
      <c r="G781" s="230"/>
      <c r="H781" s="230"/>
      <c r="I781" s="230"/>
      <c r="J781" s="230"/>
      <c r="K781" s="230"/>
      <c r="L781" s="230"/>
      <c r="M781" s="230"/>
      <c r="N781" s="230"/>
      <c r="O781" s="230"/>
      <c r="P781" s="230"/>
      <c r="Q781" s="230"/>
      <c r="R781" s="230"/>
      <c r="S781" s="230"/>
      <c r="T781" s="230"/>
      <c r="U781" s="230"/>
      <c r="V781" s="230"/>
      <c r="W781" s="230"/>
      <c r="X781" s="230"/>
      <c r="Y781" s="230"/>
      <c r="Z781" s="230"/>
    </row>
    <row r="782" spans="1:26" ht="15.75" customHeight="1">
      <c r="A782" s="230"/>
      <c r="B782" s="230"/>
      <c r="C782" s="230"/>
      <c r="D782" s="230"/>
      <c r="E782" s="230"/>
      <c r="F782" s="230"/>
      <c r="G782" s="230"/>
      <c r="H782" s="230"/>
      <c r="I782" s="230"/>
      <c r="J782" s="230"/>
      <c r="K782" s="230"/>
      <c r="L782" s="230"/>
      <c r="M782" s="230"/>
      <c r="N782" s="230"/>
      <c r="O782" s="230"/>
      <c r="P782" s="230"/>
      <c r="Q782" s="230"/>
      <c r="R782" s="230"/>
      <c r="S782" s="230"/>
      <c r="T782" s="230"/>
      <c r="U782" s="230"/>
      <c r="V782" s="230"/>
      <c r="W782" s="230"/>
      <c r="X782" s="230"/>
      <c r="Y782" s="230"/>
      <c r="Z782" s="230"/>
    </row>
    <row r="783" spans="1:26" ht="15.75" customHeight="1">
      <c r="A783" s="230"/>
      <c r="B783" s="230"/>
      <c r="C783" s="230"/>
      <c r="D783" s="230"/>
      <c r="E783" s="230"/>
      <c r="F783" s="230"/>
      <c r="G783" s="230"/>
      <c r="H783" s="230"/>
      <c r="I783" s="230"/>
      <c r="J783" s="230"/>
      <c r="K783" s="230"/>
      <c r="L783" s="230"/>
      <c r="M783" s="230"/>
      <c r="N783" s="230"/>
      <c r="O783" s="230"/>
      <c r="P783" s="230"/>
      <c r="Q783" s="230"/>
      <c r="R783" s="230"/>
      <c r="S783" s="230"/>
      <c r="T783" s="230"/>
      <c r="U783" s="230"/>
      <c r="V783" s="230"/>
      <c r="W783" s="230"/>
      <c r="X783" s="230"/>
      <c r="Y783" s="230"/>
      <c r="Z783" s="230"/>
    </row>
    <row r="784" spans="1:26" ht="15.75" customHeight="1">
      <c r="A784" s="230"/>
      <c r="B784" s="230"/>
      <c r="C784" s="230"/>
      <c r="D784" s="230"/>
      <c r="E784" s="230"/>
      <c r="F784" s="230"/>
      <c r="G784" s="230"/>
      <c r="H784" s="230"/>
      <c r="I784" s="230"/>
      <c r="J784" s="230"/>
      <c r="K784" s="230"/>
      <c r="L784" s="230"/>
      <c r="M784" s="230"/>
      <c r="N784" s="230"/>
      <c r="O784" s="230"/>
      <c r="P784" s="230"/>
      <c r="Q784" s="230"/>
      <c r="R784" s="230"/>
      <c r="S784" s="230"/>
      <c r="T784" s="230"/>
      <c r="U784" s="230"/>
      <c r="V784" s="230"/>
      <c r="W784" s="230"/>
      <c r="X784" s="230"/>
      <c r="Y784" s="230"/>
      <c r="Z784" s="230"/>
    </row>
    <row r="785" spans="1:26" ht="15.75" customHeight="1">
      <c r="A785" s="230"/>
      <c r="B785" s="230"/>
      <c r="C785" s="230"/>
      <c r="D785" s="230"/>
      <c r="E785" s="230"/>
      <c r="F785" s="230"/>
      <c r="G785" s="230"/>
      <c r="H785" s="230"/>
      <c r="I785" s="230"/>
      <c r="J785" s="230"/>
      <c r="K785" s="230"/>
      <c r="L785" s="230"/>
      <c r="M785" s="230"/>
      <c r="N785" s="230"/>
      <c r="O785" s="230"/>
      <c r="P785" s="230"/>
      <c r="Q785" s="230"/>
      <c r="R785" s="230"/>
      <c r="S785" s="230"/>
      <c r="T785" s="230"/>
      <c r="U785" s="230"/>
      <c r="V785" s="230"/>
      <c r="W785" s="230"/>
      <c r="X785" s="230"/>
      <c r="Y785" s="230"/>
      <c r="Z785" s="230"/>
    </row>
    <row r="786" spans="1:26" ht="15.75" customHeight="1">
      <c r="A786" s="230"/>
      <c r="B786" s="230"/>
      <c r="C786" s="230"/>
      <c r="D786" s="230"/>
      <c r="E786" s="230"/>
      <c r="F786" s="230"/>
      <c r="G786" s="230"/>
      <c r="H786" s="230"/>
      <c r="I786" s="230"/>
      <c r="J786" s="230"/>
      <c r="K786" s="230"/>
      <c r="L786" s="230"/>
      <c r="M786" s="230"/>
      <c r="N786" s="230"/>
      <c r="O786" s="230"/>
      <c r="P786" s="230"/>
      <c r="Q786" s="230"/>
      <c r="R786" s="230"/>
      <c r="S786" s="230"/>
      <c r="T786" s="230"/>
      <c r="U786" s="230"/>
      <c r="V786" s="230"/>
      <c r="W786" s="230"/>
      <c r="X786" s="230"/>
      <c r="Y786" s="230"/>
      <c r="Z786" s="230"/>
    </row>
    <row r="787" spans="1:26" ht="15.75" customHeight="1">
      <c r="A787" s="230"/>
      <c r="B787" s="230"/>
      <c r="C787" s="230"/>
      <c r="D787" s="230"/>
      <c r="E787" s="230"/>
      <c r="F787" s="230"/>
      <c r="G787" s="230"/>
      <c r="H787" s="230"/>
      <c r="I787" s="230"/>
      <c r="J787" s="230"/>
      <c r="K787" s="230"/>
      <c r="L787" s="230"/>
      <c r="M787" s="230"/>
      <c r="N787" s="230"/>
      <c r="O787" s="230"/>
      <c r="P787" s="230"/>
      <c r="Q787" s="230"/>
      <c r="R787" s="230"/>
      <c r="S787" s="230"/>
      <c r="T787" s="230"/>
      <c r="U787" s="230"/>
      <c r="V787" s="230"/>
      <c r="W787" s="230"/>
      <c r="X787" s="230"/>
      <c r="Y787" s="230"/>
      <c r="Z787" s="230"/>
    </row>
    <row r="788" spans="1:26" ht="15.75" customHeight="1">
      <c r="A788" s="230"/>
      <c r="B788" s="230"/>
      <c r="C788" s="230"/>
      <c r="D788" s="230"/>
      <c r="E788" s="230"/>
      <c r="F788" s="230"/>
      <c r="G788" s="230"/>
      <c r="H788" s="230"/>
      <c r="I788" s="230"/>
      <c r="J788" s="230"/>
      <c r="K788" s="230"/>
      <c r="L788" s="230"/>
      <c r="M788" s="230"/>
      <c r="N788" s="230"/>
      <c r="O788" s="230"/>
      <c r="P788" s="230"/>
      <c r="Q788" s="230"/>
      <c r="R788" s="230"/>
      <c r="S788" s="230"/>
      <c r="T788" s="230"/>
      <c r="U788" s="230"/>
      <c r="V788" s="230"/>
      <c r="W788" s="230"/>
      <c r="X788" s="230"/>
      <c r="Y788" s="230"/>
      <c r="Z788" s="230"/>
    </row>
    <row r="789" spans="1:26" ht="15.75" customHeight="1">
      <c r="A789" s="230"/>
      <c r="B789" s="230"/>
      <c r="C789" s="230"/>
      <c r="D789" s="230"/>
      <c r="E789" s="230"/>
      <c r="F789" s="230"/>
      <c r="G789" s="230"/>
      <c r="H789" s="230"/>
      <c r="I789" s="230"/>
      <c r="J789" s="230"/>
      <c r="K789" s="230"/>
      <c r="L789" s="230"/>
      <c r="M789" s="230"/>
      <c r="N789" s="230"/>
      <c r="O789" s="230"/>
      <c r="P789" s="230"/>
      <c r="Q789" s="230"/>
      <c r="R789" s="230"/>
      <c r="S789" s="230"/>
      <c r="T789" s="230"/>
      <c r="U789" s="230"/>
      <c r="V789" s="230"/>
      <c r="W789" s="230"/>
      <c r="X789" s="230"/>
      <c r="Y789" s="230"/>
      <c r="Z789" s="230"/>
    </row>
    <row r="790" spans="1:26" ht="15.75" customHeight="1">
      <c r="A790" s="230"/>
      <c r="B790" s="230"/>
      <c r="C790" s="230"/>
      <c r="D790" s="230"/>
      <c r="E790" s="230"/>
      <c r="F790" s="230"/>
      <c r="G790" s="230"/>
      <c r="H790" s="230"/>
      <c r="I790" s="230"/>
      <c r="J790" s="230"/>
      <c r="K790" s="230"/>
      <c r="L790" s="230"/>
      <c r="M790" s="230"/>
      <c r="N790" s="230"/>
      <c r="O790" s="230"/>
      <c r="P790" s="230"/>
      <c r="Q790" s="230"/>
      <c r="R790" s="230"/>
      <c r="S790" s="230"/>
      <c r="T790" s="230"/>
      <c r="U790" s="230"/>
      <c r="V790" s="230"/>
      <c r="W790" s="230"/>
      <c r="X790" s="230"/>
      <c r="Y790" s="230"/>
      <c r="Z790" s="230"/>
    </row>
    <row r="791" spans="1:26" ht="15.75" customHeight="1">
      <c r="A791" s="230"/>
      <c r="B791" s="230"/>
      <c r="C791" s="230"/>
      <c r="D791" s="230"/>
      <c r="E791" s="230"/>
      <c r="F791" s="230"/>
      <c r="G791" s="230"/>
      <c r="H791" s="230"/>
      <c r="I791" s="230"/>
      <c r="J791" s="230"/>
      <c r="K791" s="230"/>
      <c r="L791" s="230"/>
      <c r="M791" s="230"/>
      <c r="N791" s="230"/>
      <c r="O791" s="230"/>
      <c r="P791" s="230"/>
      <c r="Q791" s="230"/>
      <c r="R791" s="230"/>
      <c r="S791" s="230"/>
      <c r="T791" s="230"/>
      <c r="U791" s="230"/>
      <c r="V791" s="230"/>
      <c r="W791" s="230"/>
      <c r="X791" s="230"/>
      <c r="Y791" s="230"/>
      <c r="Z791" s="230"/>
    </row>
    <row r="792" spans="1:26" ht="15.75" customHeight="1">
      <c r="A792" s="230"/>
      <c r="B792" s="230"/>
      <c r="C792" s="230"/>
      <c r="D792" s="230"/>
      <c r="E792" s="230"/>
      <c r="F792" s="230"/>
      <c r="G792" s="230"/>
      <c r="H792" s="230"/>
      <c r="I792" s="230"/>
      <c r="J792" s="230"/>
      <c r="K792" s="230"/>
      <c r="L792" s="230"/>
      <c r="M792" s="230"/>
      <c r="N792" s="230"/>
      <c r="O792" s="230"/>
      <c r="P792" s="230"/>
      <c r="Q792" s="230"/>
      <c r="R792" s="230"/>
      <c r="S792" s="230"/>
      <c r="T792" s="230"/>
      <c r="U792" s="230"/>
      <c r="V792" s="230"/>
      <c r="W792" s="230"/>
      <c r="X792" s="230"/>
      <c r="Y792" s="230"/>
      <c r="Z792" s="230"/>
    </row>
    <row r="793" spans="1:26" ht="15.75" customHeight="1">
      <c r="A793" s="230"/>
      <c r="B793" s="230"/>
      <c r="C793" s="230"/>
      <c r="D793" s="230"/>
      <c r="E793" s="230"/>
      <c r="F793" s="230"/>
      <c r="G793" s="230"/>
      <c r="H793" s="230"/>
      <c r="I793" s="230"/>
      <c r="J793" s="230"/>
      <c r="K793" s="230"/>
      <c r="L793" s="230"/>
      <c r="M793" s="230"/>
      <c r="N793" s="230"/>
      <c r="O793" s="230"/>
      <c r="P793" s="230"/>
      <c r="Q793" s="230"/>
      <c r="R793" s="230"/>
      <c r="S793" s="230"/>
      <c r="T793" s="230"/>
      <c r="U793" s="230"/>
      <c r="V793" s="230"/>
      <c r="W793" s="230"/>
      <c r="X793" s="230"/>
      <c r="Y793" s="230"/>
      <c r="Z793" s="230"/>
    </row>
    <row r="794" spans="1:26" ht="15.75" customHeight="1">
      <c r="A794" s="230"/>
      <c r="B794" s="230"/>
      <c r="C794" s="230"/>
      <c r="D794" s="230"/>
      <c r="E794" s="230"/>
      <c r="F794" s="230"/>
      <c r="G794" s="230"/>
      <c r="H794" s="230"/>
      <c r="I794" s="230"/>
      <c r="J794" s="230"/>
      <c r="K794" s="230"/>
      <c r="L794" s="230"/>
      <c r="M794" s="230"/>
      <c r="N794" s="230"/>
      <c r="O794" s="230"/>
      <c r="P794" s="230"/>
      <c r="Q794" s="230"/>
      <c r="R794" s="230"/>
      <c r="S794" s="230"/>
      <c r="T794" s="230"/>
      <c r="U794" s="230"/>
      <c r="V794" s="230"/>
      <c r="W794" s="230"/>
      <c r="X794" s="230"/>
      <c r="Y794" s="230"/>
      <c r="Z794" s="230"/>
    </row>
    <row r="795" spans="1:26" ht="15.75" customHeight="1">
      <c r="A795" s="230"/>
      <c r="B795" s="230"/>
      <c r="C795" s="230"/>
      <c r="D795" s="230"/>
      <c r="E795" s="230"/>
      <c r="F795" s="230"/>
      <c r="G795" s="230"/>
      <c r="H795" s="230"/>
      <c r="I795" s="230"/>
      <c r="J795" s="230"/>
      <c r="K795" s="230"/>
      <c r="L795" s="230"/>
      <c r="M795" s="230"/>
      <c r="N795" s="230"/>
      <c r="O795" s="230"/>
      <c r="P795" s="230"/>
      <c r="Q795" s="230"/>
      <c r="R795" s="230"/>
      <c r="S795" s="230"/>
      <c r="T795" s="230"/>
      <c r="U795" s="230"/>
      <c r="V795" s="230"/>
      <c r="W795" s="230"/>
      <c r="X795" s="230"/>
      <c r="Y795" s="230"/>
      <c r="Z795" s="230"/>
    </row>
    <row r="796" spans="1:26" ht="15.75" customHeight="1">
      <c r="A796" s="230"/>
      <c r="B796" s="230"/>
      <c r="C796" s="230"/>
      <c r="D796" s="230"/>
      <c r="E796" s="230"/>
      <c r="F796" s="230"/>
      <c r="G796" s="230"/>
      <c r="H796" s="230"/>
      <c r="I796" s="230"/>
      <c r="J796" s="230"/>
      <c r="K796" s="230"/>
      <c r="L796" s="230"/>
      <c r="M796" s="230"/>
      <c r="N796" s="230"/>
      <c r="O796" s="230"/>
      <c r="P796" s="230"/>
      <c r="Q796" s="230"/>
      <c r="R796" s="230"/>
      <c r="S796" s="230"/>
      <c r="T796" s="230"/>
      <c r="U796" s="230"/>
      <c r="V796" s="230"/>
      <c r="W796" s="230"/>
      <c r="X796" s="230"/>
      <c r="Y796" s="230"/>
      <c r="Z796" s="230"/>
    </row>
    <row r="797" spans="1:26" ht="15.75" customHeight="1">
      <c r="A797" s="230"/>
      <c r="B797" s="230"/>
      <c r="C797" s="230"/>
      <c r="D797" s="230"/>
      <c r="E797" s="230"/>
      <c r="F797" s="230"/>
      <c r="G797" s="230"/>
      <c r="H797" s="230"/>
      <c r="I797" s="230"/>
      <c r="J797" s="230"/>
      <c r="K797" s="230"/>
      <c r="L797" s="230"/>
      <c r="M797" s="230"/>
      <c r="N797" s="230"/>
      <c r="O797" s="230"/>
      <c r="P797" s="230"/>
      <c r="Q797" s="230"/>
      <c r="R797" s="230"/>
      <c r="S797" s="230"/>
      <c r="T797" s="230"/>
      <c r="U797" s="230"/>
      <c r="V797" s="230"/>
      <c r="W797" s="230"/>
      <c r="X797" s="230"/>
      <c r="Y797" s="230"/>
      <c r="Z797" s="230"/>
    </row>
    <row r="798" spans="1:26" ht="15.75" customHeight="1">
      <c r="A798" s="230"/>
      <c r="B798" s="230"/>
      <c r="C798" s="230"/>
      <c r="D798" s="230"/>
      <c r="E798" s="230"/>
      <c r="F798" s="230"/>
      <c r="G798" s="230"/>
      <c r="H798" s="230"/>
      <c r="I798" s="230"/>
      <c r="J798" s="230"/>
      <c r="K798" s="230"/>
      <c r="L798" s="230"/>
      <c r="M798" s="230"/>
      <c r="N798" s="230"/>
      <c r="O798" s="230"/>
      <c r="P798" s="230"/>
      <c r="Q798" s="230"/>
      <c r="R798" s="230"/>
      <c r="S798" s="230"/>
      <c r="T798" s="230"/>
      <c r="U798" s="230"/>
      <c r="V798" s="230"/>
      <c r="W798" s="230"/>
      <c r="X798" s="230"/>
      <c r="Y798" s="230"/>
      <c r="Z798" s="230"/>
    </row>
    <row r="799" spans="1:26" ht="15.75" customHeight="1">
      <c r="A799" s="230"/>
      <c r="B799" s="230"/>
      <c r="C799" s="230"/>
      <c r="D799" s="230"/>
      <c r="E799" s="230"/>
      <c r="F799" s="230"/>
      <c r="G799" s="230"/>
      <c r="H799" s="230"/>
      <c r="I799" s="230"/>
      <c r="J799" s="230"/>
      <c r="K799" s="230"/>
      <c r="L799" s="230"/>
      <c r="M799" s="230"/>
      <c r="N799" s="230"/>
      <c r="O799" s="230"/>
      <c r="P799" s="230"/>
      <c r="Q799" s="230"/>
      <c r="R799" s="230"/>
      <c r="S799" s="230"/>
      <c r="T799" s="230"/>
      <c r="U799" s="230"/>
      <c r="V799" s="230"/>
      <c r="W799" s="230"/>
      <c r="X799" s="230"/>
      <c r="Y799" s="230"/>
      <c r="Z799" s="230"/>
    </row>
    <row r="800" spans="1:26" ht="15.75" customHeight="1">
      <c r="A800" s="230"/>
      <c r="B800" s="230"/>
      <c r="C800" s="230"/>
      <c r="D800" s="230"/>
      <c r="E800" s="230"/>
      <c r="F800" s="230"/>
      <c r="G800" s="230"/>
      <c r="H800" s="230"/>
      <c r="I800" s="230"/>
      <c r="J800" s="230"/>
      <c r="K800" s="230"/>
      <c r="L800" s="230"/>
      <c r="M800" s="230"/>
      <c r="N800" s="230"/>
      <c r="O800" s="230"/>
      <c r="P800" s="230"/>
      <c r="Q800" s="230"/>
      <c r="R800" s="230"/>
      <c r="S800" s="230"/>
      <c r="T800" s="230"/>
      <c r="U800" s="230"/>
      <c r="V800" s="230"/>
      <c r="W800" s="230"/>
      <c r="X800" s="230"/>
      <c r="Y800" s="230"/>
      <c r="Z800" s="230"/>
    </row>
    <row r="801" spans="1:26" ht="15.75" customHeight="1">
      <c r="A801" s="230"/>
      <c r="B801" s="230"/>
      <c r="C801" s="230"/>
      <c r="D801" s="230"/>
      <c r="E801" s="230"/>
      <c r="F801" s="230"/>
      <c r="G801" s="230"/>
      <c r="H801" s="230"/>
      <c r="I801" s="230"/>
      <c r="J801" s="230"/>
      <c r="K801" s="230"/>
      <c r="L801" s="230"/>
      <c r="M801" s="230"/>
      <c r="N801" s="230"/>
      <c r="O801" s="230"/>
      <c r="P801" s="230"/>
      <c r="Q801" s="230"/>
      <c r="R801" s="230"/>
      <c r="S801" s="230"/>
      <c r="T801" s="230"/>
      <c r="U801" s="230"/>
      <c r="V801" s="230"/>
      <c r="W801" s="230"/>
      <c r="X801" s="230"/>
      <c r="Y801" s="230"/>
      <c r="Z801" s="230"/>
    </row>
    <row r="802" spans="1:26" ht="15.75" customHeight="1">
      <c r="A802" s="230"/>
      <c r="B802" s="230"/>
      <c r="C802" s="230"/>
      <c r="D802" s="230"/>
      <c r="E802" s="230"/>
      <c r="F802" s="230"/>
      <c r="G802" s="230"/>
      <c r="H802" s="230"/>
      <c r="I802" s="230"/>
      <c r="J802" s="230"/>
      <c r="K802" s="230"/>
      <c r="L802" s="230"/>
      <c r="M802" s="230"/>
      <c r="N802" s="230"/>
      <c r="O802" s="230"/>
      <c r="P802" s="230"/>
      <c r="Q802" s="230"/>
      <c r="R802" s="230"/>
      <c r="S802" s="230"/>
      <c r="T802" s="230"/>
      <c r="U802" s="230"/>
      <c r="V802" s="230"/>
      <c r="W802" s="230"/>
      <c r="X802" s="230"/>
      <c r="Y802" s="230"/>
      <c r="Z802" s="230"/>
    </row>
    <row r="803" spans="1:26" ht="15.75" customHeight="1">
      <c r="A803" s="230"/>
      <c r="B803" s="230"/>
      <c r="C803" s="230"/>
      <c r="D803" s="230"/>
      <c r="E803" s="230"/>
      <c r="F803" s="230"/>
      <c r="G803" s="230"/>
      <c r="H803" s="230"/>
      <c r="I803" s="230"/>
      <c r="J803" s="230"/>
      <c r="K803" s="230"/>
      <c r="L803" s="230"/>
      <c r="M803" s="230"/>
      <c r="N803" s="230"/>
      <c r="O803" s="230"/>
      <c r="P803" s="230"/>
      <c r="Q803" s="230"/>
      <c r="R803" s="230"/>
      <c r="S803" s="230"/>
      <c r="T803" s="230"/>
      <c r="U803" s="230"/>
      <c r="V803" s="230"/>
      <c r="W803" s="230"/>
      <c r="X803" s="230"/>
      <c r="Y803" s="230"/>
      <c r="Z803" s="230"/>
    </row>
    <row r="804" spans="1:26" ht="15.75" customHeight="1">
      <c r="A804" s="230"/>
      <c r="B804" s="230"/>
      <c r="C804" s="230"/>
      <c r="D804" s="230"/>
      <c r="E804" s="230"/>
      <c r="F804" s="230"/>
      <c r="G804" s="230"/>
      <c r="H804" s="230"/>
      <c r="I804" s="230"/>
      <c r="J804" s="230"/>
      <c r="K804" s="230"/>
      <c r="L804" s="230"/>
      <c r="M804" s="230"/>
      <c r="N804" s="230"/>
      <c r="O804" s="230"/>
      <c r="P804" s="230"/>
      <c r="Q804" s="230"/>
      <c r="R804" s="230"/>
      <c r="S804" s="230"/>
      <c r="T804" s="230"/>
      <c r="U804" s="230"/>
      <c r="V804" s="230"/>
      <c r="W804" s="230"/>
      <c r="X804" s="230"/>
      <c r="Y804" s="230"/>
      <c r="Z804" s="230"/>
    </row>
    <row r="805" spans="1:26" ht="15.75" customHeight="1">
      <c r="A805" s="230"/>
      <c r="B805" s="230"/>
      <c r="C805" s="230"/>
      <c r="D805" s="230"/>
      <c r="E805" s="230"/>
      <c r="F805" s="230"/>
      <c r="G805" s="230"/>
      <c r="H805" s="230"/>
      <c r="I805" s="230"/>
      <c r="J805" s="230"/>
      <c r="K805" s="230"/>
      <c r="L805" s="230"/>
      <c r="M805" s="230"/>
      <c r="N805" s="230"/>
      <c r="O805" s="230"/>
      <c r="P805" s="230"/>
      <c r="Q805" s="230"/>
      <c r="R805" s="230"/>
      <c r="S805" s="230"/>
      <c r="T805" s="230"/>
      <c r="U805" s="230"/>
      <c r="V805" s="230"/>
      <c r="W805" s="230"/>
      <c r="X805" s="230"/>
      <c r="Y805" s="230"/>
      <c r="Z805" s="230"/>
    </row>
    <row r="806" spans="1:26" ht="15.75" customHeight="1">
      <c r="A806" s="230"/>
      <c r="B806" s="230"/>
      <c r="C806" s="230"/>
      <c r="D806" s="230"/>
      <c r="E806" s="230"/>
      <c r="F806" s="230"/>
      <c r="G806" s="230"/>
      <c r="H806" s="230"/>
      <c r="I806" s="230"/>
      <c r="J806" s="230"/>
      <c r="K806" s="230"/>
      <c r="L806" s="230"/>
      <c r="M806" s="230"/>
      <c r="N806" s="230"/>
      <c r="O806" s="230"/>
      <c r="P806" s="230"/>
      <c r="Q806" s="230"/>
      <c r="R806" s="230"/>
      <c r="S806" s="230"/>
      <c r="T806" s="230"/>
      <c r="U806" s="230"/>
      <c r="V806" s="230"/>
      <c r="W806" s="230"/>
      <c r="X806" s="230"/>
      <c r="Y806" s="230"/>
      <c r="Z806" s="230"/>
    </row>
    <row r="807" spans="1:26" ht="15.75" customHeight="1">
      <c r="A807" s="230"/>
      <c r="B807" s="230"/>
      <c r="C807" s="230"/>
      <c r="D807" s="230"/>
      <c r="E807" s="230"/>
      <c r="F807" s="230"/>
      <c r="G807" s="230"/>
      <c r="H807" s="230"/>
      <c r="I807" s="230"/>
      <c r="J807" s="230"/>
      <c r="K807" s="230"/>
      <c r="L807" s="230"/>
      <c r="M807" s="230"/>
      <c r="N807" s="230"/>
      <c r="O807" s="230"/>
      <c r="P807" s="230"/>
      <c r="Q807" s="230"/>
      <c r="R807" s="230"/>
      <c r="S807" s="230"/>
      <c r="T807" s="230"/>
      <c r="U807" s="230"/>
      <c r="V807" s="230"/>
      <c r="W807" s="230"/>
      <c r="X807" s="230"/>
      <c r="Y807" s="230"/>
      <c r="Z807" s="230"/>
    </row>
    <row r="808" spans="1:26" ht="15.75" customHeight="1">
      <c r="A808" s="230"/>
      <c r="B808" s="230"/>
      <c r="C808" s="230"/>
      <c r="D808" s="230"/>
      <c r="E808" s="230"/>
      <c r="F808" s="230"/>
      <c r="G808" s="230"/>
      <c r="H808" s="230"/>
      <c r="I808" s="230"/>
      <c r="J808" s="230"/>
      <c r="K808" s="230"/>
      <c r="L808" s="230"/>
      <c r="M808" s="230"/>
      <c r="N808" s="230"/>
      <c r="O808" s="230"/>
      <c r="P808" s="230"/>
      <c r="Q808" s="230"/>
      <c r="R808" s="230"/>
      <c r="S808" s="230"/>
      <c r="T808" s="230"/>
      <c r="U808" s="230"/>
      <c r="V808" s="230"/>
      <c r="W808" s="230"/>
      <c r="X808" s="230"/>
      <c r="Y808" s="230"/>
      <c r="Z808" s="230"/>
    </row>
    <row r="809" spans="1:26" ht="15.75" customHeight="1">
      <c r="A809" s="230"/>
      <c r="B809" s="230"/>
      <c r="C809" s="230"/>
      <c r="D809" s="230"/>
      <c r="E809" s="230"/>
      <c r="F809" s="230"/>
      <c r="G809" s="230"/>
      <c r="H809" s="230"/>
      <c r="I809" s="230"/>
      <c r="J809" s="230"/>
      <c r="K809" s="230"/>
      <c r="L809" s="230"/>
      <c r="M809" s="230"/>
      <c r="N809" s="230"/>
      <c r="O809" s="230"/>
      <c r="P809" s="230"/>
      <c r="Q809" s="230"/>
      <c r="R809" s="230"/>
      <c r="S809" s="230"/>
      <c r="T809" s="230"/>
      <c r="U809" s="230"/>
      <c r="V809" s="230"/>
      <c r="W809" s="230"/>
      <c r="X809" s="230"/>
      <c r="Y809" s="230"/>
      <c r="Z809" s="230"/>
    </row>
    <row r="810" spans="1:26" ht="15.75" customHeight="1">
      <c r="A810" s="230"/>
      <c r="B810" s="230"/>
      <c r="C810" s="230"/>
      <c r="D810" s="230"/>
      <c r="E810" s="230"/>
      <c r="F810" s="230"/>
      <c r="G810" s="230"/>
      <c r="H810" s="230"/>
      <c r="I810" s="230"/>
      <c r="J810" s="230"/>
      <c r="K810" s="230"/>
      <c r="L810" s="230"/>
      <c r="M810" s="230"/>
      <c r="N810" s="230"/>
      <c r="O810" s="230"/>
      <c r="P810" s="230"/>
      <c r="Q810" s="230"/>
      <c r="R810" s="230"/>
      <c r="S810" s="230"/>
      <c r="T810" s="230"/>
      <c r="U810" s="230"/>
      <c r="V810" s="230"/>
      <c r="W810" s="230"/>
      <c r="X810" s="230"/>
      <c r="Y810" s="230"/>
      <c r="Z810" s="230"/>
    </row>
    <row r="811" spans="1:26" ht="15.75" customHeight="1">
      <c r="A811" s="230"/>
      <c r="B811" s="230"/>
      <c r="C811" s="230"/>
      <c r="D811" s="230"/>
      <c r="E811" s="230"/>
      <c r="F811" s="230"/>
      <c r="G811" s="230"/>
      <c r="H811" s="230"/>
      <c r="I811" s="230"/>
      <c r="J811" s="230"/>
      <c r="K811" s="230"/>
      <c r="L811" s="230"/>
      <c r="M811" s="230"/>
      <c r="N811" s="230"/>
      <c r="O811" s="230"/>
      <c r="P811" s="230"/>
      <c r="Q811" s="230"/>
      <c r="R811" s="230"/>
      <c r="S811" s="230"/>
      <c r="T811" s="230"/>
      <c r="U811" s="230"/>
      <c r="V811" s="230"/>
      <c r="W811" s="230"/>
      <c r="X811" s="230"/>
      <c r="Y811" s="230"/>
      <c r="Z811" s="230"/>
    </row>
    <row r="812" spans="1:26" ht="15.75" customHeight="1">
      <c r="A812" s="230"/>
      <c r="B812" s="230"/>
      <c r="C812" s="230"/>
      <c r="D812" s="230"/>
      <c r="E812" s="230"/>
      <c r="F812" s="230"/>
      <c r="G812" s="230"/>
      <c r="H812" s="230"/>
      <c r="I812" s="230"/>
      <c r="J812" s="230"/>
      <c r="K812" s="230"/>
      <c r="L812" s="230"/>
      <c r="M812" s="230"/>
      <c r="N812" s="230"/>
      <c r="O812" s="230"/>
      <c r="P812" s="230"/>
      <c r="Q812" s="230"/>
      <c r="R812" s="230"/>
      <c r="S812" s="230"/>
      <c r="T812" s="230"/>
      <c r="U812" s="230"/>
      <c r="V812" s="230"/>
      <c r="W812" s="230"/>
      <c r="X812" s="230"/>
      <c r="Y812" s="230"/>
      <c r="Z812" s="230"/>
    </row>
    <row r="813" spans="1:26" ht="15.75" customHeight="1">
      <c r="A813" s="230"/>
      <c r="B813" s="230"/>
      <c r="C813" s="230"/>
      <c r="D813" s="230"/>
      <c r="E813" s="230"/>
      <c r="F813" s="230"/>
      <c r="G813" s="230"/>
      <c r="H813" s="230"/>
      <c r="I813" s="230"/>
      <c r="J813" s="230"/>
      <c r="K813" s="230"/>
      <c r="L813" s="230"/>
      <c r="M813" s="230"/>
      <c r="N813" s="230"/>
      <c r="O813" s="230"/>
      <c r="P813" s="230"/>
      <c r="Q813" s="230"/>
      <c r="R813" s="230"/>
      <c r="S813" s="230"/>
      <c r="T813" s="230"/>
      <c r="U813" s="230"/>
      <c r="V813" s="230"/>
      <c r="W813" s="230"/>
      <c r="X813" s="230"/>
      <c r="Y813" s="230"/>
      <c r="Z813" s="230"/>
    </row>
    <row r="814" spans="1:26" ht="15.75" customHeight="1">
      <c r="A814" s="230"/>
      <c r="B814" s="230"/>
      <c r="C814" s="230"/>
      <c r="D814" s="230"/>
      <c r="E814" s="230"/>
      <c r="F814" s="230"/>
      <c r="G814" s="230"/>
      <c r="H814" s="230"/>
      <c r="I814" s="230"/>
      <c r="J814" s="230"/>
      <c r="K814" s="230"/>
      <c r="L814" s="230"/>
      <c r="M814" s="230"/>
      <c r="N814" s="230"/>
      <c r="O814" s="230"/>
      <c r="P814" s="230"/>
      <c r="Q814" s="230"/>
      <c r="R814" s="230"/>
      <c r="S814" s="230"/>
      <c r="T814" s="230"/>
      <c r="U814" s="230"/>
      <c r="V814" s="230"/>
      <c r="W814" s="230"/>
      <c r="X814" s="230"/>
      <c r="Y814" s="230"/>
      <c r="Z814" s="230"/>
    </row>
    <row r="815" spans="1:26" ht="15.75" customHeight="1">
      <c r="A815" s="230"/>
      <c r="B815" s="230"/>
      <c r="C815" s="230"/>
      <c r="D815" s="230"/>
      <c r="E815" s="230"/>
      <c r="F815" s="230"/>
      <c r="G815" s="230"/>
      <c r="H815" s="230"/>
      <c r="I815" s="230"/>
      <c r="J815" s="230"/>
      <c r="K815" s="230"/>
      <c r="L815" s="230"/>
      <c r="M815" s="230"/>
      <c r="N815" s="230"/>
      <c r="O815" s="230"/>
      <c r="P815" s="230"/>
      <c r="Q815" s="230"/>
      <c r="R815" s="230"/>
      <c r="S815" s="230"/>
      <c r="T815" s="230"/>
      <c r="U815" s="230"/>
      <c r="V815" s="230"/>
      <c r="W815" s="230"/>
      <c r="X815" s="230"/>
      <c r="Y815" s="230"/>
      <c r="Z815" s="230"/>
    </row>
    <row r="816" spans="1:26" ht="15.75" customHeight="1">
      <c r="A816" s="230"/>
      <c r="B816" s="230"/>
      <c r="C816" s="230"/>
      <c r="D816" s="230"/>
      <c r="E816" s="230"/>
      <c r="F816" s="230"/>
      <c r="G816" s="230"/>
      <c r="H816" s="230"/>
      <c r="I816" s="230"/>
      <c r="J816" s="230"/>
      <c r="K816" s="230"/>
      <c r="L816" s="230"/>
      <c r="M816" s="230"/>
      <c r="N816" s="230"/>
      <c r="O816" s="230"/>
      <c r="P816" s="230"/>
      <c r="Q816" s="230"/>
      <c r="R816" s="230"/>
      <c r="S816" s="230"/>
      <c r="T816" s="230"/>
      <c r="U816" s="230"/>
      <c r="V816" s="230"/>
      <c r="W816" s="230"/>
      <c r="X816" s="230"/>
      <c r="Y816" s="230"/>
      <c r="Z816" s="230"/>
    </row>
    <row r="817" spans="1:26" ht="15.75" customHeight="1">
      <c r="A817" s="230"/>
      <c r="B817" s="230"/>
      <c r="C817" s="230"/>
      <c r="D817" s="230"/>
      <c r="E817" s="230"/>
      <c r="F817" s="230"/>
      <c r="G817" s="230"/>
      <c r="H817" s="230"/>
      <c r="I817" s="230"/>
      <c r="J817" s="230"/>
      <c r="K817" s="230"/>
      <c r="L817" s="230"/>
      <c r="M817" s="230"/>
      <c r="N817" s="230"/>
      <c r="O817" s="230"/>
      <c r="P817" s="230"/>
      <c r="Q817" s="230"/>
      <c r="R817" s="230"/>
      <c r="S817" s="230"/>
      <c r="T817" s="230"/>
      <c r="U817" s="230"/>
      <c r="V817" s="230"/>
      <c r="W817" s="230"/>
      <c r="X817" s="230"/>
      <c r="Y817" s="230"/>
      <c r="Z817" s="230"/>
    </row>
    <row r="818" spans="1:26" ht="15.75" customHeight="1">
      <c r="A818" s="230"/>
      <c r="B818" s="230"/>
      <c r="C818" s="230"/>
      <c r="D818" s="230"/>
      <c r="E818" s="230"/>
      <c r="F818" s="230"/>
      <c r="G818" s="230"/>
      <c r="H818" s="230"/>
      <c r="I818" s="230"/>
      <c r="J818" s="230"/>
      <c r="K818" s="230"/>
      <c r="L818" s="230"/>
      <c r="M818" s="230"/>
      <c r="N818" s="230"/>
      <c r="O818" s="230"/>
      <c r="P818" s="230"/>
      <c r="Q818" s="230"/>
      <c r="R818" s="230"/>
      <c r="S818" s="230"/>
      <c r="T818" s="230"/>
      <c r="U818" s="230"/>
      <c r="V818" s="230"/>
      <c r="W818" s="230"/>
      <c r="X818" s="230"/>
      <c r="Y818" s="230"/>
      <c r="Z818" s="230"/>
    </row>
    <row r="819" spans="1:26" ht="15.75" customHeight="1">
      <c r="A819" s="230"/>
      <c r="B819" s="230"/>
      <c r="C819" s="230"/>
      <c r="D819" s="230"/>
      <c r="E819" s="230"/>
      <c r="F819" s="230"/>
      <c r="G819" s="230"/>
      <c r="H819" s="230"/>
      <c r="I819" s="230"/>
      <c r="J819" s="230"/>
      <c r="K819" s="230"/>
      <c r="L819" s="230"/>
      <c r="M819" s="230"/>
      <c r="N819" s="230"/>
      <c r="O819" s="230"/>
      <c r="P819" s="230"/>
      <c r="Q819" s="230"/>
      <c r="R819" s="230"/>
      <c r="S819" s="230"/>
      <c r="T819" s="230"/>
      <c r="U819" s="230"/>
      <c r="V819" s="230"/>
      <c r="W819" s="230"/>
      <c r="X819" s="230"/>
      <c r="Y819" s="230"/>
      <c r="Z819" s="230"/>
    </row>
    <row r="820" spans="1:26" ht="15.75" customHeight="1">
      <c r="A820" s="230"/>
      <c r="B820" s="230"/>
      <c r="C820" s="230"/>
      <c r="D820" s="230"/>
      <c r="E820" s="230"/>
      <c r="F820" s="230"/>
      <c r="G820" s="230"/>
      <c r="H820" s="230"/>
      <c r="I820" s="230"/>
      <c r="J820" s="230"/>
      <c r="K820" s="230"/>
      <c r="L820" s="230"/>
      <c r="M820" s="230"/>
      <c r="N820" s="230"/>
      <c r="O820" s="230"/>
      <c r="P820" s="230"/>
      <c r="Q820" s="230"/>
      <c r="R820" s="230"/>
      <c r="S820" s="230"/>
      <c r="T820" s="230"/>
      <c r="U820" s="230"/>
      <c r="V820" s="230"/>
      <c r="W820" s="230"/>
      <c r="X820" s="230"/>
      <c r="Y820" s="230"/>
      <c r="Z820" s="230"/>
    </row>
    <row r="821" spans="1:26" ht="15.75" customHeight="1">
      <c r="A821" s="230"/>
      <c r="B821" s="230"/>
      <c r="C821" s="230"/>
      <c r="D821" s="230"/>
      <c r="E821" s="230"/>
      <c r="F821" s="230"/>
      <c r="G821" s="230"/>
      <c r="H821" s="230"/>
      <c r="I821" s="230"/>
      <c r="J821" s="230"/>
      <c r="K821" s="230"/>
      <c r="L821" s="230"/>
      <c r="M821" s="230"/>
      <c r="N821" s="230"/>
      <c r="O821" s="230"/>
      <c r="P821" s="230"/>
      <c r="Q821" s="230"/>
      <c r="R821" s="230"/>
      <c r="S821" s="230"/>
      <c r="T821" s="230"/>
      <c r="U821" s="230"/>
      <c r="V821" s="230"/>
      <c r="W821" s="230"/>
      <c r="X821" s="230"/>
      <c r="Y821" s="230"/>
      <c r="Z821" s="230"/>
    </row>
    <row r="822" spans="1:26" ht="15.75" customHeight="1">
      <c r="A822" s="230"/>
      <c r="B822" s="230"/>
      <c r="C822" s="230"/>
      <c r="D822" s="230"/>
      <c r="E822" s="230"/>
      <c r="F822" s="230"/>
      <c r="G822" s="230"/>
      <c r="H822" s="230"/>
      <c r="I822" s="230"/>
      <c r="J822" s="230"/>
      <c r="K822" s="230"/>
      <c r="L822" s="230"/>
      <c r="M822" s="230"/>
      <c r="N822" s="230"/>
      <c r="O822" s="230"/>
      <c r="P822" s="230"/>
      <c r="Q822" s="230"/>
      <c r="R822" s="230"/>
      <c r="S822" s="230"/>
      <c r="T822" s="230"/>
      <c r="U822" s="230"/>
      <c r="V822" s="230"/>
      <c r="W822" s="230"/>
      <c r="X822" s="230"/>
      <c r="Y822" s="230"/>
      <c r="Z822" s="230"/>
    </row>
    <row r="823" spans="1:26" ht="15.75" customHeight="1">
      <c r="A823" s="230"/>
      <c r="B823" s="230"/>
      <c r="C823" s="230"/>
      <c r="D823" s="230"/>
      <c r="E823" s="230"/>
      <c r="F823" s="230"/>
      <c r="G823" s="230"/>
      <c r="H823" s="230"/>
      <c r="I823" s="230"/>
      <c r="J823" s="230"/>
      <c r="K823" s="230"/>
      <c r="L823" s="230"/>
      <c r="M823" s="230"/>
      <c r="N823" s="230"/>
      <c r="O823" s="230"/>
      <c r="P823" s="230"/>
      <c r="Q823" s="230"/>
      <c r="R823" s="230"/>
      <c r="S823" s="230"/>
      <c r="T823" s="230"/>
      <c r="U823" s="230"/>
      <c r="V823" s="230"/>
      <c r="W823" s="230"/>
      <c r="X823" s="230"/>
      <c r="Y823" s="230"/>
      <c r="Z823" s="230"/>
    </row>
    <row r="824" spans="1:26" ht="15.75" customHeight="1">
      <c r="A824" s="230"/>
      <c r="B824" s="230"/>
      <c r="C824" s="230"/>
      <c r="D824" s="230"/>
      <c r="E824" s="230"/>
      <c r="F824" s="230"/>
      <c r="G824" s="230"/>
      <c r="H824" s="230"/>
      <c r="I824" s="230"/>
      <c r="J824" s="230"/>
      <c r="K824" s="230"/>
      <c r="L824" s="230"/>
      <c r="M824" s="230"/>
      <c r="N824" s="230"/>
      <c r="O824" s="230"/>
      <c r="P824" s="230"/>
      <c r="Q824" s="230"/>
      <c r="R824" s="230"/>
      <c r="S824" s="230"/>
      <c r="T824" s="230"/>
      <c r="U824" s="230"/>
      <c r="V824" s="230"/>
      <c r="W824" s="230"/>
      <c r="X824" s="230"/>
      <c r="Y824" s="230"/>
      <c r="Z824" s="230"/>
    </row>
    <row r="825" spans="1:26" ht="15.75" customHeight="1">
      <c r="A825" s="230"/>
      <c r="B825" s="230"/>
      <c r="C825" s="230"/>
      <c r="D825" s="230"/>
      <c r="E825" s="230"/>
      <c r="F825" s="230"/>
      <c r="G825" s="230"/>
      <c r="H825" s="230"/>
      <c r="I825" s="230"/>
      <c r="J825" s="230"/>
      <c r="K825" s="230"/>
      <c r="L825" s="230"/>
      <c r="M825" s="230"/>
      <c r="N825" s="230"/>
      <c r="O825" s="230"/>
      <c r="P825" s="230"/>
      <c r="Q825" s="230"/>
      <c r="R825" s="230"/>
      <c r="S825" s="230"/>
      <c r="T825" s="230"/>
      <c r="U825" s="230"/>
      <c r="V825" s="230"/>
      <c r="W825" s="230"/>
      <c r="X825" s="230"/>
      <c r="Y825" s="230"/>
      <c r="Z825" s="230"/>
    </row>
    <row r="826" spans="1:26" ht="15.75" customHeight="1">
      <c r="A826" s="230"/>
      <c r="B826" s="230"/>
      <c r="C826" s="230"/>
      <c r="D826" s="230"/>
      <c r="E826" s="230"/>
      <c r="F826" s="230"/>
      <c r="G826" s="230"/>
      <c r="H826" s="230"/>
      <c r="I826" s="230"/>
      <c r="J826" s="230"/>
      <c r="K826" s="230"/>
      <c r="L826" s="230"/>
      <c r="M826" s="230"/>
      <c r="N826" s="230"/>
      <c r="O826" s="230"/>
      <c r="P826" s="230"/>
      <c r="Q826" s="230"/>
      <c r="R826" s="230"/>
      <c r="S826" s="230"/>
      <c r="T826" s="230"/>
      <c r="U826" s="230"/>
      <c r="V826" s="230"/>
      <c r="W826" s="230"/>
      <c r="X826" s="230"/>
      <c r="Y826" s="230"/>
      <c r="Z826" s="230"/>
    </row>
    <row r="827" spans="1:26" ht="15.75" customHeight="1">
      <c r="A827" s="230"/>
      <c r="B827" s="230"/>
      <c r="C827" s="230"/>
      <c r="D827" s="230"/>
      <c r="E827" s="230"/>
      <c r="F827" s="230"/>
      <c r="G827" s="230"/>
      <c r="H827" s="230"/>
      <c r="I827" s="230"/>
      <c r="J827" s="230"/>
      <c r="K827" s="230"/>
      <c r="L827" s="230"/>
      <c r="M827" s="230"/>
      <c r="N827" s="230"/>
      <c r="O827" s="230"/>
      <c r="P827" s="230"/>
      <c r="Q827" s="230"/>
      <c r="R827" s="230"/>
      <c r="S827" s="230"/>
      <c r="T827" s="230"/>
      <c r="U827" s="230"/>
      <c r="V827" s="230"/>
      <c r="W827" s="230"/>
      <c r="X827" s="230"/>
      <c r="Y827" s="230"/>
      <c r="Z827" s="230"/>
    </row>
    <row r="828" spans="1:26" ht="15.75" customHeight="1">
      <c r="A828" s="230"/>
      <c r="B828" s="230"/>
      <c r="C828" s="230"/>
      <c r="D828" s="230"/>
      <c r="E828" s="230"/>
      <c r="F828" s="230"/>
      <c r="G828" s="230"/>
      <c r="H828" s="230"/>
      <c r="I828" s="230"/>
      <c r="J828" s="230"/>
      <c r="K828" s="230"/>
      <c r="L828" s="230"/>
      <c r="M828" s="230"/>
      <c r="N828" s="230"/>
      <c r="O828" s="230"/>
      <c r="P828" s="230"/>
      <c r="Q828" s="230"/>
      <c r="R828" s="230"/>
      <c r="S828" s="230"/>
      <c r="T828" s="230"/>
      <c r="U828" s="230"/>
      <c r="V828" s="230"/>
      <c r="W828" s="230"/>
      <c r="X828" s="230"/>
      <c r="Y828" s="230"/>
      <c r="Z828" s="230"/>
    </row>
    <row r="829" spans="1:26" ht="15.75" customHeight="1">
      <c r="A829" s="230"/>
      <c r="B829" s="230"/>
      <c r="C829" s="230"/>
      <c r="D829" s="230"/>
      <c r="E829" s="230"/>
      <c r="F829" s="230"/>
      <c r="G829" s="230"/>
      <c r="H829" s="230"/>
      <c r="I829" s="230"/>
      <c r="J829" s="230"/>
      <c r="K829" s="230"/>
      <c r="L829" s="230"/>
      <c r="M829" s="230"/>
      <c r="N829" s="230"/>
      <c r="O829" s="230"/>
      <c r="P829" s="230"/>
      <c r="Q829" s="230"/>
      <c r="R829" s="230"/>
      <c r="S829" s="230"/>
      <c r="T829" s="230"/>
      <c r="U829" s="230"/>
      <c r="V829" s="230"/>
      <c r="W829" s="230"/>
      <c r="X829" s="230"/>
      <c r="Y829" s="230"/>
      <c r="Z829" s="230"/>
    </row>
    <row r="830" spans="1:26" ht="15.75" customHeight="1">
      <c r="A830" s="230"/>
      <c r="B830" s="230"/>
      <c r="C830" s="230"/>
      <c r="D830" s="230"/>
      <c r="E830" s="230"/>
      <c r="F830" s="230"/>
      <c r="G830" s="230"/>
      <c r="H830" s="230"/>
      <c r="I830" s="230"/>
      <c r="J830" s="230"/>
      <c r="K830" s="230"/>
      <c r="L830" s="230"/>
      <c r="M830" s="230"/>
      <c r="N830" s="230"/>
      <c r="O830" s="230"/>
      <c r="P830" s="230"/>
      <c r="Q830" s="230"/>
      <c r="R830" s="230"/>
      <c r="S830" s="230"/>
      <c r="T830" s="230"/>
      <c r="U830" s="230"/>
      <c r="V830" s="230"/>
      <c r="W830" s="230"/>
      <c r="X830" s="230"/>
      <c r="Y830" s="230"/>
      <c r="Z830" s="230"/>
    </row>
    <row r="831" spans="1:26" ht="15.75" customHeight="1">
      <c r="A831" s="230"/>
      <c r="B831" s="230"/>
      <c r="C831" s="230"/>
      <c r="D831" s="230"/>
      <c r="E831" s="230"/>
      <c r="F831" s="230"/>
      <c r="G831" s="230"/>
      <c r="H831" s="230"/>
      <c r="I831" s="230"/>
      <c r="J831" s="230"/>
      <c r="K831" s="230"/>
      <c r="L831" s="230"/>
      <c r="M831" s="230"/>
      <c r="N831" s="230"/>
      <c r="O831" s="230"/>
      <c r="P831" s="230"/>
      <c r="Q831" s="230"/>
      <c r="R831" s="230"/>
      <c r="S831" s="230"/>
      <c r="T831" s="230"/>
      <c r="U831" s="230"/>
      <c r="V831" s="230"/>
      <c r="W831" s="230"/>
      <c r="X831" s="230"/>
      <c r="Y831" s="230"/>
      <c r="Z831" s="230"/>
    </row>
    <row r="832" spans="1:26" ht="15.75" customHeight="1">
      <c r="A832" s="230"/>
      <c r="B832" s="230"/>
      <c r="C832" s="230"/>
      <c r="D832" s="230"/>
      <c r="E832" s="230"/>
      <c r="F832" s="230"/>
      <c r="G832" s="230"/>
      <c r="H832" s="230"/>
      <c r="I832" s="230"/>
      <c r="J832" s="230"/>
      <c r="K832" s="230"/>
      <c r="L832" s="230"/>
      <c r="M832" s="230"/>
      <c r="N832" s="230"/>
      <c r="O832" s="230"/>
      <c r="P832" s="230"/>
      <c r="Q832" s="230"/>
      <c r="R832" s="230"/>
      <c r="S832" s="230"/>
      <c r="T832" s="230"/>
      <c r="U832" s="230"/>
      <c r="V832" s="230"/>
      <c r="W832" s="230"/>
      <c r="X832" s="230"/>
      <c r="Y832" s="230"/>
      <c r="Z832" s="230"/>
    </row>
    <row r="833" spans="1:26" ht="15.75" customHeight="1">
      <c r="A833" s="230"/>
      <c r="B833" s="230"/>
      <c r="C833" s="230"/>
      <c r="D833" s="230"/>
      <c r="E833" s="230"/>
      <c r="F833" s="230"/>
      <c r="G833" s="230"/>
      <c r="H833" s="230"/>
      <c r="I833" s="230"/>
      <c r="J833" s="230"/>
      <c r="K833" s="230"/>
      <c r="L833" s="230"/>
      <c r="M833" s="230"/>
      <c r="N833" s="230"/>
      <c r="O833" s="230"/>
      <c r="P833" s="230"/>
      <c r="Q833" s="230"/>
      <c r="R833" s="230"/>
      <c r="S833" s="230"/>
      <c r="T833" s="230"/>
      <c r="U833" s="230"/>
      <c r="V833" s="230"/>
      <c r="W833" s="230"/>
      <c r="X833" s="230"/>
      <c r="Y833" s="230"/>
      <c r="Z833" s="230"/>
    </row>
    <row r="834" spans="1:26" ht="15.75" customHeight="1">
      <c r="A834" s="230"/>
      <c r="B834" s="230"/>
      <c r="C834" s="230"/>
      <c r="D834" s="230"/>
      <c r="E834" s="230"/>
      <c r="F834" s="230"/>
      <c r="G834" s="230"/>
      <c r="H834" s="230"/>
      <c r="I834" s="230"/>
      <c r="J834" s="230"/>
      <c r="K834" s="230"/>
      <c r="L834" s="230"/>
      <c r="M834" s="230"/>
      <c r="N834" s="230"/>
      <c r="O834" s="230"/>
      <c r="P834" s="230"/>
      <c r="Q834" s="230"/>
      <c r="R834" s="230"/>
      <c r="S834" s="230"/>
      <c r="T834" s="230"/>
      <c r="U834" s="230"/>
      <c r="V834" s="230"/>
      <c r="W834" s="230"/>
      <c r="X834" s="230"/>
      <c r="Y834" s="230"/>
      <c r="Z834" s="230"/>
    </row>
    <row r="835" spans="1:26" ht="15.75" customHeight="1">
      <c r="A835" s="230"/>
      <c r="B835" s="230"/>
      <c r="C835" s="230"/>
      <c r="D835" s="230"/>
      <c r="E835" s="230"/>
      <c r="F835" s="230"/>
      <c r="G835" s="230"/>
      <c r="H835" s="230"/>
      <c r="I835" s="230"/>
      <c r="J835" s="230"/>
      <c r="K835" s="230"/>
      <c r="L835" s="230"/>
      <c r="M835" s="230"/>
      <c r="N835" s="230"/>
      <c r="O835" s="230"/>
      <c r="P835" s="230"/>
      <c r="Q835" s="230"/>
      <c r="R835" s="230"/>
      <c r="S835" s="230"/>
      <c r="T835" s="230"/>
      <c r="U835" s="230"/>
      <c r="V835" s="230"/>
      <c r="W835" s="230"/>
      <c r="X835" s="230"/>
      <c r="Y835" s="230"/>
      <c r="Z835" s="230"/>
    </row>
    <row r="836" spans="1:26" ht="15.75" customHeight="1">
      <c r="A836" s="230"/>
      <c r="B836" s="230"/>
      <c r="C836" s="230"/>
      <c r="D836" s="230"/>
      <c r="E836" s="230"/>
      <c r="F836" s="230"/>
      <c r="G836" s="230"/>
      <c r="H836" s="230"/>
      <c r="I836" s="230"/>
      <c r="J836" s="230"/>
      <c r="K836" s="230"/>
      <c r="L836" s="230"/>
      <c r="M836" s="230"/>
      <c r="N836" s="230"/>
      <c r="O836" s="230"/>
      <c r="P836" s="230"/>
      <c r="Q836" s="230"/>
      <c r="R836" s="230"/>
      <c r="S836" s="230"/>
      <c r="T836" s="230"/>
      <c r="U836" s="230"/>
      <c r="V836" s="230"/>
      <c r="W836" s="230"/>
      <c r="X836" s="230"/>
      <c r="Y836" s="230"/>
      <c r="Z836" s="230"/>
    </row>
    <row r="837" spans="1:26" ht="15.75" customHeight="1">
      <c r="A837" s="230"/>
      <c r="B837" s="230"/>
      <c r="C837" s="230"/>
      <c r="D837" s="230"/>
      <c r="E837" s="230"/>
      <c r="F837" s="230"/>
      <c r="G837" s="230"/>
      <c r="H837" s="230"/>
      <c r="I837" s="230"/>
      <c r="J837" s="230"/>
      <c r="K837" s="230"/>
      <c r="L837" s="230"/>
      <c r="M837" s="230"/>
      <c r="N837" s="230"/>
      <c r="O837" s="230"/>
      <c r="P837" s="230"/>
      <c r="Q837" s="230"/>
      <c r="R837" s="230"/>
      <c r="S837" s="230"/>
      <c r="T837" s="230"/>
      <c r="U837" s="230"/>
      <c r="V837" s="230"/>
      <c r="W837" s="230"/>
      <c r="X837" s="230"/>
      <c r="Y837" s="230"/>
      <c r="Z837" s="230"/>
    </row>
    <row r="838" spans="1:26" ht="15.75" customHeight="1">
      <c r="A838" s="230"/>
      <c r="B838" s="230"/>
      <c r="C838" s="230"/>
      <c r="D838" s="230"/>
      <c r="E838" s="230"/>
      <c r="F838" s="230"/>
      <c r="G838" s="230"/>
      <c r="H838" s="230"/>
      <c r="I838" s="230"/>
      <c r="J838" s="230"/>
      <c r="K838" s="230"/>
      <c r="L838" s="230"/>
      <c r="M838" s="230"/>
      <c r="N838" s="230"/>
      <c r="O838" s="230"/>
      <c r="P838" s="230"/>
      <c r="Q838" s="230"/>
      <c r="R838" s="230"/>
      <c r="S838" s="230"/>
      <c r="T838" s="230"/>
      <c r="U838" s="230"/>
      <c r="V838" s="230"/>
      <c r="W838" s="230"/>
      <c r="X838" s="230"/>
      <c r="Y838" s="230"/>
      <c r="Z838" s="230"/>
    </row>
    <row r="839" spans="1:26" ht="15.75" customHeight="1">
      <c r="A839" s="230"/>
      <c r="B839" s="230"/>
      <c r="C839" s="230"/>
      <c r="D839" s="230"/>
      <c r="E839" s="230"/>
      <c r="F839" s="230"/>
      <c r="G839" s="230"/>
      <c r="H839" s="230"/>
      <c r="I839" s="230"/>
      <c r="J839" s="230"/>
      <c r="K839" s="230"/>
      <c r="L839" s="230"/>
      <c r="M839" s="230"/>
      <c r="N839" s="230"/>
      <c r="O839" s="230"/>
      <c r="P839" s="230"/>
      <c r="Q839" s="230"/>
      <c r="R839" s="230"/>
      <c r="S839" s="230"/>
      <c r="T839" s="230"/>
      <c r="U839" s="230"/>
      <c r="V839" s="230"/>
      <c r="W839" s="230"/>
      <c r="X839" s="230"/>
      <c r="Y839" s="230"/>
      <c r="Z839" s="230"/>
    </row>
    <row r="840" spans="1:26" ht="15.75" customHeight="1">
      <c r="A840" s="230"/>
      <c r="B840" s="230"/>
      <c r="C840" s="230"/>
      <c r="D840" s="230"/>
      <c r="E840" s="230"/>
      <c r="F840" s="230"/>
      <c r="G840" s="230"/>
      <c r="H840" s="230"/>
      <c r="I840" s="230"/>
      <c r="J840" s="230"/>
      <c r="K840" s="230"/>
      <c r="L840" s="230"/>
      <c r="M840" s="230"/>
      <c r="N840" s="230"/>
      <c r="O840" s="230"/>
      <c r="P840" s="230"/>
      <c r="Q840" s="230"/>
      <c r="R840" s="230"/>
      <c r="S840" s="230"/>
      <c r="T840" s="230"/>
      <c r="U840" s="230"/>
      <c r="V840" s="230"/>
      <c r="W840" s="230"/>
      <c r="X840" s="230"/>
      <c r="Y840" s="230"/>
      <c r="Z840" s="230"/>
    </row>
    <row r="841" spans="1:26" ht="15.75" customHeight="1">
      <c r="A841" s="230"/>
      <c r="B841" s="230"/>
      <c r="C841" s="230"/>
      <c r="D841" s="230"/>
      <c r="E841" s="230"/>
      <c r="F841" s="230"/>
      <c r="G841" s="230"/>
      <c r="H841" s="230"/>
      <c r="I841" s="230"/>
      <c r="J841" s="230"/>
      <c r="K841" s="230"/>
      <c r="L841" s="230"/>
      <c r="M841" s="230"/>
      <c r="N841" s="230"/>
      <c r="O841" s="230"/>
      <c r="P841" s="230"/>
      <c r="Q841" s="230"/>
      <c r="R841" s="230"/>
      <c r="S841" s="230"/>
      <c r="T841" s="230"/>
      <c r="U841" s="230"/>
      <c r="V841" s="230"/>
      <c r="W841" s="230"/>
      <c r="X841" s="230"/>
      <c r="Y841" s="230"/>
      <c r="Z841" s="230"/>
    </row>
    <row r="842" spans="1:26" ht="15.75" customHeight="1">
      <c r="A842" s="230"/>
      <c r="B842" s="230"/>
      <c r="C842" s="230"/>
      <c r="D842" s="230"/>
      <c r="E842" s="230"/>
      <c r="F842" s="230"/>
      <c r="G842" s="230"/>
      <c r="H842" s="230"/>
      <c r="I842" s="230"/>
      <c r="J842" s="230"/>
      <c r="K842" s="230"/>
      <c r="L842" s="230"/>
      <c r="M842" s="230"/>
      <c r="N842" s="230"/>
      <c r="O842" s="230"/>
      <c r="P842" s="230"/>
      <c r="Q842" s="230"/>
      <c r="R842" s="230"/>
      <c r="S842" s="230"/>
      <c r="T842" s="230"/>
      <c r="U842" s="230"/>
      <c r="V842" s="230"/>
      <c r="W842" s="230"/>
      <c r="X842" s="230"/>
      <c r="Y842" s="230"/>
      <c r="Z842" s="230"/>
    </row>
    <row r="843" spans="1:26" ht="15.75" customHeight="1">
      <c r="A843" s="230"/>
      <c r="B843" s="230"/>
      <c r="C843" s="230"/>
      <c r="D843" s="230"/>
      <c r="E843" s="230"/>
      <c r="F843" s="230"/>
      <c r="G843" s="230"/>
      <c r="H843" s="230"/>
      <c r="I843" s="230"/>
      <c r="J843" s="230"/>
      <c r="K843" s="230"/>
      <c r="L843" s="230"/>
      <c r="M843" s="230"/>
      <c r="N843" s="230"/>
      <c r="O843" s="230"/>
      <c r="P843" s="230"/>
      <c r="Q843" s="230"/>
      <c r="R843" s="230"/>
      <c r="S843" s="230"/>
      <c r="T843" s="230"/>
      <c r="U843" s="230"/>
      <c r="V843" s="230"/>
      <c r="W843" s="230"/>
      <c r="X843" s="230"/>
      <c r="Y843" s="230"/>
      <c r="Z843" s="230"/>
    </row>
    <row r="844" spans="1:26" ht="15.75" customHeight="1">
      <c r="A844" s="230"/>
      <c r="B844" s="230"/>
      <c r="C844" s="230"/>
      <c r="D844" s="230"/>
      <c r="E844" s="230"/>
      <c r="F844" s="230"/>
      <c r="G844" s="230"/>
      <c r="H844" s="230"/>
      <c r="I844" s="230"/>
      <c r="J844" s="230"/>
      <c r="K844" s="230"/>
      <c r="L844" s="230"/>
      <c r="M844" s="230"/>
      <c r="N844" s="230"/>
      <c r="O844" s="230"/>
      <c r="P844" s="230"/>
      <c r="Q844" s="230"/>
      <c r="R844" s="230"/>
      <c r="S844" s="230"/>
      <c r="T844" s="230"/>
      <c r="U844" s="230"/>
      <c r="V844" s="230"/>
      <c r="W844" s="230"/>
      <c r="X844" s="230"/>
      <c r="Y844" s="230"/>
      <c r="Z844" s="230"/>
    </row>
    <row r="845" spans="1:26" ht="15.75" customHeight="1">
      <c r="A845" s="230"/>
      <c r="B845" s="230"/>
      <c r="C845" s="230"/>
      <c r="D845" s="230"/>
      <c r="E845" s="230"/>
      <c r="F845" s="230"/>
      <c r="G845" s="230"/>
      <c r="H845" s="230"/>
      <c r="I845" s="230"/>
      <c r="J845" s="230"/>
      <c r="K845" s="230"/>
      <c r="L845" s="230"/>
      <c r="M845" s="230"/>
      <c r="N845" s="230"/>
      <c r="O845" s="230"/>
      <c r="P845" s="230"/>
      <c r="Q845" s="230"/>
      <c r="R845" s="230"/>
      <c r="S845" s="230"/>
      <c r="T845" s="230"/>
      <c r="U845" s="230"/>
      <c r="V845" s="230"/>
      <c r="W845" s="230"/>
      <c r="X845" s="230"/>
      <c r="Y845" s="230"/>
      <c r="Z845" s="230"/>
    </row>
    <row r="846" spans="1:26" ht="15.75" customHeight="1">
      <c r="A846" s="230"/>
      <c r="B846" s="230"/>
      <c r="C846" s="230"/>
      <c r="D846" s="230"/>
      <c r="E846" s="230"/>
      <c r="F846" s="230"/>
      <c r="G846" s="230"/>
      <c r="H846" s="230"/>
      <c r="I846" s="230"/>
      <c r="J846" s="230"/>
      <c r="K846" s="230"/>
      <c r="L846" s="230"/>
      <c r="M846" s="230"/>
      <c r="N846" s="230"/>
      <c r="O846" s="230"/>
      <c r="P846" s="230"/>
      <c r="Q846" s="230"/>
      <c r="R846" s="230"/>
      <c r="S846" s="230"/>
      <c r="T846" s="230"/>
      <c r="U846" s="230"/>
      <c r="V846" s="230"/>
      <c r="W846" s="230"/>
      <c r="X846" s="230"/>
      <c r="Y846" s="230"/>
      <c r="Z846" s="230"/>
    </row>
    <row r="847" spans="1:26" ht="15.75" customHeight="1">
      <c r="A847" s="230"/>
      <c r="B847" s="230"/>
      <c r="C847" s="230"/>
      <c r="D847" s="230"/>
      <c r="E847" s="230"/>
      <c r="F847" s="230"/>
      <c r="G847" s="230"/>
      <c r="H847" s="230"/>
      <c r="I847" s="230"/>
      <c r="J847" s="230"/>
      <c r="K847" s="230"/>
      <c r="L847" s="230"/>
      <c r="M847" s="230"/>
      <c r="N847" s="230"/>
      <c r="O847" s="230"/>
      <c r="P847" s="230"/>
      <c r="Q847" s="230"/>
      <c r="R847" s="230"/>
      <c r="S847" s="230"/>
      <c r="T847" s="230"/>
      <c r="U847" s="230"/>
      <c r="V847" s="230"/>
      <c r="W847" s="230"/>
      <c r="X847" s="230"/>
      <c r="Y847" s="230"/>
      <c r="Z847" s="230"/>
    </row>
    <row r="848" spans="1:26" ht="15.75" customHeight="1">
      <c r="A848" s="230"/>
      <c r="B848" s="230"/>
      <c r="C848" s="230"/>
      <c r="D848" s="230"/>
      <c r="E848" s="230"/>
      <c r="F848" s="230"/>
      <c r="G848" s="230"/>
      <c r="H848" s="230"/>
      <c r="I848" s="230"/>
      <c r="J848" s="230"/>
      <c r="K848" s="230"/>
      <c r="L848" s="230"/>
      <c r="M848" s="230"/>
      <c r="N848" s="230"/>
      <c r="O848" s="230"/>
      <c r="P848" s="230"/>
      <c r="Q848" s="230"/>
      <c r="R848" s="230"/>
      <c r="S848" s="230"/>
      <c r="T848" s="230"/>
      <c r="U848" s="230"/>
      <c r="V848" s="230"/>
      <c r="W848" s="230"/>
      <c r="X848" s="230"/>
      <c r="Y848" s="230"/>
      <c r="Z848" s="230"/>
    </row>
    <row r="849" spans="1:26" ht="15.75" customHeight="1">
      <c r="A849" s="230"/>
      <c r="B849" s="230"/>
      <c r="C849" s="230"/>
      <c r="D849" s="230"/>
      <c r="E849" s="230"/>
      <c r="F849" s="230"/>
      <c r="G849" s="230"/>
      <c r="H849" s="230"/>
      <c r="I849" s="230"/>
      <c r="J849" s="230"/>
      <c r="K849" s="230"/>
      <c r="L849" s="230"/>
      <c r="M849" s="230"/>
      <c r="N849" s="230"/>
      <c r="O849" s="230"/>
      <c r="P849" s="230"/>
      <c r="Q849" s="230"/>
      <c r="R849" s="230"/>
      <c r="S849" s="230"/>
      <c r="T849" s="230"/>
      <c r="U849" s="230"/>
      <c r="V849" s="230"/>
      <c r="W849" s="230"/>
      <c r="X849" s="230"/>
      <c r="Y849" s="230"/>
      <c r="Z849" s="230"/>
    </row>
    <row r="850" spans="1:26" ht="15.75" customHeight="1">
      <c r="A850" s="230"/>
      <c r="B850" s="230"/>
      <c r="C850" s="230"/>
      <c r="D850" s="230"/>
      <c r="E850" s="230"/>
      <c r="F850" s="230"/>
      <c r="G850" s="230"/>
      <c r="H850" s="230"/>
      <c r="I850" s="230"/>
      <c r="J850" s="230"/>
      <c r="K850" s="230"/>
      <c r="L850" s="230"/>
      <c r="M850" s="230"/>
      <c r="N850" s="230"/>
      <c r="O850" s="230"/>
      <c r="P850" s="230"/>
      <c r="Q850" s="230"/>
      <c r="R850" s="230"/>
      <c r="S850" s="230"/>
      <c r="T850" s="230"/>
      <c r="U850" s="230"/>
      <c r="V850" s="230"/>
      <c r="W850" s="230"/>
      <c r="X850" s="230"/>
      <c r="Y850" s="230"/>
      <c r="Z850" s="230"/>
    </row>
    <row r="851" spans="1:26" ht="15.75" customHeight="1">
      <c r="A851" s="230"/>
      <c r="B851" s="230"/>
      <c r="C851" s="230"/>
      <c r="D851" s="230"/>
      <c r="E851" s="230"/>
      <c r="F851" s="230"/>
      <c r="G851" s="230"/>
      <c r="H851" s="230"/>
      <c r="I851" s="230"/>
      <c r="J851" s="230"/>
      <c r="K851" s="230"/>
      <c r="L851" s="230"/>
      <c r="M851" s="230"/>
      <c r="N851" s="230"/>
      <c r="O851" s="230"/>
      <c r="P851" s="230"/>
      <c r="Q851" s="230"/>
      <c r="R851" s="230"/>
      <c r="S851" s="230"/>
      <c r="T851" s="230"/>
      <c r="U851" s="230"/>
      <c r="V851" s="230"/>
      <c r="W851" s="230"/>
      <c r="X851" s="230"/>
      <c r="Y851" s="230"/>
      <c r="Z851" s="230"/>
    </row>
    <row r="852" spans="1:26" ht="15.75" customHeight="1">
      <c r="A852" s="230"/>
      <c r="B852" s="230"/>
      <c r="C852" s="230"/>
      <c r="D852" s="230"/>
      <c r="E852" s="230"/>
      <c r="F852" s="230"/>
      <c r="G852" s="230"/>
      <c r="H852" s="230"/>
      <c r="I852" s="230"/>
      <c r="J852" s="230"/>
      <c r="K852" s="230"/>
      <c r="L852" s="230"/>
      <c r="M852" s="230"/>
      <c r="N852" s="230"/>
      <c r="O852" s="230"/>
      <c r="P852" s="230"/>
      <c r="Q852" s="230"/>
      <c r="R852" s="230"/>
      <c r="S852" s="230"/>
      <c r="T852" s="230"/>
      <c r="U852" s="230"/>
      <c r="V852" s="230"/>
      <c r="W852" s="230"/>
      <c r="X852" s="230"/>
      <c r="Y852" s="230"/>
      <c r="Z852" s="230"/>
    </row>
    <row r="853" spans="1:26" ht="15.75" customHeight="1">
      <c r="A853" s="230"/>
      <c r="B853" s="230"/>
      <c r="C853" s="230"/>
      <c r="D853" s="230"/>
      <c r="E853" s="230"/>
      <c r="F853" s="230"/>
      <c r="G853" s="230"/>
      <c r="H853" s="230"/>
      <c r="I853" s="230"/>
      <c r="J853" s="230"/>
      <c r="K853" s="230"/>
      <c r="L853" s="230"/>
      <c r="M853" s="230"/>
      <c r="N853" s="230"/>
      <c r="O853" s="230"/>
      <c r="P853" s="230"/>
      <c r="Q853" s="230"/>
      <c r="R853" s="230"/>
      <c r="S853" s="230"/>
      <c r="T853" s="230"/>
      <c r="U853" s="230"/>
      <c r="V853" s="230"/>
      <c r="W853" s="230"/>
      <c r="X853" s="230"/>
      <c r="Y853" s="230"/>
      <c r="Z853" s="230"/>
    </row>
    <row r="854" spans="1:26" ht="15.75" customHeight="1">
      <c r="A854" s="230"/>
      <c r="B854" s="230"/>
      <c r="C854" s="230"/>
      <c r="D854" s="230"/>
      <c r="E854" s="230"/>
      <c r="F854" s="230"/>
      <c r="G854" s="230"/>
      <c r="H854" s="230"/>
      <c r="I854" s="230"/>
      <c r="J854" s="230"/>
      <c r="K854" s="230"/>
      <c r="L854" s="230"/>
      <c r="M854" s="230"/>
      <c r="N854" s="230"/>
      <c r="O854" s="230"/>
      <c r="P854" s="230"/>
      <c r="Q854" s="230"/>
      <c r="R854" s="230"/>
      <c r="S854" s="230"/>
      <c r="T854" s="230"/>
      <c r="U854" s="230"/>
      <c r="V854" s="230"/>
      <c r="W854" s="230"/>
      <c r="X854" s="230"/>
      <c r="Y854" s="230"/>
      <c r="Z854" s="230"/>
    </row>
    <row r="855" spans="1:26" ht="15.75" customHeight="1">
      <c r="A855" s="230"/>
      <c r="B855" s="230"/>
      <c r="C855" s="230"/>
      <c r="D855" s="230"/>
      <c r="E855" s="230"/>
      <c r="F855" s="230"/>
      <c r="G855" s="230"/>
      <c r="H855" s="230"/>
      <c r="I855" s="230"/>
      <c r="J855" s="230"/>
      <c r="K855" s="230"/>
      <c r="L855" s="230"/>
      <c r="M855" s="230"/>
      <c r="N855" s="230"/>
      <c r="O855" s="230"/>
      <c r="P855" s="230"/>
      <c r="Q855" s="230"/>
      <c r="R855" s="230"/>
      <c r="S855" s="230"/>
      <c r="T855" s="230"/>
      <c r="U855" s="230"/>
      <c r="V855" s="230"/>
      <c r="W855" s="230"/>
      <c r="X855" s="230"/>
      <c r="Y855" s="230"/>
      <c r="Z855" s="230"/>
    </row>
    <row r="856" spans="1:26" ht="15.75" customHeight="1">
      <c r="A856" s="230"/>
      <c r="B856" s="230"/>
      <c r="C856" s="230"/>
      <c r="D856" s="230"/>
      <c r="E856" s="230"/>
      <c r="F856" s="230"/>
      <c r="G856" s="230"/>
      <c r="H856" s="230"/>
      <c r="I856" s="230"/>
      <c r="J856" s="230"/>
      <c r="K856" s="230"/>
      <c r="L856" s="230"/>
      <c r="M856" s="230"/>
      <c r="N856" s="230"/>
      <c r="O856" s="230"/>
      <c r="P856" s="230"/>
      <c r="Q856" s="230"/>
      <c r="R856" s="230"/>
      <c r="S856" s="230"/>
      <c r="T856" s="230"/>
      <c r="U856" s="230"/>
      <c r="V856" s="230"/>
      <c r="W856" s="230"/>
      <c r="X856" s="230"/>
      <c r="Y856" s="230"/>
      <c r="Z856" s="230"/>
    </row>
    <row r="857" spans="1:26" ht="15.75" customHeight="1">
      <c r="A857" s="230"/>
      <c r="B857" s="230"/>
      <c r="C857" s="230"/>
      <c r="D857" s="230"/>
      <c r="E857" s="230"/>
      <c r="F857" s="230"/>
      <c r="G857" s="230"/>
      <c r="H857" s="230"/>
      <c r="I857" s="230"/>
      <c r="J857" s="230"/>
      <c r="K857" s="230"/>
      <c r="L857" s="230"/>
      <c r="M857" s="230"/>
      <c r="N857" s="230"/>
      <c r="O857" s="230"/>
      <c r="P857" s="230"/>
      <c r="Q857" s="230"/>
      <c r="R857" s="230"/>
      <c r="S857" s="230"/>
      <c r="T857" s="230"/>
      <c r="U857" s="230"/>
      <c r="V857" s="230"/>
      <c r="W857" s="230"/>
      <c r="X857" s="230"/>
      <c r="Y857" s="230"/>
      <c r="Z857" s="230"/>
    </row>
    <row r="858" spans="1:26" ht="15.75" customHeight="1">
      <c r="A858" s="230"/>
      <c r="B858" s="230"/>
      <c r="C858" s="230"/>
      <c r="D858" s="230"/>
      <c r="E858" s="230"/>
      <c r="F858" s="230"/>
      <c r="G858" s="230"/>
      <c r="H858" s="230"/>
      <c r="I858" s="230"/>
      <c r="J858" s="230"/>
      <c r="K858" s="230"/>
      <c r="L858" s="230"/>
      <c r="M858" s="230"/>
      <c r="N858" s="230"/>
      <c r="O858" s="230"/>
      <c r="P858" s="230"/>
      <c r="Q858" s="230"/>
      <c r="R858" s="230"/>
      <c r="S858" s="230"/>
      <c r="T858" s="230"/>
      <c r="U858" s="230"/>
      <c r="V858" s="230"/>
      <c r="W858" s="230"/>
      <c r="X858" s="230"/>
      <c r="Y858" s="230"/>
      <c r="Z858" s="230"/>
    </row>
    <row r="859" spans="1:26" ht="15.75" customHeight="1">
      <c r="A859" s="230"/>
      <c r="B859" s="230"/>
      <c r="C859" s="230"/>
      <c r="D859" s="230"/>
      <c r="E859" s="230"/>
      <c r="F859" s="230"/>
      <c r="G859" s="230"/>
      <c r="H859" s="230"/>
      <c r="I859" s="230"/>
      <c r="J859" s="230"/>
      <c r="K859" s="230"/>
      <c r="L859" s="230"/>
      <c r="M859" s="230"/>
      <c r="N859" s="230"/>
      <c r="O859" s="230"/>
      <c r="P859" s="230"/>
      <c r="Q859" s="230"/>
      <c r="R859" s="230"/>
      <c r="S859" s="230"/>
      <c r="T859" s="230"/>
      <c r="U859" s="230"/>
      <c r="V859" s="230"/>
      <c r="W859" s="230"/>
      <c r="X859" s="230"/>
      <c r="Y859" s="230"/>
      <c r="Z859" s="230"/>
    </row>
    <row r="860" spans="1:26" ht="15.75" customHeight="1">
      <c r="A860" s="230"/>
      <c r="B860" s="230"/>
      <c r="C860" s="230"/>
      <c r="D860" s="230"/>
      <c r="E860" s="230"/>
      <c r="F860" s="230"/>
      <c r="G860" s="230"/>
      <c r="H860" s="230"/>
      <c r="I860" s="230"/>
      <c r="J860" s="230"/>
      <c r="K860" s="230"/>
      <c r="L860" s="230"/>
      <c r="M860" s="230"/>
      <c r="N860" s="230"/>
      <c r="O860" s="230"/>
      <c r="P860" s="230"/>
      <c r="Q860" s="230"/>
      <c r="R860" s="230"/>
      <c r="S860" s="230"/>
      <c r="T860" s="230"/>
      <c r="U860" s="230"/>
      <c r="V860" s="230"/>
      <c r="W860" s="230"/>
      <c r="X860" s="230"/>
      <c r="Y860" s="230"/>
      <c r="Z860" s="230"/>
    </row>
    <row r="861" spans="1:26" ht="15.75" customHeight="1">
      <c r="A861" s="230"/>
      <c r="B861" s="230"/>
      <c r="C861" s="230"/>
      <c r="D861" s="230"/>
      <c r="E861" s="230"/>
      <c r="F861" s="230"/>
      <c r="G861" s="230"/>
      <c r="H861" s="230"/>
      <c r="I861" s="230"/>
      <c r="J861" s="230"/>
      <c r="K861" s="230"/>
      <c r="L861" s="230"/>
      <c r="M861" s="230"/>
      <c r="N861" s="230"/>
      <c r="O861" s="230"/>
      <c r="P861" s="230"/>
      <c r="Q861" s="230"/>
      <c r="R861" s="230"/>
      <c r="S861" s="230"/>
      <c r="T861" s="230"/>
      <c r="U861" s="230"/>
      <c r="V861" s="230"/>
      <c r="W861" s="230"/>
      <c r="X861" s="230"/>
      <c r="Y861" s="230"/>
      <c r="Z861" s="230"/>
    </row>
    <row r="862" spans="1:26" ht="15.75" customHeight="1">
      <c r="A862" s="230"/>
      <c r="B862" s="230"/>
      <c r="C862" s="230"/>
      <c r="D862" s="230"/>
      <c r="E862" s="230"/>
      <c r="F862" s="230"/>
      <c r="G862" s="230"/>
      <c r="H862" s="230"/>
      <c r="I862" s="230"/>
      <c r="J862" s="230"/>
      <c r="K862" s="230"/>
      <c r="L862" s="230"/>
      <c r="M862" s="230"/>
      <c r="N862" s="230"/>
      <c r="O862" s="230"/>
      <c r="P862" s="230"/>
      <c r="Q862" s="230"/>
      <c r="R862" s="230"/>
      <c r="S862" s="230"/>
      <c r="T862" s="230"/>
      <c r="U862" s="230"/>
      <c r="V862" s="230"/>
      <c r="W862" s="230"/>
      <c r="X862" s="230"/>
      <c r="Y862" s="230"/>
      <c r="Z862" s="230"/>
    </row>
    <row r="863" spans="1:26" ht="15.75" customHeight="1">
      <c r="A863" s="230"/>
      <c r="B863" s="230"/>
      <c r="C863" s="230"/>
      <c r="D863" s="230"/>
      <c r="E863" s="230"/>
      <c r="F863" s="230"/>
      <c r="G863" s="230"/>
      <c r="H863" s="230"/>
      <c r="I863" s="230"/>
      <c r="J863" s="230"/>
      <c r="K863" s="230"/>
      <c r="L863" s="230"/>
      <c r="M863" s="230"/>
      <c r="N863" s="230"/>
      <c r="O863" s="230"/>
      <c r="P863" s="230"/>
      <c r="Q863" s="230"/>
      <c r="R863" s="230"/>
      <c r="S863" s="230"/>
      <c r="T863" s="230"/>
      <c r="U863" s="230"/>
      <c r="V863" s="230"/>
      <c r="W863" s="230"/>
      <c r="X863" s="230"/>
      <c r="Y863" s="230"/>
      <c r="Z863" s="230"/>
    </row>
    <row r="864" spans="1:26" ht="15.75" customHeight="1">
      <c r="A864" s="230"/>
      <c r="B864" s="230"/>
      <c r="C864" s="230"/>
      <c r="D864" s="230"/>
      <c r="E864" s="230"/>
      <c r="F864" s="230"/>
      <c r="G864" s="230"/>
      <c r="H864" s="230"/>
      <c r="I864" s="230"/>
      <c r="J864" s="230"/>
      <c r="K864" s="230"/>
      <c r="L864" s="230"/>
      <c r="M864" s="230"/>
      <c r="N864" s="230"/>
      <c r="O864" s="230"/>
      <c r="P864" s="230"/>
      <c r="Q864" s="230"/>
      <c r="R864" s="230"/>
      <c r="S864" s="230"/>
      <c r="T864" s="230"/>
      <c r="U864" s="230"/>
      <c r="V864" s="230"/>
      <c r="W864" s="230"/>
      <c r="X864" s="230"/>
      <c r="Y864" s="230"/>
      <c r="Z864" s="230"/>
    </row>
    <row r="865" spans="1:26" ht="15.75" customHeight="1">
      <c r="A865" s="230"/>
      <c r="B865" s="230"/>
      <c r="C865" s="230"/>
      <c r="D865" s="230"/>
      <c r="E865" s="230"/>
      <c r="F865" s="230"/>
      <c r="G865" s="230"/>
      <c r="H865" s="230"/>
      <c r="I865" s="230"/>
      <c r="J865" s="230"/>
      <c r="K865" s="230"/>
      <c r="L865" s="230"/>
      <c r="M865" s="230"/>
      <c r="N865" s="230"/>
      <c r="O865" s="230"/>
      <c r="P865" s="230"/>
      <c r="Q865" s="230"/>
      <c r="R865" s="230"/>
      <c r="S865" s="230"/>
      <c r="T865" s="230"/>
      <c r="U865" s="230"/>
      <c r="V865" s="230"/>
      <c r="W865" s="230"/>
      <c r="X865" s="230"/>
      <c r="Y865" s="230"/>
      <c r="Z865" s="230"/>
    </row>
    <row r="866" spans="1:26" ht="15.75" customHeight="1">
      <c r="A866" s="230"/>
      <c r="B866" s="230"/>
      <c r="C866" s="230"/>
      <c r="D866" s="230"/>
      <c r="E866" s="230"/>
      <c r="F866" s="230"/>
      <c r="G866" s="230"/>
      <c r="H866" s="230"/>
      <c r="I866" s="230"/>
      <c r="J866" s="230"/>
      <c r="K866" s="230"/>
      <c r="L866" s="230"/>
      <c r="M866" s="230"/>
      <c r="N866" s="230"/>
      <c r="O866" s="230"/>
      <c r="P866" s="230"/>
      <c r="Q866" s="230"/>
      <c r="R866" s="230"/>
      <c r="S866" s="230"/>
      <c r="T866" s="230"/>
      <c r="U866" s="230"/>
      <c r="V866" s="230"/>
      <c r="W866" s="230"/>
      <c r="X866" s="230"/>
      <c r="Y866" s="230"/>
      <c r="Z866" s="230"/>
    </row>
    <row r="867" spans="1:26" ht="15.75" customHeight="1">
      <c r="A867" s="230"/>
      <c r="B867" s="230"/>
      <c r="C867" s="230"/>
      <c r="D867" s="230"/>
      <c r="E867" s="230"/>
      <c r="F867" s="230"/>
      <c r="G867" s="230"/>
      <c r="H867" s="230"/>
      <c r="I867" s="230"/>
      <c r="J867" s="230"/>
      <c r="K867" s="230"/>
      <c r="L867" s="230"/>
      <c r="M867" s="230"/>
      <c r="N867" s="230"/>
      <c r="O867" s="230"/>
      <c r="P867" s="230"/>
      <c r="Q867" s="230"/>
      <c r="R867" s="230"/>
      <c r="S867" s="230"/>
      <c r="T867" s="230"/>
      <c r="U867" s="230"/>
      <c r="V867" s="230"/>
      <c r="W867" s="230"/>
      <c r="X867" s="230"/>
      <c r="Y867" s="230"/>
      <c r="Z867" s="230"/>
    </row>
    <row r="868" spans="1:26" ht="15.75" customHeight="1">
      <c r="A868" s="230"/>
      <c r="B868" s="230"/>
      <c r="C868" s="230"/>
      <c r="D868" s="230"/>
      <c r="E868" s="230"/>
      <c r="F868" s="230"/>
      <c r="G868" s="230"/>
      <c r="H868" s="230"/>
      <c r="I868" s="230"/>
      <c r="J868" s="230"/>
      <c r="K868" s="230"/>
      <c r="L868" s="230"/>
      <c r="M868" s="230"/>
      <c r="N868" s="230"/>
      <c r="O868" s="230"/>
      <c r="P868" s="230"/>
      <c r="Q868" s="230"/>
      <c r="R868" s="230"/>
      <c r="S868" s="230"/>
      <c r="T868" s="230"/>
      <c r="U868" s="230"/>
      <c r="V868" s="230"/>
      <c r="W868" s="230"/>
      <c r="X868" s="230"/>
      <c r="Y868" s="230"/>
      <c r="Z868" s="230"/>
    </row>
    <row r="869" spans="1:26" ht="15.75" customHeight="1">
      <c r="A869" s="230"/>
      <c r="B869" s="230"/>
      <c r="C869" s="230"/>
      <c r="D869" s="230"/>
      <c r="E869" s="230"/>
      <c r="F869" s="230"/>
      <c r="G869" s="230"/>
      <c r="H869" s="230"/>
      <c r="I869" s="230"/>
      <c r="J869" s="230"/>
      <c r="K869" s="230"/>
      <c r="L869" s="230"/>
      <c r="M869" s="230"/>
      <c r="N869" s="230"/>
      <c r="O869" s="230"/>
      <c r="P869" s="230"/>
      <c r="Q869" s="230"/>
      <c r="R869" s="230"/>
      <c r="S869" s="230"/>
      <c r="T869" s="230"/>
      <c r="U869" s="230"/>
      <c r="V869" s="230"/>
      <c r="W869" s="230"/>
      <c r="X869" s="230"/>
      <c r="Y869" s="230"/>
      <c r="Z869" s="230"/>
    </row>
    <row r="870" spans="1:26" ht="15.75" customHeight="1">
      <c r="A870" s="230"/>
      <c r="B870" s="230"/>
      <c r="C870" s="230"/>
      <c r="D870" s="230"/>
      <c r="E870" s="230"/>
      <c r="F870" s="230"/>
      <c r="G870" s="230"/>
      <c r="H870" s="230"/>
      <c r="I870" s="230"/>
      <c r="J870" s="230"/>
      <c r="K870" s="230"/>
      <c r="L870" s="230"/>
      <c r="M870" s="230"/>
      <c r="N870" s="230"/>
      <c r="O870" s="230"/>
      <c r="P870" s="230"/>
      <c r="Q870" s="230"/>
      <c r="R870" s="230"/>
      <c r="S870" s="230"/>
      <c r="T870" s="230"/>
      <c r="U870" s="230"/>
      <c r="V870" s="230"/>
      <c r="W870" s="230"/>
      <c r="X870" s="230"/>
      <c r="Y870" s="230"/>
      <c r="Z870" s="230"/>
    </row>
    <row r="871" spans="1:26" ht="15.75" customHeight="1">
      <c r="A871" s="230"/>
      <c r="B871" s="230"/>
      <c r="C871" s="230"/>
      <c r="D871" s="230"/>
      <c r="E871" s="230"/>
      <c r="F871" s="230"/>
      <c r="G871" s="230"/>
      <c r="H871" s="230"/>
      <c r="I871" s="230"/>
      <c r="J871" s="230"/>
      <c r="K871" s="230"/>
      <c r="L871" s="230"/>
      <c r="M871" s="230"/>
      <c r="N871" s="230"/>
      <c r="O871" s="230"/>
      <c r="P871" s="230"/>
      <c r="Q871" s="230"/>
      <c r="R871" s="230"/>
      <c r="S871" s="230"/>
      <c r="T871" s="230"/>
      <c r="U871" s="230"/>
      <c r="V871" s="230"/>
      <c r="W871" s="230"/>
      <c r="X871" s="230"/>
      <c r="Y871" s="230"/>
      <c r="Z871" s="230"/>
    </row>
    <row r="872" spans="1:26" ht="15.75" customHeight="1">
      <c r="A872" s="230"/>
      <c r="B872" s="230"/>
      <c r="C872" s="230"/>
      <c r="D872" s="230"/>
      <c r="E872" s="230"/>
      <c r="F872" s="230"/>
      <c r="G872" s="230"/>
      <c r="H872" s="230"/>
      <c r="I872" s="230"/>
      <c r="J872" s="230"/>
      <c r="K872" s="230"/>
      <c r="L872" s="230"/>
      <c r="M872" s="230"/>
      <c r="N872" s="230"/>
      <c r="O872" s="230"/>
      <c r="P872" s="230"/>
      <c r="Q872" s="230"/>
      <c r="R872" s="230"/>
      <c r="S872" s="230"/>
      <c r="T872" s="230"/>
      <c r="U872" s="230"/>
      <c r="V872" s="230"/>
      <c r="W872" s="230"/>
      <c r="X872" s="230"/>
      <c r="Y872" s="230"/>
      <c r="Z872" s="230"/>
    </row>
    <row r="873" spans="1:26" ht="15.75" customHeight="1">
      <c r="A873" s="230"/>
      <c r="B873" s="230"/>
      <c r="C873" s="230"/>
      <c r="D873" s="230"/>
      <c r="E873" s="230"/>
      <c r="F873" s="230"/>
      <c r="G873" s="230"/>
      <c r="H873" s="230"/>
      <c r="I873" s="230"/>
      <c r="J873" s="230"/>
      <c r="K873" s="230"/>
      <c r="L873" s="230"/>
      <c r="M873" s="230"/>
      <c r="N873" s="230"/>
      <c r="O873" s="230"/>
      <c r="P873" s="230"/>
      <c r="Q873" s="230"/>
      <c r="R873" s="230"/>
      <c r="S873" s="230"/>
      <c r="T873" s="230"/>
      <c r="U873" s="230"/>
      <c r="V873" s="230"/>
      <c r="W873" s="230"/>
      <c r="X873" s="230"/>
      <c r="Y873" s="230"/>
      <c r="Z873" s="230"/>
    </row>
    <row r="874" spans="1:26" ht="15.75" customHeight="1">
      <c r="A874" s="230"/>
      <c r="B874" s="230"/>
      <c r="C874" s="230"/>
      <c r="D874" s="230"/>
      <c r="E874" s="230"/>
      <c r="F874" s="230"/>
      <c r="G874" s="230"/>
      <c r="H874" s="230"/>
      <c r="I874" s="230"/>
      <c r="J874" s="230"/>
      <c r="K874" s="230"/>
      <c r="L874" s="230"/>
      <c r="M874" s="230"/>
      <c r="N874" s="230"/>
      <c r="O874" s="230"/>
      <c r="P874" s="230"/>
      <c r="Q874" s="230"/>
      <c r="R874" s="230"/>
      <c r="S874" s="230"/>
      <c r="T874" s="230"/>
      <c r="U874" s="230"/>
      <c r="V874" s="230"/>
      <c r="W874" s="230"/>
      <c r="X874" s="230"/>
      <c r="Y874" s="230"/>
      <c r="Z874" s="230"/>
    </row>
    <row r="875" spans="1:26" ht="15.75" customHeight="1">
      <c r="A875" s="230"/>
      <c r="B875" s="230"/>
      <c r="C875" s="230"/>
      <c r="D875" s="230"/>
      <c r="E875" s="230"/>
      <c r="F875" s="230"/>
      <c r="G875" s="230"/>
      <c r="H875" s="230"/>
      <c r="I875" s="230"/>
      <c r="J875" s="230"/>
      <c r="K875" s="230"/>
      <c r="L875" s="230"/>
      <c r="M875" s="230"/>
      <c r="N875" s="230"/>
      <c r="O875" s="230"/>
      <c r="P875" s="230"/>
      <c r="Q875" s="230"/>
      <c r="R875" s="230"/>
      <c r="S875" s="230"/>
      <c r="T875" s="230"/>
      <c r="U875" s="230"/>
      <c r="V875" s="230"/>
      <c r="W875" s="230"/>
      <c r="X875" s="230"/>
      <c r="Y875" s="230"/>
      <c r="Z875" s="230"/>
    </row>
    <row r="876" spans="1:26" ht="15.75" customHeight="1">
      <c r="A876" s="230"/>
      <c r="B876" s="230"/>
      <c r="C876" s="230"/>
      <c r="D876" s="230"/>
      <c r="E876" s="230"/>
      <c r="F876" s="230"/>
      <c r="G876" s="230"/>
      <c r="H876" s="230"/>
      <c r="I876" s="230"/>
      <c r="J876" s="230"/>
      <c r="K876" s="230"/>
      <c r="L876" s="230"/>
      <c r="M876" s="230"/>
      <c r="N876" s="230"/>
      <c r="O876" s="230"/>
      <c r="P876" s="230"/>
      <c r="Q876" s="230"/>
      <c r="R876" s="230"/>
      <c r="S876" s="230"/>
      <c r="T876" s="230"/>
      <c r="U876" s="230"/>
      <c r="V876" s="230"/>
      <c r="W876" s="230"/>
      <c r="X876" s="230"/>
      <c r="Y876" s="230"/>
      <c r="Z876" s="230"/>
    </row>
    <row r="877" spans="1:26" ht="15.75" customHeight="1">
      <c r="A877" s="230"/>
      <c r="B877" s="230"/>
      <c r="C877" s="230"/>
      <c r="D877" s="230"/>
      <c r="E877" s="230"/>
      <c r="F877" s="230"/>
      <c r="G877" s="230"/>
      <c r="H877" s="230"/>
      <c r="I877" s="230"/>
      <c r="J877" s="230"/>
      <c r="K877" s="230"/>
      <c r="L877" s="230"/>
      <c r="M877" s="230"/>
      <c r="N877" s="230"/>
      <c r="O877" s="230"/>
      <c r="P877" s="230"/>
      <c r="Q877" s="230"/>
      <c r="R877" s="230"/>
      <c r="S877" s="230"/>
      <c r="T877" s="230"/>
      <c r="U877" s="230"/>
      <c r="V877" s="230"/>
      <c r="W877" s="230"/>
      <c r="X877" s="230"/>
      <c r="Y877" s="230"/>
      <c r="Z877" s="230"/>
    </row>
    <row r="878" spans="1:26" ht="15.75" customHeight="1">
      <c r="A878" s="230"/>
      <c r="B878" s="230"/>
      <c r="C878" s="230"/>
      <c r="D878" s="230"/>
      <c r="E878" s="230"/>
      <c r="F878" s="230"/>
      <c r="G878" s="230"/>
      <c r="H878" s="230"/>
      <c r="I878" s="230"/>
      <c r="J878" s="230"/>
      <c r="K878" s="230"/>
      <c r="L878" s="230"/>
      <c r="M878" s="230"/>
      <c r="N878" s="230"/>
      <c r="O878" s="230"/>
      <c r="P878" s="230"/>
      <c r="Q878" s="230"/>
      <c r="R878" s="230"/>
      <c r="S878" s="230"/>
      <c r="T878" s="230"/>
      <c r="U878" s="230"/>
      <c r="V878" s="230"/>
      <c r="W878" s="230"/>
      <c r="X878" s="230"/>
      <c r="Y878" s="230"/>
      <c r="Z878" s="230"/>
    </row>
    <row r="879" spans="1:26" ht="15.75" customHeight="1">
      <c r="A879" s="230"/>
      <c r="B879" s="230"/>
      <c r="C879" s="230"/>
      <c r="D879" s="230"/>
      <c r="E879" s="230"/>
      <c r="F879" s="230"/>
      <c r="G879" s="230"/>
      <c r="H879" s="230"/>
      <c r="I879" s="230"/>
      <c r="J879" s="230"/>
      <c r="K879" s="230"/>
      <c r="L879" s="230"/>
      <c r="M879" s="230"/>
      <c r="N879" s="230"/>
      <c r="O879" s="230"/>
      <c r="P879" s="230"/>
      <c r="Q879" s="230"/>
      <c r="R879" s="230"/>
      <c r="S879" s="230"/>
      <c r="T879" s="230"/>
      <c r="U879" s="230"/>
      <c r="V879" s="230"/>
      <c r="W879" s="230"/>
      <c r="X879" s="230"/>
      <c r="Y879" s="230"/>
      <c r="Z879" s="230"/>
    </row>
    <row r="880" spans="1:26" ht="15.75" customHeight="1">
      <c r="A880" s="230"/>
      <c r="B880" s="230"/>
      <c r="C880" s="230"/>
      <c r="D880" s="230"/>
      <c r="E880" s="230"/>
      <c r="F880" s="230"/>
      <c r="G880" s="230"/>
      <c r="H880" s="230"/>
      <c r="I880" s="230"/>
      <c r="J880" s="230"/>
      <c r="K880" s="230"/>
      <c r="L880" s="230"/>
      <c r="M880" s="230"/>
      <c r="N880" s="230"/>
      <c r="O880" s="230"/>
      <c r="P880" s="230"/>
      <c r="Q880" s="230"/>
      <c r="R880" s="230"/>
      <c r="S880" s="230"/>
      <c r="T880" s="230"/>
      <c r="U880" s="230"/>
      <c r="V880" s="230"/>
      <c r="W880" s="230"/>
      <c r="X880" s="230"/>
      <c r="Y880" s="230"/>
      <c r="Z880" s="230"/>
    </row>
    <row r="881" spans="1:26" ht="15.75" customHeight="1">
      <c r="A881" s="230"/>
      <c r="B881" s="230"/>
      <c r="C881" s="230"/>
      <c r="D881" s="230"/>
      <c r="E881" s="230"/>
      <c r="F881" s="230"/>
      <c r="G881" s="230"/>
      <c r="H881" s="230"/>
      <c r="I881" s="230"/>
      <c r="J881" s="230"/>
      <c r="K881" s="230"/>
      <c r="L881" s="230"/>
      <c r="M881" s="230"/>
      <c r="N881" s="230"/>
      <c r="O881" s="230"/>
      <c r="P881" s="230"/>
      <c r="Q881" s="230"/>
      <c r="R881" s="230"/>
      <c r="S881" s="230"/>
      <c r="T881" s="230"/>
      <c r="U881" s="230"/>
      <c r="V881" s="230"/>
      <c r="W881" s="230"/>
      <c r="X881" s="230"/>
      <c r="Y881" s="230"/>
      <c r="Z881" s="230"/>
    </row>
    <row r="882" spans="1:26" ht="15.75" customHeight="1">
      <c r="A882" s="230"/>
      <c r="B882" s="230"/>
      <c r="C882" s="230"/>
      <c r="D882" s="230"/>
      <c r="E882" s="230"/>
      <c r="F882" s="230"/>
      <c r="G882" s="230"/>
      <c r="H882" s="230"/>
      <c r="I882" s="230"/>
      <c r="J882" s="230"/>
      <c r="K882" s="230"/>
      <c r="L882" s="230"/>
      <c r="M882" s="230"/>
      <c r="N882" s="230"/>
      <c r="O882" s="230"/>
      <c r="P882" s="230"/>
      <c r="Q882" s="230"/>
      <c r="R882" s="230"/>
      <c r="S882" s="230"/>
      <c r="T882" s="230"/>
      <c r="U882" s="230"/>
      <c r="V882" s="230"/>
      <c r="W882" s="230"/>
      <c r="X882" s="230"/>
      <c r="Y882" s="230"/>
      <c r="Z882" s="230"/>
    </row>
    <row r="883" spans="1:26" ht="15.75" customHeight="1">
      <c r="A883" s="230"/>
      <c r="B883" s="230"/>
      <c r="C883" s="230"/>
      <c r="D883" s="230"/>
      <c r="E883" s="230"/>
      <c r="F883" s="230"/>
      <c r="G883" s="230"/>
      <c r="H883" s="230"/>
      <c r="I883" s="230"/>
      <c r="J883" s="230"/>
      <c r="K883" s="230"/>
      <c r="L883" s="230"/>
      <c r="M883" s="230"/>
      <c r="N883" s="230"/>
      <c r="O883" s="230"/>
      <c r="P883" s="230"/>
      <c r="Q883" s="230"/>
      <c r="R883" s="230"/>
      <c r="S883" s="230"/>
      <c r="T883" s="230"/>
      <c r="U883" s="230"/>
      <c r="V883" s="230"/>
      <c r="W883" s="230"/>
      <c r="X883" s="230"/>
      <c r="Y883" s="230"/>
      <c r="Z883" s="230"/>
    </row>
    <row r="884" spans="1:26" ht="15.75" customHeight="1">
      <c r="A884" s="230"/>
      <c r="B884" s="230"/>
      <c r="C884" s="230"/>
      <c r="D884" s="230"/>
      <c r="E884" s="230"/>
      <c r="F884" s="230"/>
      <c r="G884" s="230"/>
      <c r="H884" s="230"/>
      <c r="I884" s="230"/>
      <c r="J884" s="230"/>
      <c r="K884" s="230"/>
      <c r="L884" s="230"/>
      <c r="M884" s="230"/>
      <c r="N884" s="230"/>
      <c r="O884" s="230"/>
      <c r="P884" s="230"/>
      <c r="Q884" s="230"/>
      <c r="R884" s="230"/>
      <c r="S884" s="230"/>
      <c r="T884" s="230"/>
      <c r="U884" s="230"/>
      <c r="V884" s="230"/>
      <c r="W884" s="230"/>
      <c r="X884" s="230"/>
      <c r="Y884" s="230"/>
      <c r="Z884" s="230"/>
    </row>
    <row r="885" spans="1:26" ht="15.75" customHeight="1">
      <c r="A885" s="230"/>
      <c r="B885" s="230"/>
      <c r="C885" s="230"/>
      <c r="D885" s="230"/>
      <c r="E885" s="230"/>
      <c r="F885" s="230"/>
      <c r="G885" s="230"/>
      <c r="H885" s="230"/>
      <c r="I885" s="230"/>
      <c r="J885" s="230"/>
      <c r="K885" s="230"/>
      <c r="L885" s="230"/>
      <c r="M885" s="230"/>
      <c r="N885" s="230"/>
      <c r="O885" s="230"/>
      <c r="P885" s="230"/>
      <c r="Q885" s="230"/>
      <c r="R885" s="230"/>
      <c r="S885" s="230"/>
      <c r="T885" s="230"/>
      <c r="U885" s="230"/>
      <c r="V885" s="230"/>
      <c r="W885" s="230"/>
      <c r="X885" s="230"/>
      <c r="Y885" s="230"/>
      <c r="Z885" s="230"/>
    </row>
    <row r="886" spans="1:26" ht="15.75" customHeight="1">
      <c r="A886" s="230"/>
      <c r="B886" s="230"/>
      <c r="C886" s="230"/>
      <c r="D886" s="230"/>
      <c r="E886" s="230"/>
      <c r="F886" s="230"/>
      <c r="G886" s="230"/>
      <c r="H886" s="230"/>
      <c r="I886" s="230"/>
      <c r="J886" s="230"/>
      <c r="K886" s="230"/>
      <c r="L886" s="230"/>
      <c r="M886" s="230"/>
      <c r="N886" s="230"/>
      <c r="O886" s="230"/>
      <c r="P886" s="230"/>
      <c r="Q886" s="230"/>
      <c r="R886" s="230"/>
      <c r="S886" s="230"/>
      <c r="T886" s="230"/>
      <c r="U886" s="230"/>
      <c r="V886" s="230"/>
      <c r="W886" s="230"/>
      <c r="X886" s="230"/>
      <c r="Y886" s="230"/>
      <c r="Z886" s="230"/>
    </row>
    <row r="887" spans="1:26" ht="15.75" customHeight="1">
      <c r="A887" s="230"/>
      <c r="B887" s="230"/>
      <c r="C887" s="230"/>
      <c r="D887" s="230"/>
      <c r="E887" s="230"/>
      <c r="F887" s="230"/>
      <c r="G887" s="230"/>
      <c r="H887" s="230"/>
      <c r="I887" s="230"/>
      <c r="J887" s="230"/>
      <c r="K887" s="230"/>
      <c r="L887" s="230"/>
      <c r="M887" s="230"/>
      <c r="N887" s="230"/>
      <c r="O887" s="230"/>
      <c r="P887" s="230"/>
      <c r="Q887" s="230"/>
      <c r="R887" s="230"/>
      <c r="S887" s="230"/>
      <c r="T887" s="230"/>
      <c r="U887" s="230"/>
      <c r="V887" s="230"/>
      <c r="W887" s="230"/>
      <c r="X887" s="230"/>
      <c r="Y887" s="230"/>
      <c r="Z887" s="230"/>
    </row>
    <row r="888" spans="1:26" ht="15.75" customHeight="1">
      <c r="A888" s="230"/>
      <c r="B888" s="230"/>
      <c r="C888" s="230"/>
      <c r="D888" s="230"/>
      <c r="E888" s="230"/>
      <c r="F888" s="230"/>
      <c r="G888" s="230"/>
      <c r="H888" s="230"/>
      <c r="I888" s="230"/>
      <c r="J888" s="230"/>
      <c r="K888" s="230"/>
      <c r="L888" s="230"/>
      <c r="M888" s="230"/>
      <c r="N888" s="230"/>
      <c r="O888" s="230"/>
      <c r="P888" s="230"/>
      <c r="Q888" s="230"/>
      <c r="R888" s="230"/>
      <c r="S888" s="230"/>
      <c r="T888" s="230"/>
      <c r="U888" s="230"/>
      <c r="V888" s="230"/>
      <c r="W888" s="230"/>
      <c r="X888" s="230"/>
      <c r="Y888" s="230"/>
      <c r="Z888" s="230"/>
    </row>
    <row r="889" spans="1:26" ht="15.75" customHeight="1">
      <c r="A889" s="230"/>
      <c r="B889" s="230"/>
      <c r="C889" s="230"/>
      <c r="D889" s="230"/>
      <c r="E889" s="230"/>
      <c r="F889" s="230"/>
      <c r="G889" s="230"/>
      <c r="H889" s="230"/>
      <c r="I889" s="230"/>
      <c r="J889" s="230"/>
      <c r="K889" s="230"/>
      <c r="L889" s="230"/>
      <c r="M889" s="230"/>
      <c r="N889" s="230"/>
      <c r="O889" s="230"/>
      <c r="P889" s="230"/>
      <c r="Q889" s="230"/>
      <c r="R889" s="230"/>
      <c r="S889" s="230"/>
      <c r="T889" s="230"/>
      <c r="U889" s="230"/>
      <c r="V889" s="230"/>
      <c r="W889" s="230"/>
      <c r="X889" s="230"/>
      <c r="Y889" s="230"/>
      <c r="Z889" s="230"/>
    </row>
    <row r="890" spans="1:26" ht="15.75" customHeight="1">
      <c r="A890" s="230"/>
      <c r="B890" s="230"/>
      <c r="C890" s="230"/>
      <c r="D890" s="230"/>
      <c r="E890" s="230"/>
      <c r="F890" s="230"/>
      <c r="G890" s="230"/>
      <c r="H890" s="230"/>
      <c r="I890" s="230"/>
      <c r="J890" s="230"/>
      <c r="K890" s="230"/>
      <c r="L890" s="230"/>
      <c r="M890" s="230"/>
      <c r="N890" s="230"/>
      <c r="O890" s="230"/>
      <c r="P890" s="230"/>
      <c r="Q890" s="230"/>
      <c r="R890" s="230"/>
      <c r="S890" s="230"/>
      <c r="T890" s="230"/>
      <c r="U890" s="230"/>
      <c r="V890" s="230"/>
      <c r="W890" s="230"/>
      <c r="X890" s="230"/>
      <c r="Y890" s="230"/>
      <c r="Z890" s="230"/>
    </row>
    <row r="891" spans="1:26" ht="15.75" customHeight="1">
      <c r="A891" s="230"/>
      <c r="B891" s="230"/>
      <c r="C891" s="230"/>
      <c r="D891" s="230"/>
      <c r="E891" s="230"/>
      <c r="F891" s="230"/>
      <c r="G891" s="230"/>
      <c r="H891" s="230"/>
      <c r="I891" s="230"/>
      <c r="J891" s="230"/>
      <c r="K891" s="230"/>
      <c r="L891" s="230"/>
      <c r="M891" s="230"/>
      <c r="N891" s="230"/>
      <c r="O891" s="230"/>
      <c r="P891" s="230"/>
      <c r="Q891" s="230"/>
      <c r="R891" s="230"/>
      <c r="S891" s="230"/>
      <c r="T891" s="230"/>
      <c r="U891" s="230"/>
      <c r="V891" s="230"/>
      <c r="W891" s="230"/>
      <c r="X891" s="230"/>
      <c r="Y891" s="230"/>
      <c r="Z891" s="230"/>
    </row>
    <row r="892" spans="1:26" ht="15.75" customHeight="1">
      <c r="A892" s="230"/>
      <c r="B892" s="230"/>
      <c r="C892" s="230"/>
      <c r="D892" s="230"/>
      <c r="E892" s="230"/>
      <c r="F892" s="230"/>
      <c r="G892" s="230"/>
      <c r="H892" s="230"/>
      <c r="I892" s="230"/>
      <c r="J892" s="230"/>
      <c r="K892" s="230"/>
      <c r="L892" s="230"/>
      <c r="M892" s="230"/>
      <c r="N892" s="230"/>
      <c r="O892" s="230"/>
      <c r="P892" s="230"/>
      <c r="Q892" s="230"/>
      <c r="R892" s="230"/>
      <c r="S892" s="230"/>
      <c r="T892" s="230"/>
      <c r="U892" s="230"/>
      <c r="V892" s="230"/>
      <c r="W892" s="230"/>
      <c r="X892" s="230"/>
      <c r="Y892" s="230"/>
      <c r="Z892" s="230"/>
    </row>
    <row r="893" spans="1:26" ht="15.75" customHeight="1">
      <c r="A893" s="230"/>
      <c r="B893" s="230"/>
      <c r="C893" s="230"/>
      <c r="D893" s="230"/>
      <c r="E893" s="230"/>
      <c r="F893" s="230"/>
      <c r="G893" s="230"/>
      <c r="H893" s="230"/>
      <c r="I893" s="230"/>
      <c r="J893" s="230"/>
      <c r="K893" s="230"/>
      <c r="L893" s="230"/>
      <c r="M893" s="230"/>
      <c r="N893" s="230"/>
      <c r="O893" s="230"/>
      <c r="P893" s="230"/>
      <c r="Q893" s="230"/>
      <c r="R893" s="230"/>
      <c r="S893" s="230"/>
      <c r="T893" s="230"/>
      <c r="U893" s="230"/>
      <c r="V893" s="230"/>
      <c r="W893" s="230"/>
      <c r="X893" s="230"/>
      <c r="Y893" s="230"/>
      <c r="Z893" s="230"/>
    </row>
    <row r="894" spans="1:26" ht="15.75" customHeight="1">
      <c r="A894" s="230"/>
      <c r="B894" s="230"/>
      <c r="C894" s="230"/>
      <c r="D894" s="230"/>
      <c r="E894" s="230"/>
      <c r="F894" s="230"/>
      <c r="G894" s="230"/>
      <c r="H894" s="230"/>
      <c r="I894" s="230"/>
      <c r="J894" s="230"/>
      <c r="K894" s="230"/>
      <c r="L894" s="230"/>
      <c r="M894" s="230"/>
      <c r="N894" s="230"/>
      <c r="O894" s="230"/>
      <c r="P894" s="230"/>
      <c r="Q894" s="230"/>
      <c r="R894" s="230"/>
      <c r="S894" s="230"/>
      <c r="T894" s="230"/>
      <c r="U894" s="230"/>
      <c r="V894" s="230"/>
      <c r="W894" s="230"/>
      <c r="X894" s="230"/>
      <c r="Y894" s="230"/>
      <c r="Z894" s="230"/>
    </row>
    <row r="895" spans="1:26" ht="15.75" customHeight="1">
      <c r="A895" s="230"/>
      <c r="B895" s="230"/>
      <c r="C895" s="230"/>
      <c r="D895" s="230"/>
      <c r="E895" s="230"/>
      <c r="F895" s="230"/>
      <c r="G895" s="230"/>
      <c r="H895" s="230"/>
      <c r="I895" s="230"/>
      <c r="J895" s="230"/>
      <c r="K895" s="230"/>
      <c r="L895" s="230"/>
      <c r="M895" s="230"/>
      <c r="N895" s="230"/>
      <c r="O895" s="230"/>
      <c r="P895" s="230"/>
      <c r="Q895" s="230"/>
      <c r="R895" s="230"/>
      <c r="S895" s="230"/>
      <c r="T895" s="230"/>
      <c r="U895" s="230"/>
      <c r="V895" s="230"/>
      <c r="W895" s="230"/>
      <c r="X895" s="230"/>
      <c r="Y895" s="230"/>
      <c r="Z895" s="230"/>
    </row>
    <row r="896" spans="1:26" ht="15.75" customHeight="1">
      <c r="A896" s="230"/>
      <c r="B896" s="230"/>
      <c r="C896" s="230"/>
      <c r="D896" s="230"/>
      <c r="E896" s="230"/>
      <c r="F896" s="230"/>
      <c r="G896" s="230"/>
      <c r="H896" s="230"/>
      <c r="I896" s="230"/>
      <c r="J896" s="230"/>
      <c r="K896" s="230"/>
      <c r="L896" s="230"/>
      <c r="M896" s="230"/>
      <c r="N896" s="230"/>
      <c r="O896" s="230"/>
      <c r="P896" s="230"/>
      <c r="Q896" s="230"/>
      <c r="R896" s="230"/>
      <c r="S896" s="230"/>
      <c r="T896" s="230"/>
      <c r="U896" s="230"/>
      <c r="V896" s="230"/>
      <c r="W896" s="230"/>
      <c r="X896" s="230"/>
      <c r="Y896" s="230"/>
      <c r="Z896" s="230"/>
    </row>
    <row r="897" spans="1:26" ht="15.75" customHeight="1">
      <c r="A897" s="230"/>
      <c r="B897" s="230"/>
      <c r="C897" s="230"/>
      <c r="D897" s="230"/>
      <c r="E897" s="230"/>
      <c r="F897" s="230"/>
      <c r="G897" s="230"/>
      <c r="H897" s="230"/>
      <c r="I897" s="230"/>
      <c r="J897" s="230"/>
      <c r="K897" s="230"/>
      <c r="L897" s="230"/>
      <c r="M897" s="230"/>
      <c r="N897" s="230"/>
      <c r="O897" s="230"/>
      <c r="P897" s="230"/>
      <c r="Q897" s="230"/>
      <c r="R897" s="230"/>
      <c r="S897" s="230"/>
      <c r="T897" s="230"/>
      <c r="U897" s="230"/>
      <c r="V897" s="230"/>
      <c r="W897" s="230"/>
      <c r="X897" s="230"/>
      <c r="Y897" s="230"/>
      <c r="Z897" s="230"/>
    </row>
    <row r="898" spans="1:26" ht="15.75" customHeight="1">
      <c r="A898" s="230"/>
      <c r="B898" s="230"/>
      <c r="C898" s="230"/>
      <c r="D898" s="230"/>
      <c r="E898" s="230"/>
      <c r="F898" s="230"/>
      <c r="G898" s="230"/>
      <c r="H898" s="230"/>
      <c r="I898" s="230"/>
      <c r="J898" s="230"/>
      <c r="K898" s="230"/>
      <c r="L898" s="230"/>
      <c r="M898" s="230"/>
      <c r="N898" s="230"/>
      <c r="O898" s="230"/>
      <c r="P898" s="230"/>
      <c r="Q898" s="230"/>
      <c r="R898" s="230"/>
      <c r="S898" s="230"/>
      <c r="T898" s="230"/>
      <c r="U898" s="230"/>
      <c r="V898" s="230"/>
      <c r="W898" s="230"/>
      <c r="X898" s="230"/>
      <c r="Y898" s="230"/>
      <c r="Z898" s="230"/>
    </row>
    <row r="899" spans="1:26" ht="15.75" customHeight="1">
      <c r="A899" s="230"/>
      <c r="B899" s="230"/>
      <c r="C899" s="230"/>
      <c r="D899" s="230"/>
      <c r="E899" s="230"/>
      <c r="F899" s="230"/>
      <c r="G899" s="230"/>
      <c r="H899" s="230"/>
      <c r="I899" s="230"/>
      <c r="J899" s="230"/>
      <c r="K899" s="230"/>
      <c r="L899" s="230"/>
      <c r="M899" s="230"/>
      <c r="N899" s="230"/>
      <c r="O899" s="230"/>
      <c r="P899" s="230"/>
      <c r="Q899" s="230"/>
      <c r="R899" s="230"/>
      <c r="S899" s="230"/>
      <c r="T899" s="230"/>
      <c r="U899" s="230"/>
      <c r="V899" s="230"/>
      <c r="W899" s="230"/>
      <c r="X899" s="230"/>
      <c r="Y899" s="230"/>
      <c r="Z899" s="230"/>
    </row>
    <row r="900" spans="1:26" ht="15.75" customHeight="1">
      <c r="A900" s="230"/>
      <c r="B900" s="230"/>
      <c r="C900" s="230"/>
      <c r="D900" s="230"/>
      <c r="E900" s="230"/>
      <c r="F900" s="230"/>
      <c r="G900" s="230"/>
      <c r="H900" s="230"/>
      <c r="I900" s="230"/>
      <c r="J900" s="230"/>
      <c r="K900" s="230"/>
      <c r="L900" s="230"/>
      <c r="M900" s="230"/>
      <c r="N900" s="230"/>
      <c r="O900" s="230"/>
      <c r="P900" s="230"/>
      <c r="Q900" s="230"/>
      <c r="R900" s="230"/>
      <c r="S900" s="230"/>
      <c r="T900" s="230"/>
      <c r="U900" s="230"/>
      <c r="V900" s="230"/>
      <c r="W900" s="230"/>
      <c r="X900" s="230"/>
      <c r="Y900" s="230"/>
      <c r="Z900" s="230"/>
    </row>
    <row r="901" spans="1:26" ht="15.75" customHeight="1">
      <c r="A901" s="230"/>
      <c r="B901" s="230"/>
      <c r="C901" s="230"/>
      <c r="D901" s="230"/>
      <c r="E901" s="230"/>
      <c r="F901" s="230"/>
      <c r="G901" s="230"/>
      <c r="H901" s="230"/>
      <c r="I901" s="230"/>
      <c r="J901" s="230"/>
      <c r="K901" s="230"/>
      <c r="L901" s="230"/>
      <c r="M901" s="230"/>
      <c r="N901" s="230"/>
      <c r="O901" s="230"/>
      <c r="P901" s="230"/>
      <c r="Q901" s="230"/>
      <c r="R901" s="230"/>
      <c r="S901" s="230"/>
      <c r="T901" s="230"/>
      <c r="U901" s="230"/>
      <c r="V901" s="230"/>
      <c r="W901" s="230"/>
      <c r="X901" s="230"/>
      <c r="Y901" s="230"/>
      <c r="Z901" s="230"/>
    </row>
    <row r="902" spans="1:26" ht="15.75" customHeight="1">
      <c r="A902" s="230"/>
      <c r="B902" s="230"/>
      <c r="C902" s="230"/>
      <c r="D902" s="230"/>
      <c r="E902" s="230"/>
      <c r="F902" s="230"/>
      <c r="G902" s="230"/>
      <c r="H902" s="230"/>
      <c r="I902" s="230"/>
      <c r="J902" s="230"/>
      <c r="K902" s="230"/>
      <c r="L902" s="230"/>
      <c r="M902" s="230"/>
      <c r="N902" s="230"/>
      <c r="O902" s="230"/>
      <c r="P902" s="230"/>
      <c r="Q902" s="230"/>
      <c r="R902" s="230"/>
      <c r="S902" s="230"/>
      <c r="T902" s="230"/>
      <c r="U902" s="230"/>
      <c r="V902" s="230"/>
      <c r="W902" s="230"/>
      <c r="X902" s="230"/>
      <c r="Y902" s="230"/>
      <c r="Z902" s="230"/>
    </row>
    <row r="903" spans="1:26" ht="15.75" customHeight="1">
      <c r="A903" s="230"/>
      <c r="B903" s="230"/>
      <c r="C903" s="230"/>
      <c r="D903" s="230"/>
      <c r="E903" s="230"/>
      <c r="F903" s="230"/>
      <c r="G903" s="230"/>
      <c r="H903" s="230"/>
      <c r="I903" s="230"/>
      <c r="J903" s="230"/>
      <c r="K903" s="230"/>
      <c r="L903" s="230"/>
      <c r="M903" s="230"/>
      <c r="N903" s="230"/>
      <c r="O903" s="230"/>
      <c r="P903" s="230"/>
      <c r="Q903" s="230"/>
      <c r="R903" s="230"/>
      <c r="S903" s="230"/>
      <c r="T903" s="230"/>
      <c r="U903" s="230"/>
      <c r="V903" s="230"/>
      <c r="W903" s="230"/>
      <c r="X903" s="230"/>
      <c r="Y903" s="230"/>
      <c r="Z903" s="230"/>
    </row>
    <row r="904" spans="1:26" ht="15.75" customHeight="1">
      <c r="A904" s="230"/>
      <c r="B904" s="230"/>
      <c r="C904" s="230"/>
      <c r="D904" s="230"/>
      <c r="E904" s="230"/>
      <c r="F904" s="230"/>
      <c r="G904" s="230"/>
      <c r="H904" s="230"/>
      <c r="I904" s="230"/>
      <c r="J904" s="230"/>
      <c r="K904" s="230"/>
      <c r="L904" s="230"/>
      <c r="M904" s="230"/>
      <c r="N904" s="230"/>
      <c r="O904" s="230"/>
      <c r="P904" s="230"/>
      <c r="Q904" s="230"/>
      <c r="R904" s="230"/>
      <c r="S904" s="230"/>
      <c r="T904" s="230"/>
      <c r="U904" s="230"/>
      <c r="V904" s="230"/>
      <c r="W904" s="230"/>
      <c r="X904" s="230"/>
      <c r="Y904" s="230"/>
      <c r="Z904" s="230"/>
    </row>
    <row r="905" spans="1:26" ht="15.75" customHeight="1">
      <c r="A905" s="230"/>
      <c r="B905" s="230"/>
      <c r="C905" s="230"/>
      <c r="D905" s="230"/>
      <c r="E905" s="230"/>
      <c r="F905" s="230"/>
      <c r="G905" s="230"/>
      <c r="H905" s="230"/>
      <c r="I905" s="230"/>
      <c r="J905" s="230"/>
      <c r="K905" s="230"/>
      <c r="L905" s="230"/>
      <c r="M905" s="230"/>
      <c r="N905" s="230"/>
      <c r="O905" s="230"/>
      <c r="P905" s="230"/>
      <c r="Q905" s="230"/>
      <c r="R905" s="230"/>
      <c r="S905" s="230"/>
      <c r="T905" s="230"/>
      <c r="U905" s="230"/>
      <c r="V905" s="230"/>
      <c r="W905" s="230"/>
      <c r="X905" s="230"/>
      <c r="Y905" s="230"/>
      <c r="Z905" s="230"/>
    </row>
    <row r="906" spans="1:26" ht="15.75" customHeight="1">
      <c r="A906" s="230"/>
      <c r="B906" s="230"/>
      <c r="C906" s="230"/>
      <c r="D906" s="230"/>
      <c r="E906" s="230"/>
      <c r="F906" s="230"/>
      <c r="G906" s="230"/>
      <c r="H906" s="230"/>
      <c r="I906" s="230"/>
      <c r="J906" s="230"/>
      <c r="K906" s="230"/>
      <c r="L906" s="230"/>
      <c r="M906" s="230"/>
      <c r="N906" s="230"/>
      <c r="O906" s="230"/>
      <c r="P906" s="230"/>
      <c r="Q906" s="230"/>
      <c r="R906" s="230"/>
      <c r="S906" s="230"/>
      <c r="T906" s="230"/>
      <c r="U906" s="230"/>
      <c r="V906" s="230"/>
      <c r="W906" s="230"/>
      <c r="X906" s="230"/>
      <c r="Y906" s="230"/>
      <c r="Z906" s="230"/>
    </row>
    <row r="907" spans="1:26" ht="15.75" customHeight="1">
      <c r="A907" s="230"/>
      <c r="B907" s="230"/>
      <c r="C907" s="230"/>
      <c r="D907" s="230"/>
      <c r="E907" s="230"/>
      <c r="F907" s="230"/>
      <c r="G907" s="230"/>
      <c r="H907" s="230"/>
      <c r="I907" s="230"/>
      <c r="J907" s="230"/>
      <c r="K907" s="230"/>
      <c r="L907" s="230"/>
      <c r="M907" s="230"/>
      <c r="N907" s="230"/>
      <c r="O907" s="230"/>
      <c r="P907" s="230"/>
      <c r="Q907" s="230"/>
      <c r="R907" s="230"/>
      <c r="S907" s="230"/>
      <c r="T907" s="230"/>
      <c r="U907" s="230"/>
      <c r="V907" s="230"/>
      <c r="W907" s="230"/>
      <c r="X907" s="230"/>
      <c r="Y907" s="230"/>
      <c r="Z907" s="230"/>
    </row>
    <row r="908" spans="1:26" ht="15.75" customHeight="1">
      <c r="A908" s="230"/>
      <c r="B908" s="230"/>
      <c r="C908" s="230"/>
      <c r="D908" s="230"/>
      <c r="E908" s="230"/>
      <c r="F908" s="230"/>
      <c r="G908" s="230"/>
      <c r="H908" s="230"/>
      <c r="I908" s="230"/>
      <c r="J908" s="230"/>
      <c r="K908" s="230"/>
      <c r="L908" s="230"/>
      <c r="M908" s="230"/>
      <c r="N908" s="230"/>
      <c r="O908" s="230"/>
      <c r="P908" s="230"/>
      <c r="Q908" s="230"/>
      <c r="R908" s="230"/>
      <c r="S908" s="230"/>
      <c r="T908" s="230"/>
      <c r="U908" s="230"/>
      <c r="V908" s="230"/>
      <c r="W908" s="230"/>
      <c r="X908" s="230"/>
      <c r="Y908" s="230"/>
      <c r="Z908" s="230"/>
    </row>
    <row r="909" spans="1:26" ht="15.75" customHeight="1">
      <c r="A909" s="230"/>
      <c r="B909" s="230"/>
      <c r="C909" s="230"/>
      <c r="D909" s="230"/>
      <c r="E909" s="230"/>
      <c r="F909" s="230"/>
      <c r="G909" s="230"/>
      <c r="H909" s="230"/>
      <c r="I909" s="230"/>
      <c r="J909" s="230"/>
      <c r="K909" s="230"/>
      <c r="L909" s="230"/>
      <c r="M909" s="230"/>
      <c r="N909" s="230"/>
      <c r="O909" s="230"/>
      <c r="P909" s="230"/>
      <c r="Q909" s="230"/>
      <c r="R909" s="230"/>
      <c r="S909" s="230"/>
      <c r="T909" s="230"/>
      <c r="U909" s="230"/>
      <c r="V909" s="230"/>
      <c r="W909" s="230"/>
      <c r="X909" s="230"/>
      <c r="Y909" s="230"/>
      <c r="Z909" s="230"/>
    </row>
    <row r="910" spans="1:26" ht="15.75" customHeight="1">
      <c r="A910" s="230"/>
      <c r="B910" s="230"/>
      <c r="C910" s="230"/>
      <c r="D910" s="230"/>
      <c r="E910" s="230"/>
      <c r="F910" s="230"/>
      <c r="G910" s="230"/>
      <c r="H910" s="230"/>
      <c r="I910" s="230"/>
      <c r="J910" s="230"/>
      <c r="K910" s="230"/>
      <c r="L910" s="230"/>
      <c r="M910" s="230"/>
      <c r="N910" s="230"/>
      <c r="O910" s="230"/>
      <c r="P910" s="230"/>
      <c r="Q910" s="230"/>
      <c r="R910" s="230"/>
      <c r="S910" s="230"/>
      <c r="T910" s="230"/>
      <c r="U910" s="230"/>
      <c r="V910" s="230"/>
      <c r="W910" s="230"/>
      <c r="X910" s="230"/>
      <c r="Y910" s="230"/>
      <c r="Z910" s="230"/>
    </row>
    <row r="911" spans="1:26" ht="15.75" customHeight="1">
      <c r="A911" s="230"/>
      <c r="B911" s="230"/>
      <c r="C911" s="230"/>
      <c r="D911" s="230"/>
      <c r="E911" s="230"/>
      <c r="F911" s="230"/>
      <c r="G911" s="230"/>
      <c r="H911" s="230"/>
      <c r="I911" s="230"/>
      <c r="J911" s="230"/>
      <c r="K911" s="230"/>
      <c r="L911" s="230"/>
      <c r="M911" s="230"/>
      <c r="N911" s="230"/>
      <c r="O911" s="230"/>
      <c r="P911" s="230"/>
      <c r="Q911" s="230"/>
      <c r="R911" s="230"/>
      <c r="S911" s="230"/>
      <c r="T911" s="230"/>
      <c r="U911" s="230"/>
      <c r="V911" s="230"/>
      <c r="W911" s="230"/>
      <c r="X911" s="230"/>
      <c r="Y911" s="230"/>
      <c r="Z911" s="230"/>
    </row>
    <row r="912" spans="1:26" ht="15.75" customHeight="1">
      <c r="A912" s="230"/>
      <c r="B912" s="230"/>
      <c r="C912" s="230"/>
      <c r="D912" s="230"/>
      <c r="E912" s="230"/>
      <c r="F912" s="230"/>
      <c r="G912" s="230"/>
      <c r="H912" s="230"/>
      <c r="I912" s="230"/>
      <c r="J912" s="230"/>
      <c r="K912" s="230"/>
      <c r="L912" s="230"/>
      <c r="M912" s="230"/>
      <c r="N912" s="230"/>
      <c r="O912" s="230"/>
      <c r="P912" s="230"/>
      <c r="Q912" s="230"/>
      <c r="R912" s="230"/>
      <c r="S912" s="230"/>
      <c r="T912" s="230"/>
      <c r="U912" s="230"/>
      <c r="V912" s="230"/>
      <c r="W912" s="230"/>
      <c r="X912" s="230"/>
      <c r="Y912" s="230"/>
      <c r="Z912" s="230"/>
    </row>
    <row r="913" spans="1:26" ht="15.75" customHeight="1">
      <c r="A913" s="230"/>
      <c r="B913" s="230"/>
      <c r="C913" s="230"/>
      <c r="D913" s="230"/>
      <c r="E913" s="230"/>
      <c r="F913" s="230"/>
      <c r="G913" s="230"/>
      <c r="H913" s="230"/>
      <c r="I913" s="230"/>
      <c r="J913" s="230"/>
      <c r="K913" s="230"/>
      <c r="L913" s="230"/>
      <c r="M913" s="230"/>
      <c r="N913" s="230"/>
      <c r="O913" s="230"/>
      <c r="P913" s="230"/>
      <c r="Q913" s="230"/>
      <c r="R913" s="230"/>
      <c r="S913" s="230"/>
      <c r="T913" s="230"/>
      <c r="U913" s="230"/>
      <c r="V913" s="230"/>
      <c r="W913" s="230"/>
      <c r="X913" s="230"/>
      <c r="Y913" s="230"/>
      <c r="Z913" s="230"/>
    </row>
    <row r="914" spans="1:26" ht="15.75" customHeight="1">
      <c r="A914" s="230"/>
      <c r="B914" s="230"/>
      <c r="C914" s="230"/>
      <c r="D914" s="230"/>
      <c r="E914" s="230"/>
      <c r="F914" s="230"/>
      <c r="G914" s="230"/>
      <c r="H914" s="230"/>
      <c r="I914" s="230"/>
      <c r="J914" s="230"/>
      <c r="K914" s="230"/>
      <c r="L914" s="230"/>
      <c r="M914" s="230"/>
      <c r="N914" s="230"/>
      <c r="O914" s="230"/>
      <c r="P914" s="230"/>
      <c r="Q914" s="230"/>
      <c r="R914" s="230"/>
      <c r="S914" s="230"/>
      <c r="T914" s="230"/>
      <c r="U914" s="230"/>
      <c r="V914" s="230"/>
      <c r="W914" s="230"/>
      <c r="X914" s="230"/>
      <c r="Y914" s="230"/>
      <c r="Z914" s="230"/>
    </row>
    <row r="915" spans="1:26" ht="15.75" customHeight="1">
      <c r="A915" s="230"/>
      <c r="B915" s="230"/>
      <c r="C915" s="230"/>
      <c r="D915" s="230"/>
      <c r="E915" s="230"/>
      <c r="F915" s="230"/>
      <c r="G915" s="230"/>
      <c r="H915" s="230"/>
      <c r="I915" s="230"/>
      <c r="J915" s="230"/>
      <c r="K915" s="230"/>
      <c r="L915" s="230"/>
      <c r="M915" s="230"/>
      <c r="N915" s="230"/>
      <c r="O915" s="230"/>
      <c r="P915" s="230"/>
      <c r="Q915" s="230"/>
      <c r="R915" s="230"/>
      <c r="S915" s="230"/>
      <c r="T915" s="230"/>
      <c r="U915" s="230"/>
      <c r="V915" s="230"/>
      <c r="W915" s="230"/>
      <c r="X915" s="230"/>
      <c r="Y915" s="230"/>
      <c r="Z915" s="230"/>
    </row>
    <row r="916" spans="1:26" ht="15.75" customHeight="1">
      <c r="A916" s="230"/>
      <c r="B916" s="230"/>
      <c r="C916" s="230"/>
      <c r="D916" s="230"/>
      <c r="E916" s="230"/>
      <c r="F916" s="230"/>
      <c r="G916" s="230"/>
      <c r="H916" s="230"/>
      <c r="I916" s="230"/>
      <c r="J916" s="230"/>
      <c r="K916" s="230"/>
      <c r="L916" s="230"/>
      <c r="M916" s="230"/>
      <c r="N916" s="230"/>
      <c r="O916" s="230"/>
      <c r="P916" s="230"/>
      <c r="Q916" s="230"/>
      <c r="R916" s="230"/>
      <c r="S916" s="230"/>
      <c r="T916" s="230"/>
      <c r="U916" s="230"/>
      <c r="V916" s="230"/>
      <c r="W916" s="230"/>
      <c r="X916" s="230"/>
      <c r="Y916" s="230"/>
      <c r="Z916" s="230"/>
    </row>
    <row r="917" spans="1:26" ht="15.75" customHeight="1">
      <c r="A917" s="230"/>
      <c r="B917" s="230"/>
      <c r="C917" s="230"/>
      <c r="D917" s="230"/>
      <c r="E917" s="230"/>
      <c r="F917" s="230"/>
      <c r="G917" s="230"/>
      <c r="H917" s="230"/>
      <c r="I917" s="230"/>
      <c r="J917" s="230"/>
      <c r="K917" s="230"/>
      <c r="L917" s="230"/>
      <c r="M917" s="230"/>
      <c r="N917" s="230"/>
      <c r="O917" s="230"/>
      <c r="P917" s="230"/>
      <c r="Q917" s="230"/>
      <c r="R917" s="230"/>
      <c r="S917" s="230"/>
      <c r="T917" s="230"/>
      <c r="U917" s="230"/>
      <c r="V917" s="230"/>
      <c r="W917" s="230"/>
      <c r="X917" s="230"/>
      <c r="Y917" s="230"/>
      <c r="Z917" s="230"/>
    </row>
    <row r="918" spans="1:26" ht="15.75" customHeight="1">
      <c r="A918" s="230"/>
      <c r="B918" s="230"/>
      <c r="C918" s="230"/>
      <c r="D918" s="230"/>
      <c r="E918" s="230"/>
      <c r="F918" s="230"/>
      <c r="G918" s="230"/>
      <c r="H918" s="230"/>
      <c r="I918" s="230"/>
      <c r="J918" s="230"/>
      <c r="K918" s="230"/>
      <c r="L918" s="230"/>
      <c r="M918" s="230"/>
      <c r="N918" s="230"/>
      <c r="O918" s="230"/>
      <c r="P918" s="230"/>
      <c r="Q918" s="230"/>
      <c r="R918" s="230"/>
      <c r="S918" s="230"/>
      <c r="T918" s="230"/>
      <c r="U918" s="230"/>
      <c r="V918" s="230"/>
      <c r="W918" s="230"/>
      <c r="X918" s="230"/>
      <c r="Y918" s="230"/>
      <c r="Z918" s="230"/>
    </row>
    <row r="919" spans="1:26" ht="15.75" customHeight="1">
      <c r="A919" s="230"/>
      <c r="B919" s="230"/>
      <c r="C919" s="230"/>
      <c r="D919" s="230"/>
      <c r="E919" s="230"/>
      <c r="F919" s="230"/>
      <c r="G919" s="230"/>
      <c r="H919" s="230"/>
      <c r="I919" s="230"/>
      <c r="J919" s="230"/>
      <c r="K919" s="230"/>
      <c r="L919" s="230"/>
      <c r="M919" s="230"/>
      <c r="N919" s="230"/>
      <c r="O919" s="230"/>
      <c r="P919" s="230"/>
      <c r="Q919" s="230"/>
      <c r="R919" s="230"/>
      <c r="S919" s="230"/>
      <c r="T919" s="230"/>
      <c r="U919" s="230"/>
      <c r="V919" s="230"/>
      <c r="W919" s="230"/>
      <c r="X919" s="230"/>
      <c r="Y919" s="230"/>
      <c r="Z919" s="230"/>
    </row>
    <row r="920" spans="1:26" ht="15.75" customHeight="1">
      <c r="A920" s="230"/>
      <c r="B920" s="230"/>
      <c r="C920" s="230"/>
      <c r="D920" s="230"/>
      <c r="E920" s="230"/>
      <c r="F920" s="230"/>
      <c r="G920" s="230"/>
      <c r="H920" s="230"/>
      <c r="I920" s="230"/>
      <c r="J920" s="230"/>
      <c r="K920" s="230"/>
      <c r="L920" s="230"/>
      <c r="M920" s="230"/>
      <c r="N920" s="230"/>
      <c r="O920" s="230"/>
      <c r="P920" s="230"/>
      <c r="Q920" s="230"/>
      <c r="R920" s="230"/>
      <c r="S920" s="230"/>
      <c r="T920" s="230"/>
      <c r="U920" s="230"/>
      <c r="V920" s="230"/>
      <c r="W920" s="230"/>
      <c r="X920" s="230"/>
      <c r="Y920" s="230"/>
      <c r="Z920" s="230"/>
    </row>
    <row r="921" spans="1:26" ht="15.75" customHeight="1">
      <c r="A921" s="230"/>
      <c r="B921" s="230"/>
      <c r="C921" s="230"/>
      <c r="D921" s="230"/>
      <c r="E921" s="230"/>
      <c r="F921" s="230"/>
      <c r="G921" s="230"/>
      <c r="H921" s="230"/>
      <c r="I921" s="230"/>
      <c r="J921" s="230"/>
      <c r="K921" s="230"/>
      <c r="L921" s="230"/>
      <c r="M921" s="230"/>
      <c r="N921" s="230"/>
      <c r="O921" s="230"/>
      <c r="P921" s="230"/>
      <c r="Q921" s="230"/>
      <c r="R921" s="230"/>
      <c r="S921" s="230"/>
      <c r="T921" s="230"/>
      <c r="U921" s="230"/>
      <c r="V921" s="230"/>
      <c r="W921" s="230"/>
      <c r="X921" s="230"/>
      <c r="Y921" s="230"/>
      <c r="Z921" s="230"/>
    </row>
    <row r="922" spans="1:26" ht="15.75" customHeight="1">
      <c r="A922" s="230"/>
      <c r="B922" s="230"/>
      <c r="C922" s="230"/>
      <c r="D922" s="230"/>
      <c r="E922" s="230"/>
      <c r="F922" s="230"/>
      <c r="G922" s="230"/>
      <c r="H922" s="230"/>
      <c r="I922" s="230"/>
      <c r="J922" s="230"/>
      <c r="K922" s="230"/>
      <c r="L922" s="230"/>
      <c r="M922" s="230"/>
      <c r="N922" s="230"/>
      <c r="O922" s="230"/>
      <c r="P922" s="230"/>
      <c r="Q922" s="230"/>
      <c r="R922" s="230"/>
      <c r="S922" s="230"/>
      <c r="T922" s="230"/>
      <c r="U922" s="230"/>
      <c r="V922" s="230"/>
      <c r="W922" s="230"/>
      <c r="X922" s="230"/>
      <c r="Y922" s="230"/>
      <c r="Z922" s="230"/>
    </row>
    <row r="923" spans="1:26" ht="15.75" customHeight="1">
      <c r="A923" s="230"/>
      <c r="B923" s="230"/>
      <c r="C923" s="230"/>
      <c r="D923" s="230"/>
      <c r="E923" s="230"/>
      <c r="F923" s="230"/>
      <c r="G923" s="230"/>
      <c r="H923" s="230"/>
      <c r="I923" s="230"/>
      <c r="J923" s="230"/>
      <c r="K923" s="230"/>
      <c r="L923" s="230"/>
      <c r="M923" s="230"/>
      <c r="N923" s="230"/>
      <c r="O923" s="230"/>
      <c r="P923" s="230"/>
      <c r="Q923" s="230"/>
      <c r="R923" s="230"/>
      <c r="S923" s="230"/>
      <c r="T923" s="230"/>
      <c r="U923" s="230"/>
      <c r="V923" s="230"/>
      <c r="W923" s="230"/>
      <c r="X923" s="230"/>
      <c r="Y923" s="230"/>
      <c r="Z923" s="230"/>
    </row>
    <row r="924" spans="1:26" ht="15.75" customHeight="1">
      <c r="A924" s="230"/>
      <c r="B924" s="230"/>
      <c r="C924" s="230"/>
      <c r="D924" s="230"/>
      <c r="E924" s="230"/>
      <c r="F924" s="230"/>
      <c r="G924" s="230"/>
      <c r="H924" s="230"/>
      <c r="I924" s="230"/>
      <c r="J924" s="230"/>
      <c r="K924" s="230"/>
      <c r="L924" s="230"/>
      <c r="M924" s="230"/>
      <c r="N924" s="230"/>
      <c r="O924" s="230"/>
      <c r="P924" s="230"/>
      <c r="Q924" s="230"/>
      <c r="R924" s="230"/>
      <c r="S924" s="230"/>
      <c r="T924" s="230"/>
      <c r="U924" s="230"/>
      <c r="V924" s="230"/>
      <c r="W924" s="230"/>
      <c r="X924" s="230"/>
      <c r="Y924" s="230"/>
      <c r="Z924" s="230"/>
    </row>
    <row r="925" spans="1:26" ht="15.75" customHeight="1">
      <c r="A925" s="230"/>
      <c r="B925" s="230"/>
      <c r="C925" s="230"/>
      <c r="D925" s="230"/>
      <c r="E925" s="230"/>
      <c r="F925" s="230"/>
      <c r="G925" s="230"/>
      <c r="H925" s="230"/>
      <c r="I925" s="230"/>
      <c r="J925" s="230"/>
      <c r="K925" s="230"/>
      <c r="L925" s="230"/>
      <c r="M925" s="230"/>
      <c r="N925" s="230"/>
      <c r="O925" s="230"/>
      <c r="P925" s="230"/>
      <c r="Q925" s="230"/>
      <c r="R925" s="230"/>
      <c r="S925" s="230"/>
      <c r="T925" s="230"/>
      <c r="U925" s="230"/>
      <c r="V925" s="230"/>
      <c r="W925" s="230"/>
      <c r="X925" s="230"/>
      <c r="Y925" s="230"/>
      <c r="Z925" s="230"/>
    </row>
    <row r="926" spans="1:26" ht="15.75" customHeight="1">
      <c r="A926" s="230"/>
      <c r="B926" s="230"/>
      <c r="C926" s="230"/>
      <c r="D926" s="230"/>
      <c r="E926" s="230"/>
      <c r="F926" s="230"/>
      <c r="G926" s="230"/>
      <c r="H926" s="230"/>
      <c r="I926" s="230"/>
      <c r="J926" s="230"/>
      <c r="K926" s="230"/>
      <c r="L926" s="230"/>
      <c r="M926" s="230"/>
      <c r="N926" s="230"/>
      <c r="O926" s="230"/>
      <c r="P926" s="230"/>
      <c r="Q926" s="230"/>
      <c r="R926" s="230"/>
      <c r="S926" s="230"/>
      <c r="T926" s="230"/>
      <c r="U926" s="230"/>
      <c r="V926" s="230"/>
      <c r="W926" s="230"/>
      <c r="X926" s="230"/>
      <c r="Y926" s="230"/>
      <c r="Z926" s="230"/>
    </row>
    <row r="927" spans="1:26" ht="15.75" customHeight="1">
      <c r="A927" s="230"/>
      <c r="B927" s="230"/>
      <c r="C927" s="230"/>
      <c r="D927" s="230"/>
      <c r="E927" s="230"/>
      <c r="F927" s="230"/>
      <c r="G927" s="230"/>
      <c r="H927" s="230"/>
      <c r="I927" s="230"/>
      <c r="J927" s="230"/>
      <c r="K927" s="230"/>
      <c r="L927" s="230"/>
      <c r="M927" s="230"/>
      <c r="N927" s="230"/>
      <c r="O927" s="230"/>
      <c r="P927" s="230"/>
      <c r="Q927" s="230"/>
      <c r="R927" s="230"/>
      <c r="S927" s="230"/>
      <c r="T927" s="230"/>
      <c r="U927" s="230"/>
      <c r="V927" s="230"/>
      <c r="W927" s="230"/>
      <c r="X927" s="230"/>
      <c r="Y927" s="230"/>
      <c r="Z927" s="230"/>
    </row>
    <row r="928" spans="1:26" ht="15.75" customHeight="1">
      <c r="A928" s="230"/>
      <c r="B928" s="230"/>
      <c r="C928" s="230"/>
      <c r="D928" s="230"/>
      <c r="E928" s="230"/>
      <c r="F928" s="230"/>
      <c r="G928" s="230"/>
      <c r="H928" s="230"/>
      <c r="I928" s="230"/>
      <c r="J928" s="230"/>
      <c r="K928" s="230"/>
      <c r="L928" s="230"/>
      <c r="M928" s="230"/>
      <c r="N928" s="230"/>
      <c r="O928" s="230"/>
      <c r="P928" s="230"/>
      <c r="Q928" s="230"/>
      <c r="R928" s="230"/>
      <c r="S928" s="230"/>
      <c r="T928" s="230"/>
      <c r="U928" s="230"/>
      <c r="V928" s="230"/>
      <c r="W928" s="230"/>
      <c r="X928" s="230"/>
      <c r="Y928" s="230"/>
      <c r="Z928" s="230"/>
    </row>
    <row r="929" spans="1:26" ht="15.75" customHeight="1">
      <c r="A929" s="230"/>
      <c r="B929" s="230"/>
      <c r="C929" s="230"/>
      <c r="D929" s="230"/>
      <c r="E929" s="230"/>
      <c r="F929" s="230"/>
      <c r="G929" s="230"/>
      <c r="H929" s="230"/>
      <c r="I929" s="230"/>
      <c r="J929" s="230"/>
      <c r="K929" s="230"/>
      <c r="L929" s="230"/>
      <c r="M929" s="230"/>
      <c r="N929" s="230"/>
      <c r="O929" s="230"/>
      <c r="P929" s="230"/>
      <c r="Q929" s="230"/>
      <c r="R929" s="230"/>
      <c r="S929" s="230"/>
      <c r="T929" s="230"/>
      <c r="U929" s="230"/>
      <c r="V929" s="230"/>
      <c r="W929" s="230"/>
      <c r="X929" s="230"/>
      <c r="Y929" s="230"/>
      <c r="Z929" s="230"/>
    </row>
    <row r="930" spans="1:26" ht="15.75" customHeight="1">
      <c r="A930" s="230"/>
      <c r="B930" s="230"/>
      <c r="C930" s="230"/>
      <c r="D930" s="230"/>
      <c r="E930" s="230"/>
      <c r="F930" s="230"/>
      <c r="G930" s="230"/>
      <c r="H930" s="230"/>
      <c r="I930" s="230"/>
      <c r="J930" s="230"/>
      <c r="K930" s="230"/>
      <c r="L930" s="230"/>
      <c r="M930" s="230"/>
      <c r="N930" s="230"/>
      <c r="O930" s="230"/>
      <c r="P930" s="230"/>
      <c r="Q930" s="230"/>
      <c r="R930" s="230"/>
      <c r="S930" s="230"/>
      <c r="T930" s="230"/>
      <c r="U930" s="230"/>
      <c r="V930" s="230"/>
      <c r="W930" s="230"/>
      <c r="X930" s="230"/>
      <c r="Y930" s="230"/>
      <c r="Z930" s="230"/>
    </row>
    <row r="931" spans="1:26" ht="15.75" customHeight="1">
      <c r="A931" s="230"/>
      <c r="B931" s="230"/>
      <c r="C931" s="230"/>
      <c r="D931" s="230"/>
      <c r="E931" s="230"/>
      <c r="F931" s="230"/>
      <c r="G931" s="230"/>
      <c r="H931" s="230"/>
      <c r="I931" s="230"/>
      <c r="J931" s="230"/>
      <c r="K931" s="230"/>
      <c r="L931" s="230"/>
      <c r="M931" s="230"/>
      <c r="N931" s="230"/>
      <c r="O931" s="230"/>
      <c r="P931" s="230"/>
      <c r="Q931" s="230"/>
      <c r="R931" s="230"/>
      <c r="S931" s="230"/>
      <c r="T931" s="230"/>
      <c r="U931" s="230"/>
      <c r="V931" s="230"/>
      <c r="W931" s="230"/>
      <c r="X931" s="230"/>
      <c r="Y931" s="230"/>
      <c r="Z931" s="230"/>
    </row>
    <row r="932" spans="1:26" ht="15.75" customHeight="1">
      <c r="A932" s="230"/>
      <c r="B932" s="230"/>
      <c r="C932" s="230"/>
      <c r="D932" s="230"/>
      <c r="E932" s="230"/>
      <c r="F932" s="230"/>
      <c r="G932" s="230"/>
      <c r="H932" s="230"/>
      <c r="I932" s="230"/>
      <c r="J932" s="230"/>
      <c r="K932" s="230"/>
      <c r="L932" s="230"/>
      <c r="M932" s="230"/>
      <c r="N932" s="230"/>
      <c r="O932" s="230"/>
      <c r="P932" s="230"/>
      <c r="Q932" s="230"/>
      <c r="R932" s="230"/>
      <c r="S932" s="230"/>
      <c r="T932" s="230"/>
      <c r="U932" s="230"/>
      <c r="V932" s="230"/>
      <c r="W932" s="230"/>
      <c r="X932" s="230"/>
      <c r="Y932" s="230"/>
      <c r="Z932" s="230"/>
    </row>
    <row r="933" spans="1:26" ht="15.75" customHeight="1">
      <c r="A933" s="230"/>
      <c r="B933" s="230"/>
      <c r="C933" s="230"/>
      <c r="D933" s="230"/>
      <c r="E933" s="230"/>
      <c r="F933" s="230"/>
      <c r="G933" s="230"/>
      <c r="H933" s="230"/>
      <c r="I933" s="230"/>
      <c r="J933" s="230"/>
      <c r="K933" s="230"/>
      <c r="L933" s="230"/>
      <c r="M933" s="230"/>
      <c r="N933" s="230"/>
      <c r="O933" s="230"/>
      <c r="P933" s="230"/>
      <c r="Q933" s="230"/>
      <c r="R933" s="230"/>
      <c r="S933" s="230"/>
      <c r="T933" s="230"/>
      <c r="U933" s="230"/>
      <c r="V933" s="230"/>
      <c r="W933" s="230"/>
      <c r="X933" s="230"/>
      <c r="Y933" s="230"/>
      <c r="Z933" s="230"/>
    </row>
    <row r="934" spans="1:26" ht="15.75" customHeight="1">
      <c r="A934" s="230"/>
      <c r="B934" s="230"/>
      <c r="C934" s="230"/>
      <c r="D934" s="230"/>
      <c r="E934" s="230"/>
      <c r="F934" s="230"/>
      <c r="G934" s="230"/>
      <c r="H934" s="230"/>
      <c r="I934" s="230"/>
      <c r="J934" s="230"/>
      <c r="K934" s="230"/>
      <c r="L934" s="230"/>
      <c r="M934" s="230"/>
      <c r="N934" s="230"/>
      <c r="O934" s="230"/>
      <c r="P934" s="230"/>
      <c r="Q934" s="230"/>
      <c r="R934" s="230"/>
      <c r="S934" s="230"/>
      <c r="T934" s="230"/>
      <c r="U934" s="230"/>
      <c r="V934" s="230"/>
      <c r="W934" s="230"/>
      <c r="X934" s="230"/>
      <c r="Y934" s="230"/>
      <c r="Z934" s="230"/>
    </row>
    <row r="935" spans="1:26" ht="15.75" customHeight="1">
      <c r="A935" s="230"/>
      <c r="B935" s="230"/>
      <c r="C935" s="230"/>
      <c r="D935" s="230"/>
      <c r="E935" s="230"/>
      <c r="F935" s="230"/>
      <c r="G935" s="230"/>
      <c r="H935" s="230"/>
      <c r="I935" s="230"/>
      <c r="J935" s="230"/>
      <c r="K935" s="230"/>
      <c r="L935" s="230"/>
      <c r="M935" s="230"/>
      <c r="N935" s="230"/>
      <c r="O935" s="230"/>
      <c r="P935" s="230"/>
      <c r="Q935" s="230"/>
      <c r="R935" s="230"/>
      <c r="S935" s="230"/>
      <c r="T935" s="230"/>
      <c r="U935" s="230"/>
      <c r="V935" s="230"/>
      <c r="W935" s="230"/>
      <c r="X935" s="230"/>
      <c r="Y935" s="230"/>
      <c r="Z935" s="230"/>
    </row>
    <row r="936" spans="1:26" ht="15.75" customHeight="1">
      <c r="A936" s="230"/>
      <c r="B936" s="230"/>
      <c r="C936" s="230"/>
      <c r="D936" s="230"/>
      <c r="E936" s="230"/>
      <c r="F936" s="230"/>
      <c r="G936" s="230"/>
      <c r="H936" s="230"/>
      <c r="I936" s="230"/>
      <c r="J936" s="230"/>
      <c r="K936" s="230"/>
      <c r="L936" s="230"/>
      <c r="M936" s="230"/>
      <c r="N936" s="230"/>
      <c r="O936" s="230"/>
      <c r="P936" s="230"/>
      <c r="Q936" s="230"/>
      <c r="R936" s="230"/>
      <c r="S936" s="230"/>
      <c r="T936" s="230"/>
      <c r="U936" s="230"/>
      <c r="V936" s="230"/>
      <c r="W936" s="230"/>
      <c r="X936" s="230"/>
      <c r="Y936" s="230"/>
      <c r="Z936" s="230"/>
    </row>
    <row r="937" spans="1:26" ht="15.75" customHeight="1">
      <c r="A937" s="230"/>
      <c r="B937" s="230"/>
      <c r="C937" s="230"/>
      <c r="D937" s="230"/>
      <c r="E937" s="230"/>
      <c r="F937" s="230"/>
      <c r="G937" s="230"/>
      <c r="H937" s="230"/>
      <c r="I937" s="230"/>
      <c r="J937" s="230"/>
      <c r="K937" s="230"/>
      <c r="L937" s="230"/>
      <c r="M937" s="230"/>
      <c r="N937" s="230"/>
      <c r="O937" s="230"/>
      <c r="P937" s="230"/>
      <c r="Q937" s="230"/>
      <c r="R937" s="230"/>
      <c r="S937" s="230"/>
      <c r="T937" s="230"/>
      <c r="U937" s="230"/>
      <c r="V937" s="230"/>
      <c r="W937" s="230"/>
      <c r="X937" s="230"/>
      <c r="Y937" s="230"/>
      <c r="Z937" s="230"/>
    </row>
    <row r="938" spans="1:26" ht="15.75" customHeight="1">
      <c r="A938" s="230"/>
      <c r="B938" s="230"/>
      <c r="C938" s="230"/>
      <c r="D938" s="230"/>
      <c r="E938" s="230"/>
      <c r="F938" s="230"/>
      <c r="G938" s="230"/>
      <c r="H938" s="230"/>
      <c r="I938" s="230"/>
      <c r="J938" s="230"/>
      <c r="K938" s="230"/>
      <c r="L938" s="230"/>
      <c r="M938" s="230"/>
      <c r="N938" s="230"/>
      <c r="O938" s="230"/>
      <c r="P938" s="230"/>
      <c r="Q938" s="230"/>
      <c r="R938" s="230"/>
      <c r="S938" s="230"/>
      <c r="T938" s="230"/>
      <c r="U938" s="230"/>
      <c r="V938" s="230"/>
      <c r="W938" s="230"/>
      <c r="X938" s="230"/>
      <c r="Y938" s="230"/>
      <c r="Z938" s="230"/>
    </row>
    <row r="939" spans="1:26" ht="15.75" customHeight="1">
      <c r="A939" s="230"/>
      <c r="B939" s="230"/>
      <c r="C939" s="230"/>
      <c r="D939" s="230"/>
      <c r="E939" s="230"/>
      <c r="F939" s="230"/>
      <c r="G939" s="230"/>
      <c r="H939" s="230"/>
      <c r="I939" s="230"/>
      <c r="J939" s="230"/>
      <c r="K939" s="230"/>
      <c r="L939" s="230"/>
      <c r="M939" s="230"/>
      <c r="N939" s="230"/>
      <c r="O939" s="230"/>
      <c r="P939" s="230"/>
      <c r="Q939" s="230"/>
      <c r="R939" s="230"/>
      <c r="S939" s="230"/>
      <c r="T939" s="230"/>
      <c r="U939" s="230"/>
      <c r="V939" s="230"/>
      <c r="W939" s="230"/>
      <c r="X939" s="230"/>
      <c r="Y939" s="230"/>
      <c r="Z939" s="230"/>
    </row>
    <row r="940" spans="1:26" ht="15.75" customHeight="1">
      <c r="A940" s="230"/>
      <c r="B940" s="230"/>
      <c r="C940" s="230"/>
      <c r="D940" s="230"/>
      <c r="E940" s="230"/>
      <c r="F940" s="230"/>
      <c r="G940" s="230"/>
      <c r="H940" s="230"/>
      <c r="I940" s="230"/>
      <c r="J940" s="230"/>
      <c r="K940" s="230"/>
      <c r="L940" s="230"/>
      <c r="M940" s="230"/>
      <c r="N940" s="230"/>
      <c r="O940" s="230"/>
      <c r="P940" s="230"/>
      <c r="Q940" s="230"/>
      <c r="R940" s="230"/>
      <c r="S940" s="230"/>
      <c r="T940" s="230"/>
      <c r="U940" s="230"/>
      <c r="V940" s="230"/>
      <c r="W940" s="230"/>
      <c r="X940" s="230"/>
      <c r="Y940" s="230"/>
      <c r="Z940" s="230"/>
    </row>
    <row r="941" spans="1:26" ht="15.75" customHeight="1">
      <c r="A941" s="230"/>
      <c r="B941" s="230"/>
      <c r="C941" s="230"/>
      <c r="D941" s="230"/>
      <c r="E941" s="230"/>
      <c r="F941" s="230"/>
      <c r="G941" s="230"/>
      <c r="H941" s="230"/>
      <c r="I941" s="230"/>
      <c r="J941" s="230"/>
      <c r="K941" s="230"/>
      <c r="L941" s="230"/>
      <c r="M941" s="230"/>
      <c r="N941" s="230"/>
      <c r="O941" s="230"/>
      <c r="P941" s="230"/>
      <c r="Q941" s="230"/>
      <c r="R941" s="230"/>
      <c r="S941" s="230"/>
      <c r="T941" s="230"/>
      <c r="U941" s="230"/>
      <c r="V941" s="230"/>
      <c r="W941" s="230"/>
      <c r="X941" s="230"/>
      <c r="Y941" s="230"/>
      <c r="Z941" s="230"/>
    </row>
    <row r="942" spans="1:26" ht="15.75" customHeight="1">
      <c r="A942" s="230"/>
      <c r="B942" s="230"/>
      <c r="C942" s="230"/>
      <c r="D942" s="230"/>
      <c r="E942" s="230"/>
      <c r="F942" s="230"/>
      <c r="G942" s="230"/>
      <c r="H942" s="230"/>
      <c r="I942" s="230"/>
      <c r="J942" s="230"/>
      <c r="K942" s="230"/>
      <c r="L942" s="230"/>
      <c r="M942" s="230"/>
      <c r="N942" s="230"/>
      <c r="O942" s="230"/>
      <c r="P942" s="230"/>
      <c r="Q942" s="230"/>
      <c r="R942" s="230"/>
      <c r="S942" s="230"/>
      <c r="T942" s="230"/>
      <c r="U942" s="230"/>
      <c r="V942" s="230"/>
      <c r="W942" s="230"/>
      <c r="X942" s="230"/>
      <c r="Y942" s="230"/>
      <c r="Z942" s="230"/>
    </row>
    <row r="943" spans="1:26" ht="15.75" customHeight="1">
      <c r="A943" s="230"/>
      <c r="B943" s="230"/>
      <c r="C943" s="230"/>
      <c r="D943" s="230"/>
      <c r="E943" s="230"/>
      <c r="F943" s="230"/>
      <c r="G943" s="230"/>
      <c r="H943" s="230"/>
      <c r="I943" s="230"/>
      <c r="J943" s="230"/>
      <c r="K943" s="230"/>
      <c r="L943" s="230"/>
      <c r="M943" s="230"/>
      <c r="N943" s="230"/>
      <c r="O943" s="230"/>
      <c r="P943" s="230"/>
      <c r="Q943" s="230"/>
      <c r="R943" s="230"/>
      <c r="S943" s="230"/>
      <c r="T943" s="230"/>
      <c r="U943" s="230"/>
      <c r="V943" s="230"/>
      <c r="W943" s="230"/>
      <c r="X943" s="230"/>
      <c r="Y943" s="230"/>
      <c r="Z943" s="230"/>
    </row>
    <row r="944" spans="1:26" ht="15.75" customHeight="1">
      <c r="A944" s="230"/>
      <c r="B944" s="230"/>
      <c r="C944" s="230"/>
      <c r="D944" s="230"/>
      <c r="E944" s="230"/>
      <c r="F944" s="230"/>
      <c r="G944" s="230"/>
      <c r="H944" s="230"/>
      <c r="I944" s="230"/>
      <c r="J944" s="230"/>
      <c r="K944" s="230"/>
      <c r="L944" s="230"/>
      <c r="M944" s="230"/>
      <c r="N944" s="230"/>
      <c r="O944" s="230"/>
      <c r="P944" s="230"/>
      <c r="Q944" s="230"/>
      <c r="R944" s="230"/>
      <c r="S944" s="230"/>
      <c r="T944" s="230"/>
      <c r="U944" s="230"/>
      <c r="V944" s="230"/>
      <c r="W944" s="230"/>
      <c r="X944" s="230"/>
      <c r="Y944" s="230"/>
      <c r="Z944" s="230"/>
    </row>
    <row r="945" spans="1:26" ht="15.75" customHeight="1">
      <c r="A945" s="230"/>
      <c r="B945" s="230"/>
      <c r="C945" s="230"/>
      <c r="D945" s="230"/>
      <c r="E945" s="230"/>
      <c r="F945" s="230"/>
      <c r="G945" s="230"/>
      <c r="H945" s="230"/>
      <c r="I945" s="230"/>
      <c r="J945" s="230"/>
      <c r="K945" s="230"/>
      <c r="L945" s="230"/>
      <c r="M945" s="230"/>
      <c r="N945" s="230"/>
      <c r="O945" s="230"/>
      <c r="P945" s="230"/>
      <c r="Q945" s="230"/>
      <c r="R945" s="230"/>
      <c r="S945" s="230"/>
      <c r="T945" s="230"/>
      <c r="U945" s="230"/>
      <c r="V945" s="230"/>
      <c r="W945" s="230"/>
      <c r="X945" s="230"/>
      <c r="Y945" s="230"/>
      <c r="Z945" s="230"/>
    </row>
    <row r="946" spans="1:26" ht="15.75" customHeight="1">
      <c r="A946" s="230"/>
      <c r="B946" s="230"/>
      <c r="C946" s="230"/>
      <c r="D946" s="230"/>
      <c r="E946" s="230"/>
      <c r="F946" s="230"/>
      <c r="G946" s="230"/>
      <c r="H946" s="230"/>
      <c r="I946" s="230"/>
      <c r="J946" s="230"/>
      <c r="K946" s="230"/>
      <c r="L946" s="230"/>
      <c r="M946" s="230"/>
      <c r="N946" s="230"/>
      <c r="O946" s="230"/>
      <c r="P946" s="230"/>
      <c r="Q946" s="230"/>
      <c r="R946" s="230"/>
      <c r="S946" s="230"/>
      <c r="T946" s="230"/>
      <c r="U946" s="230"/>
      <c r="V946" s="230"/>
      <c r="W946" s="230"/>
      <c r="X946" s="230"/>
      <c r="Y946" s="230"/>
      <c r="Z946" s="230"/>
    </row>
    <row r="947" spans="1:26" ht="15.75" customHeight="1">
      <c r="A947" s="230"/>
      <c r="B947" s="230"/>
      <c r="C947" s="230"/>
      <c r="D947" s="230"/>
      <c r="E947" s="230"/>
      <c r="F947" s="230"/>
      <c r="G947" s="230"/>
      <c r="H947" s="230"/>
      <c r="I947" s="230"/>
      <c r="J947" s="230"/>
      <c r="K947" s="230"/>
      <c r="L947" s="230"/>
      <c r="M947" s="230"/>
      <c r="N947" s="230"/>
      <c r="O947" s="230"/>
      <c r="P947" s="230"/>
      <c r="Q947" s="230"/>
      <c r="R947" s="230"/>
      <c r="S947" s="230"/>
      <c r="T947" s="230"/>
      <c r="U947" s="230"/>
      <c r="V947" s="230"/>
      <c r="W947" s="230"/>
      <c r="X947" s="230"/>
      <c r="Y947" s="230"/>
      <c r="Z947" s="230"/>
    </row>
    <row r="948" spans="1:26" ht="15.75" customHeight="1">
      <c r="A948" s="230"/>
      <c r="B948" s="230"/>
      <c r="C948" s="230"/>
      <c r="D948" s="230"/>
      <c r="E948" s="230"/>
      <c r="F948" s="230"/>
      <c r="G948" s="230"/>
      <c r="H948" s="230"/>
      <c r="I948" s="230"/>
      <c r="J948" s="230"/>
      <c r="K948" s="230"/>
      <c r="L948" s="230"/>
      <c r="M948" s="230"/>
      <c r="N948" s="230"/>
      <c r="O948" s="230"/>
      <c r="P948" s="230"/>
      <c r="Q948" s="230"/>
      <c r="R948" s="230"/>
      <c r="S948" s="230"/>
      <c r="T948" s="230"/>
      <c r="U948" s="230"/>
      <c r="V948" s="230"/>
      <c r="W948" s="230"/>
      <c r="X948" s="230"/>
      <c r="Y948" s="230"/>
      <c r="Z948" s="230"/>
    </row>
    <row r="949" spans="1:26" ht="15.75" customHeight="1">
      <c r="A949" s="230"/>
      <c r="B949" s="230"/>
      <c r="C949" s="230"/>
      <c r="D949" s="230"/>
      <c r="E949" s="230"/>
      <c r="F949" s="230"/>
      <c r="G949" s="230"/>
      <c r="H949" s="230"/>
      <c r="I949" s="230"/>
      <c r="J949" s="230"/>
      <c r="K949" s="230"/>
      <c r="L949" s="230"/>
      <c r="M949" s="230"/>
      <c r="N949" s="230"/>
      <c r="O949" s="230"/>
      <c r="P949" s="230"/>
      <c r="Q949" s="230"/>
      <c r="R949" s="230"/>
      <c r="S949" s="230"/>
      <c r="T949" s="230"/>
      <c r="U949" s="230"/>
      <c r="V949" s="230"/>
      <c r="W949" s="230"/>
      <c r="X949" s="230"/>
      <c r="Y949" s="230"/>
      <c r="Z949" s="230"/>
    </row>
    <row r="950" spans="1:26" ht="15.75" customHeight="1">
      <c r="A950" s="230"/>
      <c r="B950" s="230"/>
      <c r="C950" s="230"/>
      <c r="D950" s="230"/>
      <c r="E950" s="230"/>
      <c r="F950" s="230"/>
      <c r="G950" s="230"/>
      <c r="H950" s="230"/>
      <c r="I950" s="230"/>
      <c r="J950" s="230"/>
      <c r="K950" s="230"/>
      <c r="L950" s="230"/>
      <c r="M950" s="230"/>
      <c r="N950" s="230"/>
      <c r="O950" s="230"/>
      <c r="P950" s="230"/>
      <c r="Q950" s="230"/>
      <c r="R950" s="230"/>
      <c r="S950" s="230"/>
      <c r="T950" s="230"/>
      <c r="U950" s="230"/>
      <c r="V950" s="230"/>
      <c r="W950" s="230"/>
      <c r="X950" s="230"/>
      <c r="Y950" s="230"/>
      <c r="Z950" s="230"/>
    </row>
    <row r="951" spans="1:26" ht="15.75" customHeight="1">
      <c r="A951" s="230"/>
      <c r="B951" s="230"/>
      <c r="C951" s="230"/>
      <c r="D951" s="230"/>
      <c r="E951" s="230"/>
      <c r="F951" s="230"/>
      <c r="G951" s="230"/>
      <c r="H951" s="230"/>
      <c r="I951" s="230"/>
      <c r="J951" s="230"/>
      <c r="K951" s="230"/>
      <c r="L951" s="230"/>
      <c r="M951" s="230"/>
      <c r="N951" s="230"/>
      <c r="O951" s="230"/>
      <c r="P951" s="230"/>
      <c r="Q951" s="230"/>
      <c r="R951" s="230"/>
      <c r="S951" s="230"/>
      <c r="T951" s="230"/>
      <c r="U951" s="230"/>
      <c r="V951" s="230"/>
      <c r="W951" s="230"/>
      <c r="X951" s="230"/>
      <c r="Y951" s="230"/>
      <c r="Z951" s="230"/>
    </row>
    <row r="952" spans="1:26" ht="15.75" customHeight="1">
      <c r="A952" s="230"/>
      <c r="B952" s="230"/>
      <c r="C952" s="230"/>
      <c r="D952" s="230"/>
      <c r="E952" s="230"/>
      <c r="F952" s="230"/>
      <c r="G952" s="230"/>
      <c r="H952" s="230"/>
      <c r="I952" s="230"/>
      <c r="J952" s="230"/>
      <c r="K952" s="230"/>
      <c r="L952" s="230"/>
      <c r="M952" s="230"/>
      <c r="N952" s="230"/>
      <c r="O952" s="230"/>
      <c r="P952" s="230"/>
      <c r="Q952" s="230"/>
      <c r="R952" s="230"/>
      <c r="S952" s="230"/>
      <c r="T952" s="230"/>
      <c r="U952" s="230"/>
      <c r="V952" s="230"/>
      <c r="W952" s="230"/>
      <c r="X952" s="230"/>
      <c r="Y952" s="230"/>
      <c r="Z952" s="230"/>
    </row>
    <row r="953" spans="1:26" ht="15.75" customHeight="1">
      <c r="A953" s="230"/>
      <c r="B953" s="230"/>
      <c r="C953" s="230"/>
      <c r="D953" s="230"/>
      <c r="E953" s="230"/>
      <c r="F953" s="230"/>
      <c r="G953" s="230"/>
      <c r="H953" s="230"/>
      <c r="I953" s="230"/>
      <c r="J953" s="230"/>
      <c r="K953" s="230"/>
      <c r="L953" s="230"/>
      <c r="M953" s="230"/>
      <c r="N953" s="230"/>
      <c r="O953" s="230"/>
      <c r="P953" s="230"/>
      <c r="Q953" s="230"/>
      <c r="R953" s="230"/>
      <c r="S953" s="230"/>
      <c r="T953" s="230"/>
      <c r="U953" s="230"/>
      <c r="V953" s="230"/>
      <c r="W953" s="230"/>
      <c r="X953" s="230"/>
      <c r="Y953" s="230"/>
      <c r="Z953" s="230"/>
    </row>
    <row r="954" spans="1:26" ht="15.75" customHeight="1">
      <c r="A954" s="230"/>
      <c r="B954" s="230"/>
      <c r="C954" s="230"/>
      <c r="D954" s="230"/>
      <c r="E954" s="230"/>
      <c r="F954" s="230"/>
      <c r="G954" s="230"/>
      <c r="H954" s="230"/>
      <c r="I954" s="230"/>
      <c r="J954" s="230"/>
      <c r="K954" s="230"/>
      <c r="L954" s="230"/>
      <c r="M954" s="230"/>
      <c r="N954" s="230"/>
      <c r="O954" s="230"/>
      <c r="P954" s="230"/>
      <c r="Q954" s="230"/>
      <c r="R954" s="230"/>
      <c r="S954" s="230"/>
      <c r="T954" s="230"/>
      <c r="U954" s="230"/>
      <c r="V954" s="230"/>
      <c r="W954" s="230"/>
      <c r="X954" s="230"/>
      <c r="Y954" s="230"/>
      <c r="Z954" s="230"/>
    </row>
    <row r="955" spans="1:26" ht="15.75" customHeight="1">
      <c r="A955" s="230"/>
      <c r="B955" s="230"/>
      <c r="C955" s="230"/>
      <c r="D955" s="230"/>
      <c r="E955" s="230"/>
      <c r="F955" s="230"/>
      <c r="G955" s="230"/>
      <c r="H955" s="230"/>
      <c r="I955" s="230"/>
      <c r="J955" s="230"/>
      <c r="K955" s="230"/>
      <c r="L955" s="230"/>
      <c r="M955" s="230"/>
      <c r="N955" s="230"/>
      <c r="O955" s="230"/>
      <c r="P955" s="230"/>
      <c r="Q955" s="230"/>
      <c r="R955" s="230"/>
      <c r="S955" s="230"/>
      <c r="T955" s="230"/>
      <c r="U955" s="230"/>
      <c r="V955" s="230"/>
      <c r="W955" s="230"/>
      <c r="X955" s="230"/>
      <c r="Y955" s="230"/>
      <c r="Z955" s="230"/>
    </row>
    <row r="956" spans="1:26" ht="15.75" customHeight="1">
      <c r="A956" s="230"/>
      <c r="B956" s="230"/>
      <c r="C956" s="230"/>
      <c r="D956" s="230"/>
      <c r="E956" s="230"/>
      <c r="F956" s="230"/>
      <c r="G956" s="230"/>
      <c r="H956" s="230"/>
      <c r="I956" s="230"/>
      <c r="J956" s="230"/>
      <c r="K956" s="230"/>
      <c r="L956" s="230"/>
      <c r="M956" s="230"/>
      <c r="N956" s="230"/>
      <c r="O956" s="230"/>
      <c r="P956" s="230"/>
      <c r="Q956" s="230"/>
      <c r="R956" s="230"/>
      <c r="S956" s="230"/>
      <c r="T956" s="230"/>
      <c r="U956" s="230"/>
      <c r="V956" s="230"/>
      <c r="W956" s="230"/>
      <c r="X956" s="230"/>
      <c r="Y956" s="230"/>
      <c r="Z956" s="230"/>
    </row>
    <row r="957" spans="1:26" ht="15.75" customHeight="1">
      <c r="A957" s="230"/>
      <c r="B957" s="230"/>
      <c r="C957" s="230"/>
      <c r="D957" s="230"/>
      <c r="E957" s="230"/>
      <c r="F957" s="230"/>
      <c r="G957" s="230"/>
      <c r="H957" s="230"/>
      <c r="I957" s="230"/>
      <c r="J957" s="230"/>
      <c r="K957" s="230"/>
      <c r="L957" s="230"/>
      <c r="M957" s="230"/>
      <c r="N957" s="230"/>
      <c r="O957" s="230"/>
      <c r="P957" s="230"/>
      <c r="Q957" s="230"/>
      <c r="R957" s="230"/>
      <c r="S957" s="230"/>
      <c r="T957" s="230"/>
      <c r="U957" s="230"/>
      <c r="V957" s="230"/>
      <c r="W957" s="230"/>
      <c r="X957" s="230"/>
      <c r="Y957" s="230"/>
      <c r="Z957" s="230"/>
    </row>
    <row r="958" spans="1:26" ht="15.75" customHeight="1">
      <c r="A958" s="230"/>
      <c r="B958" s="230"/>
      <c r="C958" s="230"/>
      <c r="D958" s="230"/>
      <c r="E958" s="230"/>
      <c r="F958" s="230"/>
      <c r="G958" s="230"/>
      <c r="H958" s="230"/>
      <c r="I958" s="230"/>
      <c r="J958" s="230"/>
      <c r="K958" s="230"/>
      <c r="L958" s="230"/>
      <c r="M958" s="230"/>
      <c r="N958" s="230"/>
      <c r="O958" s="230"/>
      <c r="P958" s="230"/>
      <c r="Q958" s="230"/>
      <c r="R958" s="230"/>
      <c r="S958" s="230"/>
      <c r="T958" s="230"/>
      <c r="U958" s="230"/>
      <c r="V958" s="230"/>
      <c r="W958" s="230"/>
      <c r="X958" s="230"/>
      <c r="Y958" s="230"/>
      <c r="Z958" s="230"/>
    </row>
    <row r="959" spans="1:26" ht="15.75" customHeight="1">
      <c r="A959" s="230"/>
      <c r="B959" s="230"/>
      <c r="C959" s="230"/>
      <c r="D959" s="230"/>
      <c r="E959" s="230"/>
      <c r="F959" s="230"/>
      <c r="G959" s="230"/>
      <c r="H959" s="230"/>
      <c r="I959" s="230"/>
      <c r="J959" s="230"/>
      <c r="K959" s="230"/>
      <c r="L959" s="230"/>
      <c r="M959" s="230"/>
      <c r="N959" s="230"/>
      <c r="O959" s="230"/>
      <c r="P959" s="230"/>
      <c r="Q959" s="230"/>
      <c r="R959" s="230"/>
      <c r="S959" s="230"/>
      <c r="T959" s="230"/>
      <c r="U959" s="230"/>
      <c r="V959" s="230"/>
      <c r="W959" s="230"/>
      <c r="X959" s="230"/>
      <c r="Y959" s="230"/>
      <c r="Z959" s="230"/>
    </row>
    <row r="960" spans="1:26" ht="15.75" customHeight="1">
      <c r="A960" s="230"/>
      <c r="B960" s="230"/>
      <c r="C960" s="230"/>
      <c r="D960" s="230"/>
      <c r="E960" s="230"/>
      <c r="F960" s="230"/>
      <c r="G960" s="230"/>
      <c r="H960" s="230"/>
      <c r="I960" s="230"/>
      <c r="J960" s="230"/>
      <c r="K960" s="230"/>
      <c r="L960" s="230"/>
      <c r="M960" s="230"/>
      <c r="N960" s="230"/>
      <c r="O960" s="230"/>
      <c r="P960" s="230"/>
      <c r="Q960" s="230"/>
      <c r="R960" s="230"/>
      <c r="S960" s="230"/>
      <c r="T960" s="230"/>
      <c r="U960" s="230"/>
      <c r="V960" s="230"/>
      <c r="W960" s="230"/>
      <c r="X960" s="230"/>
      <c r="Y960" s="230"/>
      <c r="Z960" s="230"/>
    </row>
    <row r="961" spans="1:26" ht="15.75" customHeight="1">
      <c r="A961" s="230"/>
      <c r="B961" s="230"/>
      <c r="C961" s="230"/>
      <c r="D961" s="230"/>
      <c r="E961" s="230"/>
      <c r="F961" s="230"/>
      <c r="G961" s="230"/>
      <c r="H961" s="230"/>
      <c r="I961" s="230"/>
      <c r="J961" s="230"/>
      <c r="K961" s="230"/>
      <c r="L961" s="230"/>
      <c r="M961" s="230"/>
      <c r="N961" s="230"/>
      <c r="O961" s="230"/>
      <c r="P961" s="230"/>
      <c r="Q961" s="230"/>
      <c r="R961" s="230"/>
      <c r="S961" s="230"/>
      <c r="T961" s="230"/>
      <c r="U961" s="230"/>
      <c r="V961" s="230"/>
      <c r="W961" s="230"/>
      <c r="X961" s="230"/>
      <c r="Y961" s="230"/>
      <c r="Z961" s="230"/>
    </row>
    <row r="962" spans="1:26" ht="15.75" customHeight="1">
      <c r="A962" s="230"/>
      <c r="B962" s="230"/>
      <c r="C962" s="230"/>
      <c r="D962" s="230"/>
      <c r="E962" s="230"/>
      <c r="F962" s="230"/>
      <c r="G962" s="230"/>
      <c r="H962" s="230"/>
      <c r="I962" s="230"/>
      <c r="J962" s="230"/>
      <c r="K962" s="230"/>
      <c r="L962" s="230"/>
      <c r="M962" s="230"/>
      <c r="N962" s="230"/>
      <c r="O962" s="230"/>
      <c r="P962" s="230"/>
      <c r="Q962" s="230"/>
      <c r="R962" s="230"/>
      <c r="S962" s="230"/>
      <c r="T962" s="230"/>
      <c r="U962" s="230"/>
      <c r="V962" s="230"/>
      <c r="W962" s="230"/>
      <c r="X962" s="230"/>
      <c r="Y962" s="230"/>
      <c r="Z962" s="230"/>
    </row>
    <row r="963" spans="1:26" ht="15.75" customHeight="1">
      <c r="A963" s="230"/>
      <c r="B963" s="230"/>
      <c r="C963" s="230"/>
      <c r="D963" s="230"/>
      <c r="E963" s="230"/>
      <c r="F963" s="230"/>
      <c r="G963" s="230"/>
      <c r="H963" s="230"/>
      <c r="I963" s="230"/>
      <c r="J963" s="230"/>
      <c r="K963" s="230"/>
      <c r="L963" s="230"/>
      <c r="M963" s="230"/>
      <c r="N963" s="230"/>
      <c r="O963" s="230"/>
      <c r="P963" s="230"/>
      <c r="Q963" s="230"/>
      <c r="R963" s="230"/>
      <c r="S963" s="230"/>
      <c r="T963" s="230"/>
      <c r="U963" s="230"/>
      <c r="V963" s="230"/>
      <c r="W963" s="230"/>
      <c r="X963" s="230"/>
      <c r="Y963" s="230"/>
      <c r="Z963" s="230"/>
    </row>
    <row r="964" spans="1:26" ht="15.75" customHeight="1">
      <c r="A964" s="230"/>
      <c r="B964" s="230"/>
      <c r="C964" s="230"/>
      <c r="D964" s="230"/>
      <c r="E964" s="230"/>
      <c r="F964" s="230"/>
      <c r="G964" s="230"/>
      <c r="H964" s="230"/>
      <c r="I964" s="230"/>
      <c r="J964" s="230"/>
      <c r="K964" s="230"/>
      <c r="L964" s="230"/>
      <c r="M964" s="230"/>
      <c r="N964" s="230"/>
      <c r="O964" s="230"/>
      <c r="P964" s="230"/>
      <c r="Q964" s="230"/>
      <c r="R964" s="230"/>
      <c r="S964" s="230"/>
      <c r="T964" s="230"/>
      <c r="U964" s="230"/>
      <c r="V964" s="230"/>
      <c r="W964" s="230"/>
      <c r="X964" s="230"/>
      <c r="Y964" s="230"/>
      <c r="Z964" s="230"/>
    </row>
    <row r="965" spans="1:26" ht="15.75" customHeight="1">
      <c r="A965" s="230"/>
      <c r="B965" s="230"/>
      <c r="C965" s="230"/>
      <c r="D965" s="230"/>
      <c r="E965" s="230"/>
      <c r="F965" s="230"/>
      <c r="G965" s="230"/>
      <c r="H965" s="230"/>
      <c r="I965" s="230"/>
      <c r="J965" s="230"/>
      <c r="K965" s="230"/>
      <c r="L965" s="230"/>
      <c r="M965" s="230"/>
      <c r="N965" s="230"/>
      <c r="O965" s="230"/>
      <c r="P965" s="230"/>
      <c r="Q965" s="230"/>
      <c r="R965" s="230"/>
      <c r="S965" s="230"/>
      <c r="T965" s="230"/>
      <c r="U965" s="230"/>
      <c r="V965" s="230"/>
      <c r="W965" s="230"/>
      <c r="X965" s="230"/>
      <c r="Y965" s="230"/>
      <c r="Z965" s="230"/>
    </row>
    <row r="966" spans="1:26" ht="15.75" customHeight="1">
      <c r="A966" s="230"/>
      <c r="B966" s="230"/>
      <c r="C966" s="230"/>
      <c r="D966" s="230"/>
      <c r="E966" s="230"/>
      <c r="F966" s="230"/>
      <c r="G966" s="230"/>
      <c r="H966" s="230"/>
      <c r="I966" s="230"/>
      <c r="J966" s="230"/>
      <c r="K966" s="230"/>
      <c r="L966" s="230"/>
      <c r="M966" s="230"/>
      <c r="N966" s="230"/>
      <c r="O966" s="230"/>
      <c r="P966" s="230"/>
      <c r="Q966" s="230"/>
      <c r="R966" s="230"/>
      <c r="S966" s="230"/>
      <c r="T966" s="230"/>
      <c r="U966" s="230"/>
      <c r="V966" s="230"/>
      <c r="W966" s="230"/>
      <c r="X966" s="230"/>
      <c r="Y966" s="230"/>
      <c r="Z966" s="230"/>
    </row>
    <row r="967" spans="1:26" ht="15.75" customHeight="1">
      <c r="A967" s="230"/>
      <c r="B967" s="230"/>
      <c r="C967" s="230"/>
      <c r="D967" s="230"/>
      <c r="E967" s="230"/>
      <c r="F967" s="230"/>
      <c r="G967" s="230"/>
      <c r="H967" s="230"/>
      <c r="I967" s="230"/>
      <c r="J967" s="230"/>
      <c r="K967" s="230"/>
      <c r="L967" s="230"/>
      <c r="M967" s="230"/>
      <c r="N967" s="230"/>
      <c r="O967" s="230"/>
      <c r="P967" s="230"/>
      <c r="Q967" s="230"/>
      <c r="R967" s="230"/>
      <c r="S967" s="230"/>
      <c r="T967" s="230"/>
      <c r="U967" s="230"/>
      <c r="V967" s="230"/>
      <c r="W967" s="230"/>
      <c r="X967" s="230"/>
      <c r="Y967" s="230"/>
      <c r="Z967" s="230"/>
    </row>
    <row r="968" spans="1:26" ht="15.75" customHeight="1">
      <c r="A968" s="230"/>
      <c r="B968" s="230"/>
      <c r="C968" s="230"/>
      <c r="D968" s="230"/>
      <c r="E968" s="230"/>
      <c r="F968" s="230"/>
      <c r="G968" s="230"/>
      <c r="H968" s="230"/>
      <c r="I968" s="230"/>
      <c r="J968" s="230"/>
      <c r="K968" s="230"/>
      <c r="L968" s="230"/>
      <c r="M968" s="230"/>
      <c r="N968" s="230"/>
      <c r="O968" s="230"/>
      <c r="P968" s="230"/>
      <c r="Q968" s="230"/>
      <c r="R968" s="230"/>
      <c r="S968" s="230"/>
      <c r="T968" s="230"/>
      <c r="U968" s="230"/>
      <c r="V968" s="230"/>
      <c r="W968" s="230"/>
      <c r="X968" s="230"/>
      <c r="Y968" s="230"/>
      <c r="Z968" s="230"/>
    </row>
    <row r="969" spans="1:26" ht="15.75" customHeight="1">
      <c r="A969" s="230"/>
      <c r="B969" s="230"/>
      <c r="C969" s="230"/>
      <c r="D969" s="230"/>
      <c r="E969" s="230"/>
      <c r="F969" s="230"/>
      <c r="G969" s="230"/>
      <c r="H969" s="230"/>
      <c r="I969" s="230"/>
      <c r="J969" s="230"/>
      <c r="K969" s="230"/>
      <c r="L969" s="230"/>
      <c r="M969" s="230"/>
      <c r="N969" s="230"/>
      <c r="O969" s="230"/>
      <c r="P969" s="230"/>
      <c r="Q969" s="230"/>
      <c r="R969" s="230"/>
      <c r="S969" s="230"/>
      <c r="T969" s="230"/>
      <c r="U969" s="230"/>
      <c r="V969" s="230"/>
      <c r="W969" s="230"/>
      <c r="X969" s="230"/>
      <c r="Y969" s="230"/>
      <c r="Z969" s="230"/>
    </row>
    <row r="970" spans="1:26" ht="15.75" customHeight="1">
      <c r="A970" s="230"/>
      <c r="B970" s="230"/>
      <c r="C970" s="230"/>
      <c r="D970" s="230"/>
      <c r="E970" s="230"/>
      <c r="F970" s="230"/>
      <c r="G970" s="230"/>
      <c r="H970" s="230"/>
      <c r="I970" s="230"/>
      <c r="J970" s="230"/>
      <c r="K970" s="230"/>
      <c r="L970" s="230"/>
      <c r="M970" s="230"/>
      <c r="N970" s="230"/>
      <c r="O970" s="230"/>
      <c r="P970" s="230"/>
      <c r="Q970" s="230"/>
      <c r="R970" s="230"/>
      <c r="S970" s="230"/>
      <c r="T970" s="230"/>
      <c r="U970" s="230"/>
      <c r="V970" s="230"/>
      <c r="W970" s="230"/>
      <c r="X970" s="230"/>
      <c r="Y970" s="230"/>
      <c r="Z970" s="230"/>
    </row>
    <row r="971" spans="1:26" ht="15.75" customHeight="1">
      <c r="A971" s="230"/>
      <c r="B971" s="230"/>
      <c r="C971" s="230"/>
      <c r="D971" s="230"/>
      <c r="E971" s="230"/>
      <c r="F971" s="230"/>
      <c r="G971" s="230"/>
      <c r="H971" s="230"/>
      <c r="I971" s="230"/>
      <c r="J971" s="230"/>
      <c r="K971" s="230"/>
      <c r="L971" s="230"/>
      <c r="M971" s="230"/>
      <c r="N971" s="230"/>
      <c r="O971" s="230"/>
      <c r="P971" s="230"/>
      <c r="Q971" s="230"/>
      <c r="R971" s="230"/>
      <c r="S971" s="230"/>
      <c r="T971" s="230"/>
      <c r="U971" s="230"/>
      <c r="V971" s="230"/>
      <c r="W971" s="230"/>
      <c r="X971" s="230"/>
      <c r="Y971" s="230"/>
      <c r="Z971" s="230"/>
    </row>
    <row r="972" spans="1:26" ht="15.75" customHeight="1">
      <c r="A972" s="230"/>
      <c r="B972" s="230"/>
      <c r="C972" s="230"/>
      <c r="D972" s="230"/>
      <c r="E972" s="230"/>
      <c r="F972" s="230"/>
      <c r="G972" s="230"/>
      <c r="H972" s="230"/>
      <c r="I972" s="230"/>
      <c r="J972" s="230"/>
      <c r="K972" s="230"/>
      <c r="L972" s="230"/>
      <c r="M972" s="230"/>
      <c r="N972" s="230"/>
      <c r="O972" s="230"/>
      <c r="P972" s="230"/>
      <c r="Q972" s="230"/>
      <c r="R972" s="230"/>
      <c r="S972" s="230"/>
      <c r="T972" s="230"/>
      <c r="U972" s="230"/>
      <c r="V972" s="230"/>
      <c r="W972" s="230"/>
      <c r="X972" s="230"/>
      <c r="Y972" s="230"/>
      <c r="Z972" s="230"/>
    </row>
    <row r="973" spans="1:26" ht="15.75" customHeight="1">
      <c r="A973" s="230"/>
      <c r="B973" s="230"/>
      <c r="C973" s="230"/>
      <c r="D973" s="230"/>
      <c r="E973" s="230"/>
      <c r="F973" s="230"/>
      <c r="G973" s="230"/>
      <c r="H973" s="230"/>
      <c r="I973" s="230"/>
      <c r="J973" s="230"/>
      <c r="K973" s="230"/>
      <c r="L973" s="230"/>
      <c r="M973" s="230"/>
      <c r="N973" s="230"/>
      <c r="O973" s="230"/>
      <c r="P973" s="230"/>
      <c r="Q973" s="230"/>
      <c r="R973" s="230"/>
      <c r="S973" s="230"/>
      <c r="T973" s="230"/>
      <c r="U973" s="230"/>
      <c r="V973" s="230"/>
      <c r="W973" s="230"/>
      <c r="X973" s="230"/>
      <c r="Y973" s="230"/>
      <c r="Z973" s="230"/>
    </row>
    <row r="974" spans="1:26" ht="15.75" customHeight="1">
      <c r="A974" s="230"/>
      <c r="B974" s="230"/>
      <c r="C974" s="230"/>
      <c r="D974" s="230"/>
      <c r="E974" s="230"/>
      <c r="F974" s="230"/>
      <c r="G974" s="230"/>
      <c r="H974" s="230"/>
      <c r="I974" s="230"/>
      <c r="J974" s="230"/>
      <c r="K974" s="230"/>
      <c r="L974" s="230"/>
      <c r="M974" s="230"/>
      <c r="N974" s="230"/>
      <c r="O974" s="230"/>
      <c r="P974" s="230"/>
      <c r="Q974" s="230"/>
      <c r="R974" s="230"/>
      <c r="S974" s="230"/>
      <c r="T974" s="230"/>
      <c r="U974" s="230"/>
      <c r="V974" s="230"/>
      <c r="W974" s="230"/>
      <c r="X974" s="230"/>
      <c r="Y974" s="230"/>
      <c r="Z974" s="230"/>
    </row>
    <row r="975" spans="1:26" ht="15.75" customHeight="1">
      <c r="A975" s="230"/>
      <c r="B975" s="230"/>
      <c r="C975" s="230"/>
      <c r="D975" s="230"/>
      <c r="E975" s="230"/>
      <c r="F975" s="230"/>
      <c r="G975" s="230"/>
      <c r="H975" s="230"/>
      <c r="I975" s="230"/>
      <c r="J975" s="230"/>
      <c r="K975" s="230"/>
      <c r="L975" s="230"/>
      <c r="M975" s="230"/>
      <c r="N975" s="230"/>
      <c r="O975" s="230"/>
      <c r="P975" s="230"/>
      <c r="Q975" s="230"/>
      <c r="R975" s="230"/>
      <c r="S975" s="230"/>
      <c r="T975" s="230"/>
      <c r="U975" s="230"/>
      <c r="V975" s="230"/>
      <c r="W975" s="230"/>
      <c r="X975" s="230"/>
      <c r="Y975" s="230"/>
      <c r="Z975" s="230"/>
    </row>
    <row r="976" spans="1:26" ht="15.75" customHeight="1">
      <c r="A976" s="230"/>
      <c r="B976" s="230"/>
      <c r="C976" s="230"/>
      <c r="D976" s="230"/>
      <c r="E976" s="230"/>
      <c r="F976" s="230"/>
      <c r="G976" s="230"/>
      <c r="H976" s="230"/>
      <c r="I976" s="230"/>
      <c r="J976" s="230"/>
      <c r="K976" s="230"/>
      <c r="L976" s="230"/>
      <c r="M976" s="230"/>
      <c r="N976" s="230"/>
      <c r="O976" s="230"/>
      <c r="P976" s="230"/>
      <c r="Q976" s="230"/>
      <c r="R976" s="230"/>
      <c r="S976" s="230"/>
      <c r="T976" s="230"/>
      <c r="U976" s="230"/>
      <c r="V976" s="230"/>
      <c r="W976" s="230"/>
      <c r="X976" s="230"/>
      <c r="Y976" s="230"/>
      <c r="Z976" s="230"/>
    </row>
    <row r="977" spans="1:26" ht="15.75" customHeight="1">
      <c r="A977" s="230"/>
      <c r="B977" s="230"/>
      <c r="C977" s="230"/>
      <c r="D977" s="230"/>
      <c r="E977" s="230"/>
      <c r="F977" s="230"/>
      <c r="G977" s="230"/>
      <c r="H977" s="230"/>
      <c r="I977" s="230"/>
      <c r="J977" s="230"/>
      <c r="K977" s="230"/>
      <c r="L977" s="230"/>
      <c r="M977" s="230"/>
      <c r="N977" s="230"/>
      <c r="O977" s="230"/>
      <c r="P977" s="230"/>
      <c r="Q977" s="230"/>
      <c r="R977" s="230"/>
      <c r="S977" s="230"/>
      <c r="T977" s="230"/>
      <c r="U977" s="230"/>
      <c r="V977" s="230"/>
      <c r="W977" s="230"/>
      <c r="X977" s="230"/>
      <c r="Y977" s="230"/>
      <c r="Z977" s="230"/>
    </row>
    <row r="978" spans="1:26" ht="15.75" customHeight="1">
      <c r="A978" s="230"/>
      <c r="B978" s="230"/>
      <c r="C978" s="230"/>
      <c r="D978" s="230"/>
      <c r="E978" s="230"/>
      <c r="F978" s="230"/>
      <c r="G978" s="230"/>
      <c r="H978" s="230"/>
      <c r="I978" s="230"/>
      <c r="J978" s="230"/>
      <c r="K978" s="230"/>
      <c r="L978" s="230"/>
      <c r="M978" s="230"/>
      <c r="N978" s="230"/>
      <c r="O978" s="230"/>
      <c r="P978" s="230"/>
      <c r="Q978" s="230"/>
      <c r="R978" s="230"/>
      <c r="S978" s="230"/>
      <c r="T978" s="230"/>
      <c r="U978" s="230"/>
      <c r="V978" s="230"/>
      <c r="W978" s="230"/>
      <c r="X978" s="230"/>
      <c r="Y978" s="230"/>
      <c r="Z978" s="230"/>
    </row>
    <row r="979" spans="1:26" ht="15.75" customHeight="1">
      <c r="A979" s="230"/>
      <c r="B979" s="230"/>
      <c r="C979" s="230"/>
      <c r="D979" s="230"/>
      <c r="E979" s="230"/>
      <c r="F979" s="230"/>
      <c r="G979" s="230"/>
      <c r="H979" s="230"/>
      <c r="I979" s="230"/>
      <c r="J979" s="230"/>
      <c r="K979" s="230"/>
      <c r="L979" s="230"/>
      <c r="M979" s="230"/>
      <c r="N979" s="230"/>
      <c r="O979" s="230"/>
      <c r="P979" s="230"/>
      <c r="Q979" s="230"/>
      <c r="R979" s="230"/>
      <c r="S979" s="230"/>
      <c r="T979" s="230"/>
      <c r="U979" s="230"/>
      <c r="V979" s="230"/>
      <c r="W979" s="230"/>
      <c r="X979" s="230"/>
      <c r="Y979" s="230"/>
      <c r="Z979" s="230"/>
    </row>
    <row r="980" spans="1:26" ht="15.75" customHeight="1">
      <c r="A980" s="230"/>
      <c r="B980" s="230"/>
      <c r="C980" s="230"/>
      <c r="D980" s="230"/>
      <c r="E980" s="230"/>
      <c r="F980" s="230"/>
      <c r="G980" s="230"/>
      <c r="H980" s="230"/>
      <c r="I980" s="230"/>
      <c r="J980" s="230"/>
      <c r="K980" s="230"/>
      <c r="L980" s="230"/>
      <c r="M980" s="230"/>
      <c r="N980" s="230"/>
      <c r="O980" s="230"/>
      <c r="P980" s="230"/>
      <c r="Q980" s="230"/>
      <c r="R980" s="230"/>
      <c r="S980" s="230"/>
      <c r="T980" s="230"/>
      <c r="U980" s="230"/>
      <c r="V980" s="230"/>
      <c r="W980" s="230"/>
      <c r="X980" s="230"/>
      <c r="Y980" s="230"/>
      <c r="Z980" s="230"/>
    </row>
    <row r="981" spans="1:26" ht="15.75" customHeight="1">
      <c r="A981" s="230"/>
      <c r="B981" s="230"/>
      <c r="C981" s="230"/>
      <c r="D981" s="230"/>
      <c r="E981" s="230"/>
      <c r="F981" s="230"/>
      <c r="G981" s="230"/>
      <c r="H981" s="230"/>
      <c r="I981" s="230"/>
      <c r="J981" s="230"/>
      <c r="K981" s="230"/>
      <c r="L981" s="230"/>
      <c r="M981" s="230"/>
      <c r="N981" s="230"/>
      <c r="O981" s="230"/>
      <c r="P981" s="230"/>
      <c r="Q981" s="230"/>
      <c r="R981" s="230"/>
      <c r="S981" s="230"/>
      <c r="T981" s="230"/>
      <c r="U981" s="230"/>
      <c r="V981" s="230"/>
      <c r="W981" s="230"/>
      <c r="X981" s="230"/>
      <c r="Y981" s="230"/>
      <c r="Z981" s="230"/>
    </row>
    <row r="982" spans="1:26" ht="15.75" customHeight="1">
      <c r="A982" s="230"/>
      <c r="B982" s="230"/>
      <c r="C982" s="230"/>
      <c r="D982" s="230"/>
      <c r="E982" s="230"/>
      <c r="F982" s="230"/>
      <c r="G982" s="230"/>
      <c r="H982" s="230"/>
      <c r="I982" s="230"/>
      <c r="J982" s="230"/>
      <c r="K982" s="230"/>
      <c r="L982" s="230"/>
      <c r="M982" s="230"/>
      <c r="N982" s="230"/>
      <c r="O982" s="230"/>
      <c r="P982" s="230"/>
      <c r="Q982" s="230"/>
      <c r="R982" s="230"/>
      <c r="S982" s="230"/>
      <c r="T982" s="230"/>
      <c r="U982" s="230"/>
      <c r="V982" s="230"/>
      <c r="W982" s="230"/>
      <c r="X982" s="230"/>
      <c r="Y982" s="230"/>
      <c r="Z982" s="230"/>
    </row>
    <row r="983" spans="1:26" ht="15.75" customHeight="1">
      <c r="A983" s="230"/>
      <c r="B983" s="230"/>
      <c r="C983" s="230"/>
      <c r="D983" s="230"/>
      <c r="E983" s="230"/>
      <c r="F983" s="230"/>
      <c r="G983" s="230"/>
      <c r="H983" s="230"/>
      <c r="I983" s="230"/>
      <c r="J983" s="230"/>
      <c r="K983" s="230"/>
      <c r="L983" s="230"/>
      <c r="M983" s="230"/>
      <c r="N983" s="230"/>
      <c r="O983" s="230"/>
      <c r="P983" s="230"/>
      <c r="Q983" s="230"/>
      <c r="R983" s="230"/>
      <c r="S983" s="230"/>
      <c r="T983" s="230"/>
      <c r="U983" s="230"/>
      <c r="V983" s="230"/>
      <c r="W983" s="230"/>
      <c r="X983" s="230"/>
      <c r="Y983" s="230"/>
      <c r="Z983" s="230"/>
    </row>
    <row r="984" spans="1:26" ht="15.75" customHeight="1">
      <c r="A984" s="230"/>
      <c r="B984" s="230"/>
      <c r="C984" s="230"/>
      <c r="D984" s="230"/>
      <c r="E984" s="230"/>
      <c r="F984" s="230"/>
      <c r="G984" s="230"/>
      <c r="H984" s="230"/>
      <c r="I984" s="230"/>
      <c r="J984" s="230"/>
      <c r="K984" s="230"/>
      <c r="L984" s="230"/>
      <c r="M984" s="230"/>
      <c r="N984" s="230"/>
      <c r="O984" s="230"/>
      <c r="P984" s="230"/>
      <c r="Q984" s="230"/>
      <c r="R984" s="230"/>
      <c r="S984" s="230"/>
      <c r="T984" s="230"/>
      <c r="U984" s="230"/>
      <c r="V984" s="230"/>
      <c r="W984" s="230"/>
      <c r="X984" s="230"/>
      <c r="Y984" s="230"/>
      <c r="Z984" s="230"/>
    </row>
    <row r="985" spans="1:26" ht="15.75" customHeight="1">
      <c r="A985" s="230"/>
      <c r="B985" s="230"/>
      <c r="C985" s="230"/>
      <c r="D985" s="230"/>
      <c r="E985" s="230"/>
      <c r="F985" s="230"/>
      <c r="G985" s="230"/>
      <c r="H985" s="230"/>
      <c r="I985" s="230"/>
      <c r="J985" s="230"/>
      <c r="K985" s="230"/>
      <c r="L985" s="230"/>
      <c r="M985" s="230"/>
      <c r="N985" s="230"/>
      <c r="O985" s="230"/>
      <c r="P985" s="230"/>
      <c r="Q985" s="230"/>
      <c r="R985" s="230"/>
      <c r="S985" s="230"/>
      <c r="T985" s="230"/>
      <c r="U985" s="230"/>
      <c r="V985" s="230"/>
      <c r="W985" s="230"/>
      <c r="X985" s="230"/>
      <c r="Y985" s="230"/>
      <c r="Z985" s="230"/>
    </row>
    <row r="986" spans="1:26" ht="15.75" customHeight="1">
      <c r="A986" s="230"/>
      <c r="B986" s="230"/>
      <c r="C986" s="230"/>
      <c r="D986" s="230"/>
      <c r="E986" s="230"/>
      <c r="F986" s="230"/>
      <c r="G986" s="230"/>
      <c r="H986" s="230"/>
      <c r="I986" s="230"/>
      <c r="J986" s="230"/>
      <c r="K986" s="230"/>
      <c r="L986" s="230"/>
      <c r="M986" s="230"/>
      <c r="N986" s="230"/>
      <c r="O986" s="230"/>
      <c r="P986" s="230"/>
      <c r="Q986" s="230"/>
      <c r="R986" s="230"/>
      <c r="S986" s="230"/>
      <c r="T986" s="230"/>
      <c r="U986" s="230"/>
      <c r="V986" s="230"/>
      <c r="W986" s="230"/>
      <c r="X986" s="230"/>
      <c r="Y986" s="230"/>
      <c r="Z986" s="230"/>
    </row>
    <row r="987" spans="1:26" ht="15.75" customHeight="1">
      <c r="A987" s="230"/>
      <c r="B987" s="230"/>
      <c r="C987" s="230"/>
      <c r="D987" s="230"/>
      <c r="E987" s="230"/>
      <c r="F987" s="230"/>
      <c r="G987" s="230"/>
      <c r="H987" s="230"/>
      <c r="I987" s="230"/>
      <c r="J987" s="230"/>
      <c r="K987" s="230"/>
      <c r="L987" s="230"/>
      <c r="M987" s="230"/>
      <c r="N987" s="230"/>
      <c r="O987" s="230"/>
      <c r="P987" s="230"/>
      <c r="Q987" s="230"/>
      <c r="R987" s="230"/>
      <c r="S987" s="230"/>
      <c r="T987" s="230"/>
      <c r="U987" s="230"/>
      <c r="V987" s="230"/>
      <c r="W987" s="230"/>
      <c r="X987" s="230"/>
      <c r="Y987" s="230"/>
      <c r="Z987" s="230"/>
    </row>
    <row r="988" spans="1:26" ht="15.75" customHeight="1">
      <c r="A988" s="230"/>
      <c r="B988" s="230"/>
      <c r="C988" s="230"/>
      <c r="D988" s="230"/>
      <c r="E988" s="230"/>
      <c r="F988" s="230"/>
      <c r="G988" s="230"/>
      <c r="H988" s="230"/>
      <c r="I988" s="230"/>
      <c r="J988" s="230"/>
      <c r="K988" s="230"/>
      <c r="L988" s="230"/>
      <c r="M988" s="230"/>
      <c r="N988" s="230"/>
      <c r="O988" s="230"/>
      <c r="P988" s="230"/>
      <c r="Q988" s="230"/>
      <c r="R988" s="230"/>
      <c r="S988" s="230"/>
      <c r="T988" s="230"/>
      <c r="U988" s="230"/>
      <c r="V988" s="230"/>
      <c r="W988" s="230"/>
      <c r="X988" s="230"/>
      <c r="Y988" s="230"/>
      <c r="Z988" s="230"/>
    </row>
    <row r="989" spans="1:26" ht="15.75" customHeight="1">
      <c r="A989" s="230"/>
      <c r="B989" s="230"/>
      <c r="C989" s="230"/>
      <c r="D989" s="230"/>
      <c r="E989" s="230"/>
      <c r="F989" s="230"/>
      <c r="G989" s="230"/>
      <c r="H989" s="230"/>
      <c r="I989" s="230"/>
      <c r="J989" s="230"/>
      <c r="K989" s="230"/>
      <c r="L989" s="230"/>
      <c r="M989" s="230"/>
      <c r="N989" s="230"/>
      <c r="O989" s="230"/>
      <c r="P989" s="230"/>
      <c r="Q989" s="230"/>
      <c r="R989" s="230"/>
      <c r="S989" s="230"/>
      <c r="T989" s="230"/>
      <c r="U989" s="230"/>
      <c r="V989" s="230"/>
      <c r="W989" s="230"/>
      <c r="X989" s="230"/>
      <c r="Y989" s="230"/>
      <c r="Z989" s="230"/>
    </row>
    <row r="990" spans="1:26" ht="15.75" customHeight="1">
      <c r="A990" s="230"/>
      <c r="B990" s="230"/>
      <c r="C990" s="230"/>
      <c r="D990" s="230"/>
      <c r="E990" s="230"/>
      <c r="F990" s="230"/>
      <c r="G990" s="230"/>
      <c r="H990" s="230"/>
      <c r="I990" s="230"/>
      <c r="J990" s="230"/>
      <c r="K990" s="230"/>
      <c r="L990" s="230"/>
      <c r="M990" s="230"/>
      <c r="N990" s="230"/>
      <c r="O990" s="230"/>
      <c r="P990" s="230"/>
      <c r="Q990" s="230"/>
      <c r="R990" s="230"/>
      <c r="S990" s="230"/>
      <c r="T990" s="230"/>
      <c r="U990" s="230"/>
      <c r="V990" s="230"/>
      <c r="W990" s="230"/>
      <c r="X990" s="230"/>
      <c r="Y990" s="230"/>
      <c r="Z990" s="230"/>
    </row>
    <row r="991" spans="1:26" ht="15.75" customHeight="1">
      <c r="A991" s="230"/>
      <c r="B991" s="230"/>
      <c r="C991" s="230"/>
      <c r="D991" s="230"/>
      <c r="E991" s="230"/>
      <c r="F991" s="230"/>
      <c r="G991" s="230"/>
      <c r="H991" s="230"/>
      <c r="I991" s="230"/>
      <c r="J991" s="230"/>
      <c r="K991" s="230"/>
      <c r="L991" s="230"/>
      <c r="M991" s="230"/>
      <c r="N991" s="230"/>
      <c r="O991" s="230"/>
      <c r="P991" s="230"/>
      <c r="Q991" s="230"/>
      <c r="R991" s="230"/>
      <c r="S991" s="230"/>
      <c r="T991" s="230"/>
      <c r="U991" s="230"/>
      <c r="V991" s="230"/>
      <c r="W991" s="230"/>
      <c r="X991" s="230"/>
      <c r="Y991" s="230"/>
      <c r="Z991" s="230"/>
    </row>
    <row r="992" spans="1:26" ht="15.75" customHeight="1">
      <c r="A992" s="230"/>
      <c r="B992" s="230"/>
      <c r="C992" s="230"/>
      <c r="D992" s="230"/>
      <c r="E992" s="230"/>
      <c r="F992" s="230"/>
      <c r="G992" s="230"/>
      <c r="H992" s="230"/>
      <c r="I992" s="230"/>
      <c r="J992" s="230"/>
      <c r="K992" s="230"/>
      <c r="L992" s="230"/>
      <c r="M992" s="230"/>
      <c r="N992" s="230"/>
      <c r="O992" s="230"/>
      <c r="P992" s="230"/>
      <c r="Q992" s="230"/>
      <c r="R992" s="230"/>
      <c r="S992" s="230"/>
      <c r="T992" s="230"/>
      <c r="U992" s="230"/>
      <c r="V992" s="230"/>
      <c r="W992" s="230"/>
      <c r="X992" s="230"/>
      <c r="Y992" s="230"/>
      <c r="Z992" s="230"/>
    </row>
    <row r="993" spans="1:26" ht="15.75" customHeight="1">
      <c r="A993" s="230"/>
      <c r="B993" s="230"/>
      <c r="C993" s="230"/>
      <c r="D993" s="230"/>
      <c r="E993" s="230"/>
      <c r="F993" s="230"/>
      <c r="G993" s="230"/>
      <c r="H993" s="230"/>
      <c r="I993" s="230"/>
      <c r="J993" s="230"/>
      <c r="K993" s="230"/>
      <c r="L993" s="230"/>
      <c r="M993" s="230"/>
      <c r="N993" s="230"/>
      <c r="O993" s="230"/>
      <c r="P993" s="230"/>
      <c r="Q993" s="230"/>
      <c r="R993" s="230"/>
      <c r="S993" s="230"/>
      <c r="T993" s="230"/>
      <c r="U993" s="230"/>
      <c r="V993" s="230"/>
      <c r="W993" s="230"/>
      <c r="X993" s="230"/>
      <c r="Y993" s="230"/>
      <c r="Z993" s="230"/>
    </row>
    <row r="994" spans="1:26" ht="15.75" customHeight="1">
      <c r="A994" s="230"/>
      <c r="B994" s="230"/>
      <c r="C994" s="230"/>
      <c r="D994" s="230"/>
      <c r="E994" s="230"/>
      <c r="F994" s="230"/>
      <c r="G994" s="230"/>
      <c r="H994" s="230"/>
      <c r="I994" s="230"/>
      <c r="J994" s="230"/>
      <c r="K994" s="230"/>
      <c r="L994" s="230"/>
      <c r="M994" s="230"/>
      <c r="N994" s="230"/>
      <c r="O994" s="230"/>
      <c r="P994" s="230"/>
      <c r="Q994" s="230"/>
      <c r="R994" s="230"/>
      <c r="S994" s="230"/>
      <c r="T994" s="230"/>
      <c r="U994" s="230"/>
      <c r="V994" s="230"/>
      <c r="W994" s="230"/>
      <c r="X994" s="230"/>
      <c r="Y994" s="230"/>
      <c r="Z994" s="230"/>
    </row>
    <row r="995" spans="1:26" ht="15.75" customHeight="1">
      <c r="A995" s="230"/>
      <c r="B995" s="230"/>
      <c r="C995" s="230"/>
      <c r="D995" s="230"/>
      <c r="E995" s="230"/>
      <c r="F995" s="230"/>
      <c r="G995" s="230"/>
      <c r="H995" s="230"/>
      <c r="I995" s="230"/>
      <c r="J995" s="230"/>
      <c r="K995" s="230"/>
      <c r="L995" s="230"/>
      <c r="M995" s="230"/>
      <c r="N995" s="230"/>
      <c r="O995" s="230"/>
      <c r="P995" s="230"/>
      <c r="Q995" s="230"/>
      <c r="R995" s="230"/>
      <c r="S995" s="230"/>
      <c r="T995" s="230"/>
      <c r="U995" s="230"/>
      <c r="V995" s="230"/>
      <c r="W995" s="230"/>
      <c r="X995" s="230"/>
      <c r="Y995" s="230"/>
      <c r="Z995" s="230"/>
    </row>
    <row r="996" spans="1:26" ht="15.75" customHeight="1">
      <c r="A996" s="230"/>
      <c r="B996" s="230"/>
      <c r="C996" s="230"/>
      <c r="D996" s="230"/>
      <c r="E996" s="230"/>
      <c r="F996" s="230"/>
      <c r="G996" s="230"/>
      <c r="H996" s="230"/>
      <c r="I996" s="230"/>
      <c r="J996" s="230"/>
      <c r="K996" s="230"/>
      <c r="L996" s="230"/>
      <c r="M996" s="230"/>
      <c r="N996" s="230"/>
      <c r="O996" s="230"/>
      <c r="P996" s="230"/>
      <c r="Q996" s="230"/>
      <c r="R996" s="230"/>
      <c r="S996" s="230"/>
      <c r="T996" s="230"/>
      <c r="U996" s="230"/>
      <c r="V996" s="230"/>
      <c r="W996" s="230"/>
      <c r="X996" s="230"/>
      <c r="Y996" s="230"/>
      <c r="Z996" s="230"/>
    </row>
    <row r="997" spans="1:26" ht="15.75" customHeight="1">
      <c r="A997" s="230"/>
      <c r="B997" s="230"/>
      <c r="C997" s="230"/>
      <c r="D997" s="230"/>
      <c r="E997" s="230"/>
      <c r="F997" s="230"/>
      <c r="G997" s="230"/>
      <c r="H997" s="230"/>
      <c r="I997" s="230"/>
      <c r="J997" s="230"/>
      <c r="K997" s="230"/>
      <c r="L997" s="230"/>
      <c r="M997" s="230"/>
      <c r="N997" s="230"/>
      <c r="O997" s="230"/>
      <c r="P997" s="230"/>
      <c r="Q997" s="230"/>
      <c r="R997" s="230"/>
      <c r="S997" s="230"/>
      <c r="T997" s="230"/>
      <c r="U997" s="230"/>
      <c r="V997" s="230"/>
      <c r="W997" s="230"/>
      <c r="X997" s="230"/>
      <c r="Y997" s="230"/>
      <c r="Z997" s="230"/>
    </row>
    <row r="998" spans="1:26" ht="15.75" customHeight="1">
      <c r="A998" s="230"/>
      <c r="B998" s="230"/>
      <c r="C998" s="230"/>
      <c r="D998" s="230"/>
      <c r="E998" s="230"/>
      <c r="F998" s="230"/>
      <c r="G998" s="230"/>
      <c r="H998" s="230"/>
      <c r="I998" s="230"/>
      <c r="J998" s="230"/>
      <c r="K998" s="230"/>
      <c r="L998" s="230"/>
      <c r="M998" s="230"/>
      <c r="N998" s="230"/>
      <c r="O998" s="230"/>
      <c r="P998" s="230"/>
      <c r="Q998" s="230"/>
      <c r="R998" s="230"/>
      <c r="S998" s="230"/>
      <c r="T998" s="230"/>
      <c r="U998" s="230"/>
      <c r="V998" s="230"/>
      <c r="W998" s="230"/>
      <c r="X998" s="230"/>
      <c r="Y998" s="230"/>
      <c r="Z998" s="230"/>
    </row>
    <row r="999" spans="1:26" ht="15.75" customHeight="1">
      <c r="A999" s="230"/>
      <c r="B999" s="230"/>
      <c r="C999" s="230"/>
      <c r="D999" s="230"/>
      <c r="E999" s="230"/>
      <c r="F999" s="230"/>
      <c r="G999" s="230"/>
      <c r="H999" s="230"/>
      <c r="I999" s="230"/>
      <c r="J999" s="230"/>
      <c r="K999" s="230"/>
      <c r="L999" s="230"/>
      <c r="M999" s="230"/>
      <c r="N999" s="230"/>
      <c r="O999" s="230"/>
      <c r="P999" s="230"/>
      <c r="Q999" s="230"/>
      <c r="R999" s="230"/>
      <c r="S999" s="230"/>
      <c r="T999" s="230"/>
      <c r="U999" s="230"/>
      <c r="V999" s="230"/>
      <c r="W999" s="230"/>
      <c r="X999" s="230"/>
      <c r="Y999" s="230"/>
      <c r="Z999" s="230"/>
    </row>
    <row r="1000" spans="1:26" ht="15.75" customHeight="1">
      <c r="A1000" s="230"/>
      <c r="B1000" s="230"/>
      <c r="C1000" s="230"/>
      <c r="D1000" s="230"/>
      <c r="E1000" s="230"/>
      <c r="F1000" s="230"/>
      <c r="G1000" s="230"/>
      <c r="H1000" s="230"/>
      <c r="I1000" s="230"/>
      <c r="J1000" s="230"/>
      <c r="K1000" s="230"/>
      <c r="L1000" s="230"/>
      <c r="M1000" s="230"/>
      <c r="N1000" s="230"/>
      <c r="O1000" s="230"/>
      <c r="P1000" s="230"/>
      <c r="Q1000" s="230"/>
      <c r="R1000" s="230"/>
      <c r="S1000" s="230"/>
      <c r="T1000" s="230"/>
      <c r="U1000" s="230"/>
      <c r="V1000" s="230"/>
      <c r="W1000" s="230"/>
      <c r="X1000" s="230"/>
      <c r="Y1000" s="230"/>
      <c r="Z1000" s="230"/>
    </row>
  </sheetData>
  <mergeCells count="4">
    <mergeCell ref="G13:I13"/>
    <mergeCell ref="E48:E49"/>
    <mergeCell ref="G48:G49"/>
    <mergeCell ref="M48:M49"/>
  </mergeCells>
  <pageMargins left="0.7" right="0.7" top="0.75" bottom="0.75" header="0" footer="0"/>
  <pageSetup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A07D-A42F-4592-8F91-174A512EE010}">
  <dimension ref="A1:Z1002"/>
  <sheetViews>
    <sheetView showGridLines="0" topLeftCell="A4" zoomScale="94" zoomScaleNormal="120" workbookViewId="0">
      <selection activeCell="H10" sqref="H10"/>
    </sheetView>
  </sheetViews>
  <sheetFormatPr defaultColWidth="14.453125" defaultRowHeight="15" customHeight="1"/>
  <cols>
    <col min="1" max="1" width="3.453125" customWidth="1"/>
    <col min="2" max="2" width="33.54296875" customWidth="1"/>
    <col min="3" max="3" width="11.453125" customWidth="1"/>
    <col min="4" max="5" width="10.54296875" customWidth="1"/>
    <col min="6" max="6" width="11.453125" customWidth="1"/>
    <col min="7" max="7" width="27.54296875" customWidth="1"/>
    <col min="8" max="8" width="20.26953125" customWidth="1"/>
    <col min="9" max="9" width="21" customWidth="1"/>
    <col min="10" max="10" width="23" customWidth="1"/>
    <col min="11" max="11" width="12" customWidth="1"/>
    <col min="12" max="12" width="21.453125" customWidth="1"/>
    <col min="13" max="13" width="11.54296875" customWidth="1"/>
    <col min="14" max="26" width="11.453125" customWidth="1"/>
  </cols>
  <sheetData>
    <row r="1" spans="1:26" ht="23.5" customHeight="1">
      <c r="A1" s="329" t="s">
        <v>19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  <c r="R1" s="371"/>
      <c r="S1" s="371"/>
      <c r="T1" s="371"/>
      <c r="U1" s="371"/>
      <c r="V1" s="371"/>
      <c r="W1" s="371"/>
      <c r="X1" s="371"/>
      <c r="Y1" s="371"/>
      <c r="Z1" s="371"/>
    </row>
    <row r="2" spans="1:26" ht="15.75" customHeight="1">
      <c r="A2" s="328" t="str">
        <f>"(In "&amp;F10&amp;" Millions Except Per Share Data)"</f>
        <v>(In USD Millions Except Per Share Data)</v>
      </c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</row>
    <row r="3" spans="1:26" ht="15.75" customHeight="1" thickBot="1">
      <c r="A3" s="230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</row>
    <row r="4" spans="1:26" ht="15.75" customHeight="1">
      <c r="A4" s="330" t="s">
        <v>667</v>
      </c>
      <c r="B4" s="331"/>
      <c r="C4" s="331"/>
      <c r="D4" s="331"/>
      <c r="E4" s="331"/>
      <c r="F4" s="332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</row>
    <row r="5" spans="1:26" ht="15.75" customHeight="1">
      <c r="A5" s="268" t="s">
        <v>666</v>
      </c>
      <c r="B5" s="230"/>
      <c r="C5" s="230"/>
      <c r="D5" s="230"/>
      <c r="E5" s="230"/>
      <c r="F5" s="333" t="s">
        <v>665</v>
      </c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</row>
    <row r="6" spans="1:26" ht="15.75" customHeight="1">
      <c r="A6" s="268" t="s">
        <v>664</v>
      </c>
      <c r="B6" s="230"/>
      <c r="C6" s="230"/>
      <c r="D6" s="230"/>
      <c r="E6" s="230"/>
      <c r="F6" s="334">
        <v>45702</v>
      </c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</row>
    <row r="7" spans="1:26" ht="15.75" customHeight="1">
      <c r="A7" s="268" t="s">
        <v>663</v>
      </c>
      <c r="B7" s="230"/>
      <c r="C7" s="230"/>
      <c r="D7" s="230"/>
      <c r="E7" s="230"/>
      <c r="F7" s="335" t="s">
        <v>684</v>
      </c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</row>
    <row r="8" spans="1:26" ht="15.75" customHeight="1">
      <c r="A8" s="268" t="s">
        <v>661</v>
      </c>
      <c r="B8" s="230"/>
      <c r="C8" s="230"/>
      <c r="D8" s="230"/>
      <c r="E8" s="230"/>
      <c r="F8" s="336">
        <v>45655</v>
      </c>
      <c r="G8" s="230"/>
      <c r="H8" s="230"/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</row>
    <row r="9" spans="1:26" ht="15.75" customHeight="1">
      <c r="A9" s="268" t="s">
        <v>660</v>
      </c>
      <c r="B9" s="230"/>
      <c r="C9" s="230"/>
      <c r="D9" s="230"/>
      <c r="E9" s="230"/>
      <c r="F9" s="336">
        <v>45571</v>
      </c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</row>
    <row r="10" spans="1:26" ht="15.75" customHeight="1">
      <c r="A10" s="268" t="s">
        <v>552</v>
      </c>
      <c r="B10" s="230"/>
      <c r="C10" s="230"/>
      <c r="D10" s="230"/>
      <c r="E10" s="230"/>
      <c r="F10" s="335" t="s">
        <v>570</v>
      </c>
      <c r="G10" s="230"/>
      <c r="H10" s="230"/>
      <c r="I10" s="230"/>
      <c r="J10" s="230"/>
      <c r="K10" s="230"/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</row>
    <row r="11" spans="1:26" ht="15.75" customHeight="1" thickBot="1">
      <c r="A11" s="267" t="s">
        <v>463</v>
      </c>
      <c r="B11" s="223"/>
      <c r="C11" s="223"/>
      <c r="D11" s="223"/>
      <c r="E11" s="223"/>
      <c r="F11" s="337">
        <v>0.27</v>
      </c>
      <c r="G11" s="230" t="s">
        <v>659</v>
      </c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</row>
    <row r="12" spans="1:26" ht="15.75" customHeight="1">
      <c r="A12" s="230"/>
      <c r="B12" s="230"/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</row>
    <row r="13" spans="1:26" ht="15.75" customHeight="1" thickBot="1">
      <c r="A13" s="230"/>
      <c r="B13" s="230"/>
      <c r="C13" s="230"/>
      <c r="D13" s="230"/>
      <c r="E13" s="230"/>
      <c r="F13" s="230"/>
      <c r="G13" s="434"/>
      <c r="H13" s="427"/>
      <c r="I13" s="427"/>
      <c r="J13" s="230"/>
      <c r="K13" s="230"/>
      <c r="L13" s="23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</row>
    <row r="14" spans="1:26" ht="15.75" customHeight="1" thickBot="1">
      <c r="A14" s="338" t="s">
        <v>658</v>
      </c>
      <c r="B14" s="339"/>
      <c r="C14" s="340" t="s">
        <v>657</v>
      </c>
      <c r="D14" s="340" t="s">
        <v>656</v>
      </c>
      <c r="E14" s="340" t="s">
        <v>655</v>
      </c>
      <c r="F14" s="341"/>
      <c r="G14" s="230"/>
      <c r="H14" s="277"/>
      <c r="I14" s="277"/>
      <c r="J14" s="230"/>
      <c r="K14" s="230"/>
      <c r="L14" s="230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</row>
    <row r="15" spans="1:26" ht="15.75" customHeight="1">
      <c r="A15" s="268" t="s">
        <v>654</v>
      </c>
      <c r="B15" s="230"/>
      <c r="C15" s="342">
        <v>131.07</v>
      </c>
      <c r="D15" s="299"/>
      <c r="E15" s="299"/>
      <c r="F15" s="288"/>
      <c r="G15" s="287" t="s">
        <v>653</v>
      </c>
      <c r="H15" s="265"/>
      <c r="I15" s="230"/>
      <c r="J15" s="230"/>
      <c r="K15" s="230"/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</row>
    <row r="16" spans="1:26" ht="15.75" customHeight="1">
      <c r="A16" s="268" t="s">
        <v>652</v>
      </c>
      <c r="B16" s="230"/>
      <c r="C16" s="342">
        <f>115594585/10^6</f>
        <v>115.594585</v>
      </c>
      <c r="D16" s="299"/>
      <c r="E16" s="299"/>
      <c r="F16" s="286"/>
      <c r="G16" s="230" t="s">
        <v>651</v>
      </c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</row>
    <row r="17" spans="1:26" ht="15.75" customHeight="1">
      <c r="A17" s="268" t="s">
        <v>650</v>
      </c>
      <c r="B17" s="230"/>
      <c r="C17" s="299">
        <f>C16+H45+G53</f>
        <v>119.25345094949263</v>
      </c>
      <c r="D17" s="299"/>
      <c r="E17" s="299"/>
      <c r="F17" s="286"/>
      <c r="G17" s="230"/>
      <c r="H17" s="258"/>
      <c r="I17" s="230"/>
      <c r="J17" s="230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</row>
    <row r="18" spans="1:26" ht="15.75" customHeight="1">
      <c r="A18" s="268" t="s">
        <v>546</v>
      </c>
      <c r="B18" s="231"/>
      <c r="C18" s="299">
        <f>C15*C17</f>
        <v>15630.549815949998</v>
      </c>
      <c r="D18" s="299"/>
      <c r="E18" s="299"/>
      <c r="F18" s="343">
        <f>SUM(C18:E18)</f>
        <v>15630.549815949998</v>
      </c>
      <c r="G18" s="230"/>
      <c r="H18" s="230"/>
      <c r="I18" s="258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</row>
    <row r="19" spans="1:26" ht="15.75" customHeight="1">
      <c r="A19" s="268" t="s">
        <v>523</v>
      </c>
      <c r="B19" s="230"/>
      <c r="C19" s="230"/>
      <c r="D19" s="258"/>
      <c r="E19" s="258"/>
      <c r="F19" s="343">
        <v>0</v>
      </c>
      <c r="G19" s="230"/>
      <c r="H19" s="258"/>
      <c r="I19" s="258"/>
      <c r="J19" s="230"/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</row>
    <row r="20" spans="1:26" ht="15.75" customHeight="1">
      <c r="A20" s="285" t="s">
        <v>649</v>
      </c>
      <c r="B20" s="230"/>
      <c r="C20" s="230"/>
      <c r="D20" s="258"/>
      <c r="E20" s="258"/>
      <c r="F20" s="343">
        <v>0</v>
      </c>
      <c r="G20" s="230"/>
      <c r="H20" s="258"/>
      <c r="I20" s="258"/>
      <c r="J20" s="230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</row>
    <row r="21" spans="1:26" ht="15.75" customHeight="1">
      <c r="A21" s="268"/>
      <c r="B21" s="230" t="s">
        <v>648</v>
      </c>
      <c r="C21" s="230"/>
      <c r="D21" s="230"/>
      <c r="E21" s="299">
        <v>0</v>
      </c>
      <c r="F21" s="286"/>
      <c r="G21" s="230"/>
      <c r="H21" s="230"/>
      <c r="I21" s="230"/>
      <c r="J21" s="230"/>
      <c r="K21" s="230"/>
      <c r="L21" s="230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</row>
    <row r="22" spans="1:26" ht="15.75" customHeight="1">
      <c r="A22" s="268"/>
      <c r="B22" s="257" t="s">
        <v>647</v>
      </c>
      <c r="C22" s="230"/>
      <c r="D22" s="230"/>
      <c r="E22" s="299">
        <v>0</v>
      </c>
      <c r="F22" s="286"/>
      <c r="G22" s="230"/>
      <c r="H22" s="230"/>
      <c r="I22" s="230"/>
      <c r="J22" s="230"/>
      <c r="K22" s="230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</row>
    <row r="23" spans="1:26" ht="15.75" customHeight="1">
      <c r="A23" s="285" t="s">
        <v>646</v>
      </c>
      <c r="B23" s="230"/>
      <c r="C23" s="230"/>
      <c r="D23" s="230"/>
      <c r="E23" s="258"/>
      <c r="F23" s="343">
        <f>SUM(E24:E25)</f>
        <v>0</v>
      </c>
      <c r="G23" s="230"/>
      <c r="H23" s="258"/>
      <c r="I23" s="258"/>
      <c r="J23" s="230"/>
      <c r="K23" s="230"/>
      <c r="L23" s="230"/>
      <c r="M23" s="230"/>
      <c r="N23" s="230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</row>
    <row r="24" spans="1:26" ht="15" customHeight="1">
      <c r="A24" s="268"/>
      <c r="B24" s="257" t="s">
        <v>645</v>
      </c>
      <c r="C24" s="257"/>
      <c r="D24" s="230"/>
      <c r="E24" s="299">
        <v>0</v>
      </c>
      <c r="F24" s="286"/>
      <c r="G24" s="230" t="s">
        <v>644</v>
      </c>
      <c r="H24" s="230"/>
      <c r="I24" s="230"/>
      <c r="J24" s="230"/>
      <c r="K24" s="230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</row>
    <row r="25" spans="1:26" ht="15" customHeight="1">
      <c r="A25" s="268"/>
      <c r="B25" s="257" t="s">
        <v>643</v>
      </c>
      <c r="C25" s="257"/>
      <c r="D25" s="230"/>
      <c r="E25" s="299">
        <v>0</v>
      </c>
      <c r="F25" s="286"/>
      <c r="G25" s="230"/>
      <c r="H25" s="230"/>
      <c r="I25" s="230"/>
      <c r="J25" s="230"/>
      <c r="K25" s="230"/>
      <c r="L25" s="230"/>
      <c r="M25" s="230"/>
      <c r="N25" s="230"/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</row>
    <row r="26" spans="1:26" ht="15.75" customHeight="1">
      <c r="A26" s="285" t="s">
        <v>642</v>
      </c>
      <c r="B26" s="230"/>
      <c r="C26" s="230"/>
      <c r="D26" s="230"/>
      <c r="E26" s="258"/>
      <c r="F26" s="286"/>
      <c r="G26" s="230"/>
      <c r="H26" s="230"/>
      <c r="I26" s="230"/>
      <c r="J26" s="230"/>
      <c r="K26" s="230"/>
      <c r="L26" s="230"/>
      <c r="M26" s="230"/>
      <c r="N26" s="230"/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</row>
    <row r="27" spans="1:26" ht="15" customHeight="1">
      <c r="A27" s="268"/>
      <c r="B27" s="230" t="s">
        <v>641</v>
      </c>
      <c r="C27" s="230"/>
      <c r="D27" s="230"/>
      <c r="E27" s="258"/>
      <c r="F27" s="343">
        <v>0</v>
      </c>
      <c r="G27" s="230"/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</row>
    <row r="28" spans="1:26" ht="15.75" customHeight="1">
      <c r="A28" s="268"/>
      <c r="B28" s="230" t="s">
        <v>640</v>
      </c>
      <c r="C28" s="230"/>
      <c r="D28" s="230"/>
      <c r="E28" s="230"/>
      <c r="F28" s="343">
        <f>(37241+341467)/1000</f>
        <v>378.70800000000003</v>
      </c>
      <c r="G28" s="230" t="s">
        <v>672</v>
      </c>
      <c r="H28" s="258"/>
      <c r="I28" s="258"/>
      <c r="J28" s="230"/>
      <c r="K28" s="230"/>
      <c r="L28" s="230"/>
      <c r="M28" s="230"/>
      <c r="N28" s="230"/>
      <c r="O28" s="230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</row>
    <row r="29" spans="1:26" ht="15.75" customHeight="1">
      <c r="A29" s="285" t="s">
        <v>638</v>
      </c>
      <c r="B29" s="230"/>
      <c r="C29" s="230"/>
      <c r="D29" s="230"/>
      <c r="E29" s="258"/>
      <c r="F29" s="343">
        <f>366120/1000</f>
        <v>366.12</v>
      </c>
      <c r="G29" s="230" t="s">
        <v>637</v>
      </c>
      <c r="H29" s="258"/>
      <c r="I29" s="258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</row>
    <row r="30" spans="1:26" ht="15.75" customHeight="1" thickBot="1">
      <c r="A30" s="284" t="s">
        <v>636</v>
      </c>
      <c r="B30" s="283"/>
      <c r="C30" s="283"/>
      <c r="D30" s="282"/>
      <c r="E30" s="282"/>
      <c r="F30" s="344">
        <f>F18+F19+F20+F23+F27+F28-F29</f>
        <v>15643.137815949998</v>
      </c>
      <c r="G30" s="230"/>
      <c r="H30" s="230"/>
      <c r="I30" s="258"/>
      <c r="J30" s="230"/>
      <c r="K30" s="230"/>
      <c r="L30" s="230"/>
      <c r="M30" s="230"/>
      <c r="N30" s="230"/>
      <c r="O30" s="230"/>
      <c r="P30" s="230"/>
      <c r="Q30" s="230"/>
      <c r="R30" s="230"/>
      <c r="S30" s="230"/>
      <c r="T30" s="230"/>
      <c r="U30" s="230"/>
      <c r="V30" s="230"/>
      <c r="W30" s="230"/>
      <c r="X30" s="230"/>
      <c r="Y30" s="230"/>
      <c r="Z30" s="230"/>
    </row>
    <row r="31" spans="1:26" ht="15.75" customHeight="1">
      <c r="A31" s="281" t="s">
        <v>635</v>
      </c>
      <c r="B31" s="259"/>
      <c r="C31" s="259"/>
      <c r="D31" s="261"/>
      <c r="E31" s="261"/>
      <c r="F31" s="343">
        <v>0</v>
      </c>
      <c r="G31" s="230" t="s">
        <v>634</v>
      </c>
      <c r="H31" s="258"/>
      <c r="I31" s="258"/>
      <c r="J31" s="230"/>
      <c r="K31" s="230"/>
      <c r="L31" s="230"/>
      <c r="M31" s="230"/>
      <c r="N31" s="230"/>
      <c r="O31" s="230"/>
      <c r="P31" s="230"/>
      <c r="Q31" s="230"/>
      <c r="R31" s="230"/>
      <c r="S31" s="230"/>
      <c r="T31" s="230"/>
      <c r="U31" s="230"/>
      <c r="V31" s="230"/>
      <c r="W31" s="230"/>
      <c r="X31" s="230"/>
      <c r="Y31" s="230"/>
      <c r="Z31" s="230"/>
    </row>
    <row r="32" spans="1:26" ht="14.25" customHeight="1">
      <c r="A32" s="281" t="s">
        <v>414</v>
      </c>
      <c r="B32" s="259"/>
      <c r="C32" s="259"/>
      <c r="D32" s="261"/>
      <c r="E32" s="261"/>
      <c r="F32" s="343">
        <f>F30-F31</f>
        <v>15643.137815949998</v>
      </c>
      <c r="G32" s="230"/>
      <c r="H32" s="230"/>
      <c r="I32" s="258"/>
      <c r="J32" s="230"/>
      <c r="K32" s="230"/>
      <c r="L32" s="230"/>
      <c r="M32" s="230"/>
      <c r="N32" s="230"/>
      <c r="O32" s="230"/>
      <c r="P32" s="230"/>
      <c r="Q32" s="230"/>
      <c r="R32" s="230"/>
      <c r="S32" s="230"/>
      <c r="T32" s="230"/>
      <c r="U32" s="230"/>
      <c r="V32" s="230"/>
      <c r="W32" s="230"/>
      <c r="X32" s="230"/>
      <c r="Y32" s="230"/>
      <c r="Z32" s="230"/>
    </row>
    <row r="33" spans="1:26" ht="15" customHeight="1" thickBot="1">
      <c r="A33" s="267" t="s">
        <v>633</v>
      </c>
      <c r="B33" s="223"/>
      <c r="C33" s="223"/>
      <c r="D33" s="223"/>
      <c r="E33" s="223"/>
      <c r="F33" s="381">
        <f>F18/SUM(C17:E17)</f>
        <v>131.07</v>
      </c>
      <c r="G33" s="230"/>
      <c r="H33" s="230"/>
      <c r="I33" s="230"/>
      <c r="J33" s="280"/>
      <c r="K33" s="230"/>
      <c r="L33" s="230"/>
      <c r="M33" s="230"/>
      <c r="N33" s="230"/>
      <c r="O33" s="230"/>
      <c r="P33" s="230"/>
      <c r="Q33" s="230"/>
      <c r="R33" s="230"/>
      <c r="S33" s="230"/>
      <c r="T33" s="230"/>
      <c r="U33" s="230"/>
      <c r="V33" s="230"/>
      <c r="W33" s="230"/>
      <c r="X33" s="230"/>
      <c r="Y33" s="230"/>
      <c r="Z33" s="230"/>
    </row>
    <row r="34" spans="1:26" ht="15.75" customHeight="1" thickBot="1">
      <c r="A34" s="230"/>
      <c r="B34" s="230"/>
      <c r="C34" s="230"/>
      <c r="D34" s="230"/>
      <c r="E34" s="230"/>
      <c r="F34" s="230"/>
      <c r="G34" s="230"/>
      <c r="H34" s="263"/>
      <c r="I34" s="263"/>
      <c r="J34" s="263"/>
      <c r="K34" s="230"/>
      <c r="L34" s="230"/>
      <c r="M34" s="230"/>
      <c r="N34" s="230"/>
      <c r="O34" s="230"/>
      <c r="P34" s="230"/>
      <c r="Q34" s="230"/>
      <c r="R34" s="230"/>
      <c r="S34" s="230"/>
      <c r="T34" s="230"/>
      <c r="U34" s="230"/>
      <c r="V34" s="230"/>
      <c r="W34" s="230"/>
      <c r="X34" s="230"/>
      <c r="Y34" s="230"/>
      <c r="Z34" s="230"/>
    </row>
    <row r="35" spans="1:26" ht="15.75" customHeight="1" thickBot="1">
      <c r="A35" s="338" t="s">
        <v>632</v>
      </c>
      <c r="B35" s="339"/>
      <c r="C35" s="346"/>
      <c r="D35" s="346"/>
      <c r="E35" s="346"/>
      <c r="F35" s="346"/>
      <c r="G35" s="346"/>
      <c r="H35" s="346"/>
      <c r="I35" s="230"/>
      <c r="J35" s="230"/>
      <c r="K35" s="230"/>
      <c r="L35" s="230"/>
      <c r="M35" s="230"/>
      <c r="N35" s="230"/>
      <c r="O35" s="230"/>
      <c r="P35" s="230"/>
      <c r="Q35" s="230"/>
      <c r="R35" s="230"/>
      <c r="S35" s="230"/>
      <c r="T35" s="230"/>
      <c r="U35" s="230"/>
      <c r="V35" s="230"/>
      <c r="W35" s="230"/>
      <c r="X35" s="230"/>
      <c r="Y35" s="230"/>
      <c r="Z35" s="230"/>
    </row>
    <row r="36" spans="1:26" ht="15.75" customHeight="1" thickBot="1">
      <c r="A36" s="230"/>
      <c r="B36" s="230"/>
      <c r="C36" s="230"/>
      <c r="D36" s="230"/>
      <c r="E36" s="230"/>
      <c r="F36" s="230"/>
      <c r="G36" s="230"/>
      <c r="H36" s="263"/>
      <c r="I36" s="263"/>
      <c r="J36" s="263"/>
      <c r="K36" s="263"/>
      <c r="L36" s="230"/>
      <c r="M36" s="230"/>
      <c r="N36" s="230"/>
      <c r="O36" s="230"/>
      <c r="P36" s="230"/>
      <c r="Q36" s="230"/>
      <c r="R36" s="230"/>
      <c r="S36" s="230"/>
      <c r="T36" s="230"/>
      <c r="U36" s="230"/>
      <c r="V36" s="230"/>
      <c r="W36" s="230"/>
      <c r="X36" s="230"/>
      <c r="Y36" s="230"/>
      <c r="Z36" s="230"/>
    </row>
    <row r="37" spans="1:26" ht="15.75" customHeight="1" thickBot="1">
      <c r="A37" s="230"/>
      <c r="B37" s="338" t="s">
        <v>631</v>
      </c>
      <c r="C37" s="346"/>
      <c r="D37" s="346"/>
      <c r="E37" s="346"/>
      <c r="F37" s="346"/>
      <c r="G37" s="346"/>
      <c r="H37" s="348"/>
      <c r="I37" s="263"/>
      <c r="J37" s="279"/>
      <c r="K37" s="230"/>
      <c r="L37" s="230"/>
      <c r="M37" s="230"/>
      <c r="N37" s="230"/>
      <c r="O37" s="230"/>
      <c r="P37" s="230"/>
      <c r="Q37" s="230"/>
      <c r="R37" s="230"/>
      <c r="S37" s="230"/>
      <c r="T37" s="230"/>
      <c r="U37" s="230"/>
      <c r="V37" s="230"/>
      <c r="W37" s="230"/>
      <c r="X37" s="230"/>
      <c r="Y37" s="230"/>
      <c r="Z37" s="230"/>
    </row>
    <row r="38" spans="1:26" ht="15.75" customHeight="1">
      <c r="A38" s="230"/>
      <c r="B38" s="278"/>
      <c r="C38" s="231" t="s">
        <v>500</v>
      </c>
      <c r="D38" s="230"/>
      <c r="E38" s="229" t="s">
        <v>499</v>
      </c>
      <c r="F38" s="229"/>
      <c r="G38" s="229"/>
      <c r="H38" s="228" t="s">
        <v>498</v>
      </c>
      <c r="I38" s="263"/>
      <c r="J38" s="231"/>
      <c r="K38" s="231"/>
      <c r="L38" s="277"/>
      <c r="M38" s="277"/>
      <c r="N38" s="231"/>
      <c r="O38" s="230"/>
      <c r="P38" s="230"/>
      <c r="Q38" s="230"/>
      <c r="R38" s="230"/>
      <c r="S38" s="230"/>
      <c r="T38" s="230"/>
      <c r="U38" s="230"/>
      <c r="V38" s="230"/>
      <c r="W38" s="230"/>
      <c r="X38" s="230"/>
      <c r="Y38" s="230"/>
      <c r="Z38" s="230"/>
    </row>
    <row r="39" spans="1:26" ht="15.75" customHeight="1" thickBot="1">
      <c r="A39" s="230"/>
      <c r="B39" s="276" t="s">
        <v>630</v>
      </c>
      <c r="C39" s="227" t="s">
        <v>142</v>
      </c>
      <c r="D39" s="227" t="s">
        <v>496</v>
      </c>
      <c r="E39" s="227" t="s">
        <v>495</v>
      </c>
      <c r="F39" s="227" t="s">
        <v>437</v>
      </c>
      <c r="G39" s="223" t="s">
        <v>494</v>
      </c>
      <c r="H39" s="226" t="s">
        <v>493</v>
      </c>
      <c r="I39" s="263"/>
      <c r="J39" s="262"/>
      <c r="K39" s="231"/>
      <c r="L39" s="231"/>
      <c r="M39" s="230"/>
      <c r="N39" s="231"/>
      <c r="O39" s="230"/>
      <c r="P39" s="230"/>
      <c r="Q39" s="230"/>
      <c r="R39" s="230"/>
      <c r="S39" s="230"/>
      <c r="T39" s="230"/>
      <c r="U39" s="230"/>
      <c r="V39" s="230"/>
      <c r="W39" s="230"/>
      <c r="X39" s="230"/>
      <c r="Y39" s="230"/>
      <c r="Z39" s="230"/>
    </row>
    <row r="40" spans="1:26" ht="15.75" customHeight="1">
      <c r="A40" s="230"/>
      <c r="B40" s="350">
        <f>2264/1000</f>
        <v>2.2639999999999998</v>
      </c>
      <c r="C40" s="363">
        <v>13.96</v>
      </c>
      <c r="D40" s="310" t="str">
        <f>IF(C15&gt;C40,"YES","NO")</f>
        <v>YES</v>
      </c>
      <c r="E40" s="311">
        <f>IF(D40="YES",B40,0)</f>
        <v>2.2639999999999998</v>
      </c>
      <c r="F40" s="299">
        <f>(E40*C40)</f>
        <v>31.605439999999998</v>
      </c>
      <c r="G40" s="311">
        <f>F40/C15</f>
        <v>0.24113405050736247</v>
      </c>
      <c r="H40" s="312">
        <f>E40-G40</f>
        <v>2.0228659494926373</v>
      </c>
      <c r="I40" s="263" t="s">
        <v>683</v>
      </c>
      <c r="J40" s="275"/>
      <c r="K40" s="275"/>
      <c r="L40" s="258"/>
      <c r="M40" s="275"/>
      <c r="N40" s="275"/>
      <c r="O40" s="230"/>
      <c r="P40" s="230"/>
      <c r="Q40" s="230"/>
      <c r="R40" s="230"/>
      <c r="S40" s="230"/>
      <c r="T40" s="230"/>
      <c r="U40" s="230"/>
      <c r="V40" s="230"/>
      <c r="W40" s="230"/>
      <c r="X40" s="230"/>
      <c r="Y40" s="230"/>
      <c r="Z40" s="230"/>
    </row>
    <row r="41" spans="1:26" ht="15.75" customHeight="1">
      <c r="A41" s="230"/>
      <c r="B41" s="350">
        <f>1636/1000</f>
        <v>1.6359999999999999</v>
      </c>
      <c r="C41" s="351">
        <v>0</v>
      </c>
      <c r="D41" s="310" t="str">
        <f>IF(C15&gt;C41,"YES","NO")</f>
        <v>YES</v>
      </c>
      <c r="E41" s="311">
        <f>IF(D41="YES",B41,0)</f>
        <v>1.6359999999999999</v>
      </c>
      <c r="F41" s="299">
        <f>(E41*C41)</f>
        <v>0</v>
      </c>
      <c r="G41" s="311">
        <f>F41/C15</f>
        <v>0</v>
      </c>
      <c r="H41" s="312">
        <f>E41-G41</f>
        <v>1.6359999999999999</v>
      </c>
      <c r="I41" s="263" t="s">
        <v>629</v>
      </c>
      <c r="J41" s="275"/>
      <c r="K41" s="275"/>
      <c r="L41" s="258"/>
      <c r="M41" s="275"/>
      <c r="N41" s="275"/>
      <c r="O41" s="230"/>
      <c r="P41" s="230"/>
      <c r="Q41" s="230"/>
      <c r="R41" s="230"/>
      <c r="S41" s="230"/>
      <c r="T41" s="230"/>
      <c r="U41" s="230"/>
      <c r="V41" s="230"/>
      <c r="W41" s="230"/>
      <c r="X41" s="230"/>
      <c r="Y41" s="230"/>
      <c r="Z41" s="230"/>
    </row>
    <row r="42" spans="1:26" ht="15.75" customHeight="1">
      <c r="A42" s="230"/>
      <c r="B42" s="352"/>
      <c r="C42" s="351"/>
      <c r="D42" s="310"/>
      <c r="E42" s="311"/>
      <c r="F42" s="299"/>
      <c r="G42" s="311"/>
      <c r="H42" s="312"/>
      <c r="I42" s="263" t="s">
        <v>682</v>
      </c>
      <c r="J42" s="275"/>
      <c r="K42" s="275"/>
      <c r="L42" s="258"/>
      <c r="M42" s="275"/>
      <c r="N42" s="275"/>
      <c r="O42" s="230"/>
      <c r="P42" s="230"/>
      <c r="Q42" s="230"/>
      <c r="R42" s="230"/>
      <c r="S42" s="230"/>
      <c r="T42" s="230"/>
      <c r="U42" s="230"/>
      <c r="V42" s="230"/>
      <c r="W42" s="230"/>
      <c r="X42" s="230"/>
      <c r="Y42" s="230"/>
      <c r="Z42" s="230"/>
    </row>
    <row r="43" spans="1:26" ht="15.75" customHeight="1">
      <c r="A43" s="230"/>
      <c r="B43" s="352"/>
      <c r="C43" s="351"/>
      <c r="D43" s="310"/>
      <c r="E43" s="311"/>
      <c r="F43" s="299"/>
      <c r="G43" s="311"/>
      <c r="H43" s="312"/>
      <c r="I43" s="263"/>
      <c r="J43" s="275"/>
      <c r="K43" s="275"/>
      <c r="L43" s="258"/>
      <c r="M43" s="275"/>
      <c r="N43" s="275"/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</row>
    <row r="44" spans="1:26" ht="15.75" customHeight="1">
      <c r="A44" s="230"/>
      <c r="B44" s="352"/>
      <c r="C44" s="351"/>
      <c r="D44" s="310"/>
      <c r="E44" s="311"/>
      <c r="F44" s="299"/>
      <c r="G44" s="311"/>
      <c r="H44" s="312"/>
      <c r="I44" s="263"/>
      <c r="J44" s="275"/>
      <c r="K44" s="275"/>
      <c r="L44" s="258"/>
      <c r="M44" s="275"/>
      <c r="N44" s="275"/>
      <c r="O44" s="230"/>
      <c r="P44" s="230"/>
      <c r="Q44" s="230"/>
      <c r="R44" s="230"/>
      <c r="S44" s="230"/>
      <c r="T44" s="230"/>
      <c r="U44" s="230"/>
      <c r="V44" s="230"/>
      <c r="W44" s="230"/>
      <c r="X44" s="230"/>
      <c r="Y44" s="230"/>
      <c r="Z44" s="230"/>
    </row>
    <row r="45" spans="1:26" ht="15.75" customHeight="1" thickBot="1">
      <c r="A45" s="230"/>
      <c r="B45" s="267"/>
      <c r="C45" s="223"/>
      <c r="D45" s="223"/>
      <c r="E45" s="223"/>
      <c r="F45" s="223"/>
      <c r="G45" s="223"/>
      <c r="H45" s="349">
        <f>SUM(H40:H44)</f>
        <v>3.658865949492637</v>
      </c>
      <c r="I45" s="263"/>
      <c r="J45" s="230"/>
      <c r="K45" s="230"/>
      <c r="L45" s="230"/>
      <c r="M45" s="230"/>
      <c r="N45" s="275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</row>
    <row r="46" spans="1:26" ht="15.75" customHeight="1" thickBot="1">
      <c r="A46" s="230"/>
      <c r="B46" s="230"/>
      <c r="C46" s="230"/>
      <c r="D46" s="230"/>
      <c r="E46" s="230"/>
      <c r="F46" s="230"/>
      <c r="G46" s="230"/>
      <c r="H46" s="263"/>
      <c r="I46" s="263"/>
      <c r="J46" s="263"/>
      <c r="K46" s="263"/>
      <c r="L46" s="230"/>
      <c r="M46" s="230"/>
      <c r="N46" s="230"/>
      <c r="O46" s="230"/>
      <c r="P46" s="230"/>
      <c r="Q46" s="230"/>
      <c r="R46" s="230"/>
      <c r="S46" s="230"/>
      <c r="T46" s="230"/>
      <c r="U46" s="230"/>
      <c r="V46" s="230"/>
      <c r="W46" s="230"/>
      <c r="X46" s="230"/>
      <c r="Y46" s="230"/>
      <c r="Z46" s="230"/>
    </row>
    <row r="47" spans="1:26" ht="15.75" customHeight="1" thickBot="1">
      <c r="A47" s="230"/>
      <c r="B47" s="338" t="s">
        <v>628</v>
      </c>
      <c r="C47" s="346"/>
      <c r="D47" s="346"/>
      <c r="E47" s="346"/>
      <c r="F47" s="346"/>
      <c r="G47" s="348"/>
      <c r="H47" s="263"/>
      <c r="I47" s="263"/>
      <c r="J47" s="230"/>
      <c r="K47" s="230"/>
      <c r="L47" s="230"/>
      <c r="M47" s="230"/>
      <c r="N47" s="230"/>
      <c r="O47" s="230"/>
      <c r="P47" s="230"/>
      <c r="Q47" s="230"/>
      <c r="R47" s="230"/>
      <c r="S47" s="230"/>
      <c r="T47" s="230"/>
      <c r="U47" s="230"/>
      <c r="V47" s="230"/>
      <c r="W47" s="230"/>
      <c r="X47" s="230"/>
      <c r="Y47" s="230"/>
      <c r="Z47" s="230"/>
    </row>
    <row r="48" spans="1:26" ht="15.75" customHeight="1">
      <c r="A48" s="230"/>
      <c r="B48" s="274"/>
      <c r="C48" s="273"/>
      <c r="D48" s="273"/>
      <c r="E48" s="435" t="s">
        <v>627</v>
      </c>
      <c r="F48" s="272"/>
      <c r="G48" s="436" t="s">
        <v>626</v>
      </c>
      <c r="H48" s="263"/>
      <c r="I48" s="263"/>
      <c r="J48" s="257"/>
      <c r="K48" s="257"/>
      <c r="L48" s="230"/>
      <c r="M48" s="438"/>
      <c r="N48" s="230"/>
      <c r="O48" s="230"/>
      <c r="P48" s="230"/>
      <c r="Q48" s="230"/>
      <c r="R48" s="230"/>
      <c r="S48" s="230"/>
      <c r="T48" s="230"/>
      <c r="U48" s="230"/>
      <c r="V48" s="230"/>
      <c r="W48" s="230"/>
      <c r="X48" s="230"/>
      <c r="Y48" s="230"/>
      <c r="Z48" s="230"/>
    </row>
    <row r="49" spans="1:26" ht="15.75" customHeight="1">
      <c r="A49" s="230"/>
      <c r="B49" s="271" t="s">
        <v>625</v>
      </c>
      <c r="C49" s="270" t="s">
        <v>172</v>
      </c>
      <c r="D49" s="270" t="s">
        <v>624</v>
      </c>
      <c r="E49" s="427"/>
      <c r="F49" s="269" t="s">
        <v>623</v>
      </c>
      <c r="G49" s="437"/>
      <c r="H49" s="263"/>
      <c r="I49" s="263"/>
      <c r="J49" s="257"/>
      <c r="K49" s="270"/>
      <c r="L49" s="269"/>
      <c r="M49" s="427"/>
      <c r="N49" s="230"/>
      <c r="O49" s="230"/>
      <c r="P49" s="230"/>
      <c r="Q49" s="230"/>
      <c r="R49" s="230"/>
      <c r="S49" s="230"/>
      <c r="T49" s="230"/>
      <c r="U49" s="230"/>
      <c r="V49" s="230"/>
      <c r="W49" s="230"/>
      <c r="X49" s="230"/>
      <c r="Y49" s="230"/>
      <c r="Z49" s="230"/>
    </row>
    <row r="50" spans="1:26" ht="15.75" customHeight="1">
      <c r="A50" s="230"/>
      <c r="B50" s="268"/>
      <c r="C50" s="353"/>
      <c r="D50" s="353"/>
      <c r="E50" s="354"/>
      <c r="F50" s="306"/>
      <c r="G50" s="355"/>
      <c r="H50" s="263"/>
      <c r="I50" s="263"/>
      <c r="J50" s="230"/>
      <c r="K50" s="258"/>
      <c r="L50" s="265"/>
      <c r="M50" s="265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</row>
    <row r="51" spans="1:26" ht="15.75" customHeight="1">
      <c r="A51" s="230"/>
      <c r="B51" s="268"/>
      <c r="C51" s="353"/>
      <c r="D51" s="353"/>
      <c r="E51" s="354"/>
      <c r="F51" s="306"/>
      <c r="G51" s="355"/>
      <c r="H51" s="263"/>
      <c r="I51" s="263"/>
      <c r="J51" s="230"/>
      <c r="K51" s="258"/>
      <c r="L51" s="265"/>
      <c r="M51" s="265"/>
      <c r="N51" s="230"/>
      <c r="O51" s="230"/>
      <c r="P51" s="230"/>
      <c r="Q51" s="230"/>
      <c r="R51" s="230"/>
      <c r="S51" s="230"/>
      <c r="T51" s="230"/>
      <c r="U51" s="230"/>
      <c r="V51" s="230"/>
      <c r="W51" s="230"/>
      <c r="X51" s="230"/>
      <c r="Y51" s="230"/>
      <c r="Z51" s="230"/>
    </row>
    <row r="52" spans="1:26" ht="15.75" customHeight="1">
      <c r="A52" s="230"/>
      <c r="B52" s="268"/>
      <c r="C52" s="353"/>
      <c r="D52" s="353"/>
      <c r="E52" s="354"/>
      <c r="F52" s="356"/>
      <c r="G52" s="355"/>
      <c r="H52" s="263"/>
      <c r="I52" s="263"/>
      <c r="J52" s="230"/>
      <c r="K52" s="258"/>
      <c r="L52" s="265"/>
      <c r="M52" s="265"/>
      <c r="N52" s="230"/>
      <c r="O52" s="230"/>
      <c r="P52" s="230"/>
      <c r="Q52" s="230"/>
      <c r="R52" s="230"/>
      <c r="S52" s="230"/>
      <c r="T52" s="230"/>
      <c r="U52" s="230"/>
      <c r="V52" s="230"/>
      <c r="W52" s="230"/>
      <c r="X52" s="230"/>
      <c r="Y52" s="230"/>
      <c r="Z52" s="230"/>
    </row>
    <row r="53" spans="1:26" ht="15.75" customHeight="1" thickBot="1">
      <c r="A53" s="230"/>
      <c r="B53" s="267"/>
      <c r="C53" s="266"/>
      <c r="D53" s="266"/>
      <c r="E53" s="266"/>
      <c r="F53" s="357"/>
      <c r="G53" s="358"/>
      <c r="H53" s="263"/>
      <c r="I53" s="263"/>
      <c r="J53" s="230"/>
      <c r="K53" s="258"/>
      <c r="L53" s="265"/>
      <c r="M53" s="265"/>
      <c r="N53" s="230"/>
      <c r="O53" s="230"/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0"/>
    </row>
    <row r="54" spans="1:26" ht="15.75" customHeight="1">
      <c r="A54" s="230"/>
      <c r="B54" s="230"/>
      <c r="C54" s="230"/>
      <c r="D54" s="230"/>
      <c r="E54" s="230"/>
      <c r="F54" s="230"/>
      <c r="G54" s="230"/>
      <c r="H54" s="263"/>
      <c r="I54" s="263"/>
      <c r="J54" s="230"/>
      <c r="K54" s="230"/>
      <c r="L54" s="230"/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30"/>
      <c r="X54" s="230"/>
      <c r="Y54" s="230"/>
      <c r="Z54" s="230"/>
    </row>
    <row r="55" spans="1:26" ht="15.75" customHeight="1">
      <c r="A55" s="230"/>
      <c r="B55" s="230"/>
      <c r="C55" s="230"/>
      <c r="D55" s="230"/>
      <c r="E55" s="230"/>
      <c r="F55" s="230"/>
      <c r="G55" s="230"/>
      <c r="H55" s="264" t="s">
        <v>622</v>
      </c>
      <c r="I55" s="264" t="s">
        <v>670</v>
      </c>
      <c r="J55" s="264" t="s">
        <v>670</v>
      </c>
      <c r="K55" s="263"/>
      <c r="L55" s="230"/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30"/>
      <c r="X55" s="230"/>
      <c r="Y55" s="230"/>
      <c r="Z55" s="230"/>
    </row>
    <row r="56" spans="1:26" ht="15.75" customHeight="1">
      <c r="A56" s="230"/>
      <c r="B56" s="230"/>
      <c r="C56" s="230"/>
      <c r="D56" s="230"/>
      <c r="E56" s="230"/>
      <c r="F56" s="230"/>
      <c r="G56" s="29"/>
      <c r="H56" s="264"/>
      <c r="I56" s="264"/>
      <c r="J56" s="264"/>
      <c r="K56" s="263"/>
      <c r="L56" s="262" t="s">
        <v>621</v>
      </c>
      <c r="M56" s="230"/>
      <c r="N56" s="230"/>
      <c r="O56" s="230"/>
      <c r="P56" s="230"/>
      <c r="Q56" s="230"/>
      <c r="R56" s="230"/>
      <c r="S56" s="230"/>
      <c r="T56" s="230"/>
      <c r="U56" s="230"/>
      <c r="V56" s="230"/>
      <c r="W56" s="230"/>
      <c r="X56" s="230"/>
      <c r="Y56" s="230"/>
      <c r="Z56" s="230"/>
    </row>
    <row r="57" spans="1:26" ht="15.75" customHeight="1">
      <c r="A57" s="327" t="s">
        <v>620</v>
      </c>
      <c r="B57" s="327"/>
      <c r="C57" s="327"/>
      <c r="D57" s="327"/>
      <c r="E57" s="327"/>
      <c r="F57" s="327"/>
      <c r="G57" s="327"/>
      <c r="H57" s="362" t="s">
        <v>619</v>
      </c>
      <c r="I57" s="362" t="s">
        <v>618</v>
      </c>
      <c r="J57" s="362" t="s">
        <v>617</v>
      </c>
      <c r="K57" s="362" t="s">
        <v>616</v>
      </c>
      <c r="L57" s="362" t="s">
        <v>615</v>
      </c>
      <c r="M57" s="362" t="s">
        <v>614</v>
      </c>
      <c r="N57" s="362" t="s">
        <v>613</v>
      </c>
      <c r="O57" s="362" t="s">
        <v>612</v>
      </c>
      <c r="P57" s="362" t="s">
        <v>611</v>
      </c>
      <c r="Q57" s="230"/>
      <c r="R57" s="230"/>
      <c r="S57" s="230"/>
      <c r="T57" s="230"/>
      <c r="U57" s="230"/>
      <c r="V57" s="230"/>
      <c r="W57" s="230"/>
      <c r="X57" s="230"/>
      <c r="Y57" s="230"/>
      <c r="Z57" s="230"/>
    </row>
    <row r="58" spans="1:26" ht="15.75" customHeight="1">
      <c r="A58" s="230"/>
      <c r="B58" s="230"/>
      <c r="C58" s="230"/>
      <c r="D58" s="230"/>
      <c r="E58" s="230"/>
      <c r="F58" s="230"/>
      <c r="G58" s="230"/>
      <c r="H58" s="230" t="s">
        <v>610</v>
      </c>
      <c r="I58" s="230"/>
      <c r="J58" s="230"/>
      <c r="K58" s="230"/>
      <c r="L58" s="230"/>
      <c r="M58" s="230"/>
      <c r="N58" s="230"/>
      <c r="O58" s="230"/>
      <c r="P58" s="230"/>
      <c r="Q58" s="230"/>
      <c r="R58" s="230"/>
      <c r="S58" s="230"/>
      <c r="T58" s="230"/>
      <c r="U58" s="230"/>
      <c r="V58" s="230"/>
      <c r="W58" s="230"/>
      <c r="X58" s="230"/>
      <c r="Y58" s="230"/>
      <c r="Z58" s="230"/>
    </row>
    <row r="59" spans="1:26" ht="15.75" customHeight="1">
      <c r="A59" s="230" t="s">
        <v>609</v>
      </c>
      <c r="B59" s="230"/>
      <c r="C59" s="230"/>
      <c r="D59" s="230"/>
      <c r="E59" s="230"/>
      <c r="F59" s="230"/>
      <c r="G59" s="230"/>
      <c r="H59" s="260">
        <f>963713/1000</f>
        <v>963.71299999999997</v>
      </c>
      <c r="I59" s="260">
        <f>736318/1000</f>
        <v>736.31799999999998</v>
      </c>
      <c r="J59" s="230">
        <f>551530/1000</f>
        <v>551.53</v>
      </c>
      <c r="K59" s="359">
        <f>H59+I59-J59</f>
        <v>1148.501</v>
      </c>
      <c r="L59" s="230">
        <v>1185</v>
      </c>
      <c r="M59" s="230">
        <v>1432</v>
      </c>
      <c r="Q59" s="230"/>
      <c r="R59" s="230"/>
      <c r="S59" s="230"/>
      <c r="T59" s="230"/>
      <c r="U59" s="230"/>
      <c r="V59" s="230"/>
      <c r="W59" s="230"/>
      <c r="X59" s="230"/>
      <c r="Y59" s="230"/>
      <c r="Z59" s="230"/>
    </row>
    <row r="60" spans="1:26" ht="5.25" customHeight="1">
      <c r="A60" s="230"/>
      <c r="B60" s="230"/>
      <c r="C60" s="230"/>
      <c r="D60" s="230"/>
      <c r="E60" s="230"/>
      <c r="F60" s="230"/>
      <c r="G60" s="230"/>
      <c r="H60" s="258"/>
      <c r="I60" s="258"/>
      <c r="J60" s="258"/>
      <c r="K60" s="293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0"/>
    </row>
    <row r="61" spans="1:26" ht="15.75" customHeight="1">
      <c r="A61" s="230" t="s">
        <v>608</v>
      </c>
      <c r="B61" s="230"/>
      <c r="C61" s="230"/>
      <c r="D61" s="230"/>
      <c r="E61" s="230"/>
      <c r="F61" s="230"/>
      <c r="G61" s="230"/>
      <c r="H61" s="260">
        <f>43118/1000</f>
        <v>43.118000000000002</v>
      </c>
      <c r="I61" s="260">
        <f>39165/1000</f>
        <v>39.164999999999999</v>
      </c>
      <c r="J61" s="260">
        <f>6305/1000</f>
        <v>6.3049999999999997</v>
      </c>
      <c r="K61" s="359">
        <f>H61+I61-J61</f>
        <v>75.978000000000009</v>
      </c>
      <c r="L61" s="230">
        <v>60.76</v>
      </c>
      <c r="M61" s="230">
        <v>84.51</v>
      </c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0"/>
    </row>
    <row r="62" spans="1:26" ht="15.75" customHeight="1">
      <c r="A62" s="230" t="s">
        <v>607</v>
      </c>
      <c r="B62" s="259"/>
      <c r="C62" s="259"/>
      <c r="D62" s="259"/>
      <c r="E62" s="259"/>
      <c r="F62" s="259"/>
      <c r="G62" s="259"/>
      <c r="H62" s="299">
        <v>0</v>
      </c>
      <c r="I62" s="299">
        <v>0</v>
      </c>
      <c r="J62" s="299">
        <v>0</v>
      </c>
      <c r="K62" s="294"/>
      <c r="L62" s="259"/>
      <c r="M62" s="259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</row>
    <row r="63" spans="1:26" ht="15.75" customHeight="1">
      <c r="A63" s="256" t="s">
        <v>606</v>
      </c>
      <c r="B63" s="259"/>
      <c r="C63" s="259"/>
      <c r="D63" s="259"/>
      <c r="E63" s="259"/>
      <c r="F63" s="259"/>
      <c r="G63" s="259"/>
      <c r="H63" s="359">
        <f>H61-H62</f>
        <v>43.118000000000002</v>
      </c>
      <c r="I63" s="359">
        <f>I61-I62</f>
        <v>39.164999999999999</v>
      </c>
      <c r="J63" s="359">
        <f>J61-J62</f>
        <v>6.3049999999999997</v>
      </c>
      <c r="K63" s="359">
        <f>H63+I63-J63</f>
        <v>75.978000000000009</v>
      </c>
      <c r="L63" s="293">
        <f>L61</f>
        <v>60.76</v>
      </c>
      <c r="M63" s="293">
        <f>M61</f>
        <v>84.51</v>
      </c>
      <c r="N63" s="258"/>
      <c r="O63" s="258"/>
      <c r="P63" s="258"/>
      <c r="Q63" s="259"/>
      <c r="R63" s="259"/>
      <c r="S63" s="259"/>
      <c r="T63" s="259"/>
      <c r="U63" s="259"/>
      <c r="V63" s="259"/>
      <c r="W63" s="259"/>
      <c r="X63" s="259"/>
      <c r="Y63" s="259"/>
      <c r="Z63" s="259"/>
    </row>
    <row r="64" spans="1:26" ht="15.75" customHeight="1">
      <c r="A64" s="230" t="s">
        <v>605</v>
      </c>
      <c r="B64" s="230"/>
      <c r="C64" s="230"/>
      <c r="D64" s="230"/>
      <c r="E64" s="230"/>
      <c r="F64" s="230"/>
      <c r="G64" s="230"/>
      <c r="H64" s="260">
        <f>60355/1000</f>
        <v>60.354999999999997</v>
      </c>
      <c r="I64" s="260">
        <f>45380/1000</f>
        <v>45.38</v>
      </c>
      <c r="J64" s="260">
        <f>(35096+27)/1000</f>
        <v>35.122999999999998</v>
      </c>
      <c r="K64" s="293"/>
      <c r="L64" s="293">
        <f>L65-L63</f>
        <v>97.94</v>
      </c>
      <c r="M64" s="293">
        <f>M65-M63</f>
        <v>116.79</v>
      </c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0"/>
    </row>
    <row r="65" spans="1:26" ht="15.75" customHeight="1">
      <c r="A65" s="259" t="s">
        <v>604</v>
      </c>
      <c r="B65" s="259"/>
      <c r="C65" s="259"/>
      <c r="D65" s="259"/>
      <c r="E65" s="259"/>
      <c r="F65" s="259"/>
      <c r="G65" s="259"/>
      <c r="H65" s="359">
        <f>126248/1000</f>
        <v>126.248</v>
      </c>
      <c r="I65" s="359">
        <f>101144/1000</f>
        <v>101.14400000000001</v>
      </c>
      <c r="J65" s="359">
        <f>58135/1000</f>
        <v>58.134999999999998</v>
      </c>
      <c r="K65" s="359">
        <f>H65+I65-J65</f>
        <v>169.25700000000001</v>
      </c>
      <c r="L65" s="293">
        <v>158.69999999999999</v>
      </c>
      <c r="M65" s="293">
        <v>201.3</v>
      </c>
      <c r="N65" s="258"/>
      <c r="O65" s="258"/>
      <c r="P65" s="258"/>
      <c r="Q65" s="259"/>
      <c r="R65" s="259"/>
      <c r="S65" s="259"/>
      <c r="T65" s="259"/>
      <c r="U65" s="259"/>
      <c r="V65" s="259"/>
      <c r="W65" s="259"/>
      <c r="X65" s="259"/>
      <c r="Y65" s="259"/>
      <c r="Z65" s="259"/>
    </row>
    <row r="66" spans="1:26" ht="6" customHeight="1">
      <c r="A66" s="230"/>
      <c r="B66" s="230"/>
      <c r="C66" s="230"/>
      <c r="D66" s="230"/>
      <c r="E66" s="230"/>
      <c r="F66" s="230"/>
      <c r="G66" s="230"/>
      <c r="H66" s="258"/>
      <c r="I66" s="258"/>
      <c r="J66" s="258"/>
      <c r="K66" s="293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</row>
    <row r="67" spans="1:26" ht="15.75" customHeight="1">
      <c r="A67" s="230" t="s">
        <v>603</v>
      </c>
      <c r="B67" s="230"/>
      <c r="C67" s="230"/>
      <c r="D67" s="230"/>
      <c r="E67" s="230"/>
      <c r="F67" s="230"/>
      <c r="G67" s="230"/>
      <c r="H67" s="260">
        <f>130319/1000</f>
        <v>130.31899999999999</v>
      </c>
      <c r="I67" s="260">
        <f>51700/1000</f>
        <v>51.7</v>
      </c>
      <c r="J67" s="260">
        <f>11231/1000</f>
        <v>11.231</v>
      </c>
      <c r="K67" s="359">
        <f>H67+I67-J67</f>
        <v>170.78800000000001</v>
      </c>
      <c r="L67" s="230">
        <v>63.12</v>
      </c>
      <c r="M67" s="230">
        <v>82.39</v>
      </c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</row>
    <row r="68" spans="1:26" ht="15.75" customHeight="1">
      <c r="A68" s="230" t="s">
        <v>602</v>
      </c>
      <c r="B68" s="230"/>
      <c r="C68" s="230"/>
      <c r="D68" s="230"/>
      <c r="E68" s="230"/>
      <c r="F68" s="230"/>
      <c r="G68" s="230"/>
      <c r="H68" s="299">
        <f>H62</f>
        <v>0</v>
      </c>
      <c r="I68" s="299">
        <f>I62</f>
        <v>0</v>
      </c>
      <c r="J68" s="299">
        <f>J62</f>
        <v>0</v>
      </c>
      <c r="K68" s="293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</row>
    <row r="69" spans="1:26" ht="15.75" customHeight="1">
      <c r="A69" s="230" t="s">
        <v>601</v>
      </c>
      <c r="B69" s="230"/>
      <c r="C69" s="230"/>
      <c r="D69" s="230"/>
      <c r="E69" s="230"/>
      <c r="F69" s="230"/>
      <c r="G69" s="230"/>
      <c r="H69" s="299">
        <v>0</v>
      </c>
      <c r="I69" s="299">
        <v>0</v>
      </c>
      <c r="J69" s="299">
        <v>0</v>
      </c>
      <c r="K69" s="293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0"/>
    </row>
    <row r="70" spans="1:26" ht="15.75" customHeight="1">
      <c r="A70" s="230" t="s">
        <v>600</v>
      </c>
      <c r="B70" s="230"/>
      <c r="C70" s="230"/>
      <c r="D70" s="230"/>
      <c r="E70" s="230"/>
      <c r="F70" s="230"/>
      <c r="G70" s="230"/>
      <c r="H70" s="299">
        <f>-(H68+H69)*F11</f>
        <v>0</v>
      </c>
      <c r="I70" s="299">
        <f>-(I68+I69)*F11</f>
        <v>0</v>
      </c>
      <c r="J70" s="299">
        <f>-(J68+J69)*F11</f>
        <v>0</v>
      </c>
      <c r="K70" s="293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</row>
    <row r="71" spans="1:26" ht="15.75" customHeight="1">
      <c r="A71" s="230" t="s">
        <v>599</v>
      </c>
      <c r="B71" s="230"/>
      <c r="C71" s="230"/>
      <c r="D71" s="230"/>
      <c r="E71" s="230"/>
      <c r="F71" s="230"/>
      <c r="G71" s="230"/>
      <c r="H71" s="342">
        <f>-80100/1000</f>
        <v>-80.099999999999994</v>
      </c>
      <c r="I71" s="299">
        <v>0</v>
      </c>
      <c r="J71" s="299">
        <v>0</v>
      </c>
      <c r="K71" s="293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</row>
    <row r="72" spans="1:26" ht="15.75" customHeight="1">
      <c r="A72" s="259" t="s">
        <v>598</v>
      </c>
      <c r="B72" s="230"/>
      <c r="C72" s="230"/>
      <c r="D72" s="230"/>
      <c r="E72" s="230"/>
      <c r="F72" s="230"/>
      <c r="G72" s="230"/>
      <c r="H72" s="359">
        <f>H67+H68+H69+H70+H71</f>
        <v>50.218999999999994</v>
      </c>
      <c r="I72" s="359">
        <f>I67+I68+I69+I70</f>
        <v>51.7</v>
      </c>
      <c r="J72" s="359">
        <f>J67+J68+J69+J70</f>
        <v>11.231</v>
      </c>
      <c r="K72" s="359">
        <f>H72+I72-J72</f>
        <v>90.688000000000002</v>
      </c>
      <c r="L72" s="230">
        <f>L67</f>
        <v>63.12</v>
      </c>
      <c r="M72" s="230">
        <f>M67</f>
        <v>82.39</v>
      </c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0"/>
    </row>
    <row r="73" spans="1:26" ht="15.75" customHeight="1">
      <c r="A73" s="230" t="s">
        <v>597</v>
      </c>
      <c r="B73" s="230"/>
      <c r="C73" s="230"/>
      <c r="D73" s="230"/>
      <c r="E73" s="230"/>
      <c r="F73" s="230"/>
      <c r="G73" s="230"/>
      <c r="H73" s="299">
        <v>0</v>
      </c>
      <c r="I73" s="299">
        <v>0</v>
      </c>
      <c r="J73" s="299">
        <v>0</v>
      </c>
      <c r="K73" s="293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0"/>
    </row>
    <row r="74" spans="1:26" ht="15.75" customHeight="1">
      <c r="A74" s="259" t="s">
        <v>596</v>
      </c>
      <c r="B74" s="259"/>
      <c r="C74" s="259"/>
      <c r="D74" s="259"/>
      <c r="E74" s="259"/>
      <c r="F74" s="259"/>
      <c r="G74" s="259"/>
      <c r="H74" s="359">
        <f>H72-H73</f>
        <v>50.218999999999994</v>
      </c>
      <c r="I74" s="359">
        <f>I72-I73</f>
        <v>51.7</v>
      </c>
      <c r="J74" s="359">
        <f>J72-J73</f>
        <v>11.231</v>
      </c>
      <c r="K74" s="359">
        <f>H74+I74-J74</f>
        <v>90.688000000000002</v>
      </c>
      <c r="L74" s="230">
        <f>L67</f>
        <v>63.12</v>
      </c>
      <c r="M74" s="230">
        <f>M67</f>
        <v>82.39</v>
      </c>
      <c r="N74" s="258"/>
      <c r="O74" s="258"/>
      <c r="P74" s="258"/>
      <c r="Q74" s="259"/>
      <c r="R74" s="259"/>
      <c r="S74" s="259"/>
      <c r="T74" s="259"/>
      <c r="U74" s="259"/>
      <c r="V74" s="259"/>
      <c r="W74" s="259"/>
      <c r="X74" s="259"/>
      <c r="Y74" s="259"/>
      <c r="Z74" s="259"/>
    </row>
    <row r="75" spans="1:26" ht="15.75" customHeight="1">
      <c r="A75" s="230"/>
      <c r="B75" s="230"/>
      <c r="C75" s="230"/>
      <c r="D75" s="230"/>
      <c r="E75" s="230"/>
      <c r="F75" s="230"/>
      <c r="G75" s="230"/>
      <c r="H75" s="258"/>
      <c r="I75" s="258"/>
      <c r="J75" s="258"/>
      <c r="K75" s="293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</row>
    <row r="76" spans="1:26" ht="15.75" customHeight="1">
      <c r="A76" s="230" t="s">
        <v>595</v>
      </c>
      <c r="B76" s="230"/>
      <c r="C76" s="230"/>
      <c r="D76" s="230"/>
      <c r="E76" s="230"/>
      <c r="F76" s="230"/>
      <c r="G76" s="230"/>
      <c r="H76" s="342">
        <f>118273/1000</f>
        <v>118.273</v>
      </c>
      <c r="I76" s="342">
        <f>118191/1000</f>
        <v>118.191</v>
      </c>
      <c r="J76" s="342">
        <f>45966/1000</f>
        <v>45.966000000000001</v>
      </c>
      <c r="K76" s="293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0"/>
    </row>
    <row r="77" spans="1:26" ht="15.75" customHeight="1">
      <c r="A77" s="230" t="s">
        <v>594</v>
      </c>
      <c r="B77" s="230"/>
      <c r="C77" s="230"/>
      <c r="D77" s="230"/>
      <c r="E77" s="230"/>
      <c r="F77" s="230"/>
      <c r="G77" s="230"/>
      <c r="H77" s="361">
        <f>H74/H76</f>
        <v>0.42460240291528917</v>
      </c>
      <c r="I77" s="361">
        <f>I74/I76</f>
        <v>0.4374275537054429</v>
      </c>
      <c r="J77" s="361">
        <f>J74/J76</f>
        <v>0.24433276769786363</v>
      </c>
      <c r="K77" s="359">
        <f>H77+I77-J77</f>
        <v>0.61769718892286851</v>
      </c>
      <c r="L77" s="230">
        <v>0.52</v>
      </c>
      <c r="M77" s="230">
        <v>0.69</v>
      </c>
      <c r="N77" s="230"/>
      <c r="O77" s="230"/>
      <c r="P77" s="230"/>
      <c r="Q77" s="230"/>
      <c r="R77" s="230"/>
      <c r="S77" s="230"/>
      <c r="T77" s="230"/>
      <c r="U77" s="230"/>
      <c r="V77" s="230"/>
      <c r="W77" s="230"/>
      <c r="X77" s="230"/>
      <c r="Y77" s="230"/>
      <c r="Z77" s="230"/>
    </row>
    <row r="78" spans="1:26" ht="15.75" customHeight="1">
      <c r="A78" s="230"/>
      <c r="B78" s="230"/>
      <c r="C78" s="230"/>
      <c r="D78" s="230"/>
      <c r="E78" s="230"/>
      <c r="F78" s="230"/>
      <c r="G78" s="230"/>
      <c r="H78" s="258"/>
      <c r="I78" s="258"/>
      <c r="J78" s="258"/>
      <c r="K78" s="258"/>
      <c r="L78" s="230"/>
      <c r="M78" s="230"/>
      <c r="N78" s="230"/>
      <c r="O78" s="230"/>
      <c r="P78" s="230"/>
      <c r="Q78" s="230"/>
      <c r="R78" s="230"/>
      <c r="S78" s="230"/>
      <c r="T78" s="230"/>
      <c r="U78" s="230"/>
      <c r="V78" s="230"/>
      <c r="W78" s="230"/>
      <c r="X78" s="230"/>
      <c r="Y78" s="230"/>
      <c r="Z78" s="230"/>
    </row>
    <row r="79" spans="1:26" ht="15.75" customHeight="1">
      <c r="A79" s="230"/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0"/>
      <c r="S79" s="230"/>
      <c r="T79" s="230"/>
      <c r="U79" s="230"/>
      <c r="V79" s="230"/>
      <c r="W79" s="230"/>
      <c r="X79" s="230"/>
      <c r="Y79" s="230"/>
      <c r="Z79" s="230"/>
    </row>
    <row r="80" spans="1:26" ht="15.75" customHeight="1">
      <c r="A80" s="230"/>
      <c r="B80" s="23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0"/>
      <c r="S80" s="230"/>
      <c r="T80" s="230"/>
      <c r="U80" s="230"/>
      <c r="V80" s="230"/>
      <c r="W80" s="230"/>
      <c r="X80" s="230"/>
      <c r="Y80" s="230"/>
      <c r="Z80" s="230"/>
    </row>
    <row r="81" spans="1:26" ht="15.75" customHeight="1">
      <c r="A81" s="230"/>
      <c r="B81" s="256" t="s">
        <v>593</v>
      </c>
      <c r="C81" s="230"/>
      <c r="D81" s="230"/>
      <c r="E81" s="230"/>
      <c r="F81" s="230"/>
      <c r="G81" s="230"/>
      <c r="H81" s="230"/>
      <c r="I81" s="230"/>
      <c r="J81" s="230"/>
      <c r="K81" s="230"/>
      <c r="L81" s="257"/>
      <c r="M81" s="230"/>
      <c r="N81" s="230"/>
      <c r="O81" s="230"/>
      <c r="P81" s="230"/>
      <c r="Q81" s="230"/>
      <c r="R81" s="230"/>
      <c r="S81" s="230"/>
      <c r="T81" s="230"/>
      <c r="U81" s="230"/>
      <c r="V81" s="230"/>
      <c r="W81" s="230"/>
      <c r="X81" s="230"/>
      <c r="Y81" s="230"/>
      <c r="Z81" s="230"/>
    </row>
    <row r="82" spans="1:26" ht="15.75" customHeight="1">
      <c r="A82" s="230"/>
      <c r="B82" s="256" t="s">
        <v>681</v>
      </c>
      <c r="C82" s="230"/>
      <c r="D82" s="230"/>
      <c r="E82" s="230"/>
      <c r="F82" s="230"/>
      <c r="G82" s="230"/>
      <c r="H82" s="230"/>
      <c r="I82" s="230"/>
      <c r="J82" s="230"/>
      <c r="K82" s="230"/>
      <c r="L82" s="257"/>
      <c r="M82" s="230"/>
      <c r="N82" s="230"/>
      <c r="O82" s="230"/>
      <c r="P82" s="230"/>
      <c r="Q82" s="230"/>
      <c r="R82" s="230"/>
      <c r="S82" s="230"/>
      <c r="T82" s="230"/>
      <c r="U82" s="230"/>
      <c r="V82" s="230"/>
      <c r="W82" s="230"/>
      <c r="X82" s="230"/>
      <c r="Y82" s="230"/>
      <c r="Z82" s="230"/>
    </row>
    <row r="83" spans="1:26" ht="15.75" customHeight="1">
      <c r="A83" s="230"/>
      <c r="B83" s="256" t="s">
        <v>680</v>
      </c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0"/>
      <c r="P83" s="230"/>
      <c r="Q83" s="230"/>
      <c r="R83" s="230"/>
      <c r="S83" s="230"/>
      <c r="T83" s="230"/>
      <c r="U83" s="230"/>
      <c r="V83" s="230"/>
      <c r="W83" s="230"/>
      <c r="X83" s="230"/>
      <c r="Y83" s="230"/>
      <c r="Z83" s="230"/>
    </row>
    <row r="84" spans="1:26" ht="15.75" customHeight="1">
      <c r="A84" s="230"/>
      <c r="B84" s="256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V84" s="230"/>
      <c r="W84" s="230"/>
      <c r="X84" s="230"/>
      <c r="Y84" s="230"/>
      <c r="Z84" s="230"/>
    </row>
    <row r="85" spans="1:26" ht="15.75" customHeight="1">
      <c r="A85" s="230"/>
      <c r="B85" s="256" t="s">
        <v>679</v>
      </c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0"/>
      <c r="S85" s="230"/>
      <c r="T85" s="230"/>
      <c r="U85" s="230"/>
      <c r="V85" s="230"/>
      <c r="W85" s="230"/>
      <c r="X85" s="230"/>
      <c r="Y85" s="230"/>
      <c r="Z85" s="230"/>
    </row>
    <row r="86" spans="1:26" ht="15.75" customHeight="1">
      <c r="A86" s="230"/>
      <c r="B86" s="256" t="s">
        <v>678</v>
      </c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0"/>
      <c r="P86" s="230"/>
      <c r="Q86" s="230"/>
      <c r="R86" s="230"/>
      <c r="S86" s="230"/>
      <c r="T86" s="230"/>
      <c r="U86" s="230"/>
      <c r="V86" s="230"/>
      <c r="W86" s="230"/>
      <c r="X86" s="230"/>
      <c r="Y86" s="230"/>
      <c r="Z86" s="230"/>
    </row>
    <row r="87" spans="1:26" ht="15.75" customHeight="1">
      <c r="A87" s="230"/>
      <c r="B87" s="256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230"/>
      <c r="P87" s="230"/>
      <c r="Q87" s="230"/>
      <c r="R87" s="230"/>
      <c r="S87" s="230"/>
      <c r="T87" s="230"/>
      <c r="U87" s="230"/>
      <c r="V87" s="230"/>
      <c r="W87" s="230"/>
      <c r="X87" s="230"/>
      <c r="Y87" s="230"/>
      <c r="Z87" s="230"/>
    </row>
    <row r="88" spans="1:26" ht="15.75" customHeight="1">
      <c r="A88" s="230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0"/>
      <c r="S88" s="230"/>
      <c r="T88" s="230"/>
      <c r="U88" s="230"/>
      <c r="V88" s="230"/>
      <c r="W88" s="230"/>
      <c r="X88" s="230"/>
      <c r="Y88" s="230"/>
      <c r="Z88" s="230"/>
    </row>
    <row r="89" spans="1:26" ht="15.75" customHeight="1">
      <c r="A89" s="230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</row>
    <row r="90" spans="1:26" ht="15.75" customHeight="1">
      <c r="A90" s="230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</row>
    <row r="91" spans="1:26" ht="15.75" customHeight="1">
      <c r="A91" s="230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30"/>
      <c r="W91" s="230"/>
      <c r="X91" s="230"/>
      <c r="Y91" s="230"/>
      <c r="Z91" s="230"/>
    </row>
    <row r="92" spans="1:26" ht="15.75" customHeight="1">
      <c r="A92" s="230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</row>
    <row r="93" spans="1:26" ht="15.75" customHeight="1">
      <c r="A93" s="230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</row>
    <row r="94" spans="1:26" ht="15.75" customHeight="1">
      <c r="A94" s="230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</row>
    <row r="95" spans="1:26" ht="15.75" customHeight="1">
      <c r="A95" s="230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</row>
    <row r="96" spans="1:26" ht="15.75" customHeight="1">
      <c r="A96" s="230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</row>
    <row r="97" spans="1:26" ht="15.75" customHeight="1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</row>
    <row r="98" spans="1:26" ht="15.75" customHeight="1">
      <c r="A98" s="230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</row>
    <row r="99" spans="1:26" ht="15.75" customHeight="1">
      <c r="A99" s="230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0"/>
      <c r="Y99" s="230"/>
      <c r="Z99" s="230"/>
    </row>
    <row r="100" spans="1:26" ht="15.75" customHeight="1">
      <c r="A100" s="230"/>
      <c r="B100" s="230"/>
      <c r="C100" s="230"/>
      <c r="D100" s="230"/>
      <c r="E100" s="230"/>
      <c r="F100" s="230"/>
      <c r="G100" s="230" t="s">
        <v>589</v>
      </c>
      <c r="H100" s="230"/>
      <c r="I100" s="230"/>
      <c r="J100" s="230" t="s">
        <v>588</v>
      </c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</row>
    <row r="101" spans="1:26" ht="15.75" customHeight="1">
      <c r="A101" s="230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0"/>
      <c r="P101" s="230"/>
      <c r="Q101" s="230"/>
      <c r="R101" s="230"/>
      <c r="S101" s="230"/>
      <c r="T101" s="230"/>
      <c r="U101" s="230"/>
      <c r="V101" s="230"/>
      <c r="W101" s="230"/>
      <c r="X101" s="230"/>
      <c r="Y101" s="230"/>
      <c r="Z101" s="230"/>
    </row>
    <row r="102" spans="1:26" ht="15.75" customHeight="1">
      <c r="A102" s="230"/>
      <c r="B102" s="230"/>
      <c r="C102" s="230"/>
      <c r="D102" s="230"/>
      <c r="E102" s="230"/>
      <c r="F102" s="230"/>
      <c r="G102" s="230" t="s">
        <v>587</v>
      </c>
      <c r="H102" s="230">
        <v>180</v>
      </c>
      <c r="I102" s="230"/>
      <c r="J102" s="230" t="s">
        <v>586</v>
      </c>
      <c r="K102" s="230">
        <v>200</v>
      </c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</row>
    <row r="103" spans="1:26" ht="15.75" customHeight="1">
      <c r="A103" s="230"/>
      <c r="B103" s="230"/>
      <c r="C103" s="230"/>
      <c r="D103" s="230"/>
      <c r="E103" s="230"/>
      <c r="F103" s="230"/>
      <c r="G103" s="230" t="s">
        <v>585</v>
      </c>
      <c r="H103" s="230">
        <v>0</v>
      </c>
      <c r="I103" s="230"/>
      <c r="J103" s="230" t="s">
        <v>584</v>
      </c>
      <c r="K103" s="230">
        <v>0</v>
      </c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</row>
    <row r="104" spans="1:26" ht="15.75" customHeight="1">
      <c r="A104" s="230"/>
      <c r="B104" s="230"/>
      <c r="C104" s="230"/>
      <c r="D104" s="230"/>
      <c r="E104" s="230"/>
      <c r="F104" s="230"/>
      <c r="G104" s="230" t="s">
        <v>583</v>
      </c>
      <c r="H104" s="230">
        <v>180</v>
      </c>
      <c r="I104" s="230"/>
      <c r="J104" s="230" t="s">
        <v>582</v>
      </c>
      <c r="K104" s="230">
        <v>200</v>
      </c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</row>
    <row r="105" spans="1:26" ht="15.75" customHeight="1">
      <c r="A105" s="230"/>
      <c r="B105" s="230"/>
      <c r="C105" s="230"/>
      <c r="D105" s="230"/>
      <c r="E105" s="230"/>
      <c r="F105" s="230"/>
      <c r="G105" s="230" t="s">
        <v>581</v>
      </c>
      <c r="H105" s="230">
        <v>80</v>
      </c>
      <c r="I105" s="230"/>
      <c r="J105" s="230" t="s">
        <v>581</v>
      </c>
      <c r="K105" s="230">
        <v>86</v>
      </c>
      <c r="L105" s="230"/>
      <c r="M105" s="230"/>
      <c r="N105" s="230"/>
      <c r="O105" s="230"/>
      <c r="P105" s="230"/>
      <c r="Q105" s="230"/>
      <c r="R105" s="230"/>
      <c r="S105" s="230"/>
      <c r="T105" s="230"/>
      <c r="U105" s="230"/>
      <c r="V105" s="230"/>
      <c r="W105" s="230"/>
      <c r="X105" s="230"/>
      <c r="Y105" s="230"/>
      <c r="Z105" s="230"/>
    </row>
    <row r="106" spans="1:26" ht="15.75" customHeight="1">
      <c r="A106" s="230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</row>
    <row r="107" spans="1:26" ht="15.75" customHeight="1">
      <c r="A107" s="230"/>
      <c r="B107" s="230"/>
      <c r="C107" s="230"/>
      <c r="D107" s="230"/>
      <c r="E107" s="230"/>
      <c r="F107" s="230"/>
      <c r="G107" s="230" t="s">
        <v>580</v>
      </c>
      <c r="H107" s="230">
        <v>100</v>
      </c>
      <c r="I107" s="230"/>
      <c r="J107" s="230" t="s">
        <v>579</v>
      </c>
      <c r="K107" s="230">
        <v>114</v>
      </c>
      <c r="L107" s="230"/>
      <c r="M107" s="230"/>
      <c r="N107" s="230"/>
      <c r="O107" s="230"/>
      <c r="P107" s="230"/>
      <c r="Q107" s="230"/>
      <c r="R107" s="230"/>
      <c r="S107" s="230"/>
      <c r="T107" s="230"/>
      <c r="U107" s="230"/>
      <c r="V107" s="230"/>
      <c r="W107" s="230"/>
      <c r="X107" s="230"/>
      <c r="Y107" s="230"/>
      <c r="Z107" s="230"/>
    </row>
    <row r="108" spans="1:26" ht="15.75" customHeight="1">
      <c r="A108" s="230"/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0"/>
      <c r="X108" s="230"/>
      <c r="Y108" s="230"/>
      <c r="Z108" s="230"/>
    </row>
    <row r="109" spans="1:26" ht="15.75" customHeight="1">
      <c r="A109" s="230"/>
      <c r="B109" s="230"/>
      <c r="C109" s="230"/>
      <c r="D109" s="230"/>
      <c r="E109" s="230"/>
      <c r="F109" s="230"/>
      <c r="G109" s="230"/>
      <c r="H109" s="230"/>
      <c r="I109" s="230"/>
      <c r="J109" s="230" t="s">
        <v>578</v>
      </c>
      <c r="K109" s="230">
        <v>14</v>
      </c>
      <c r="L109" s="230" t="s">
        <v>577</v>
      </c>
      <c r="M109" s="230"/>
      <c r="N109" s="230"/>
      <c r="O109" s="230"/>
      <c r="P109" s="230"/>
      <c r="Q109" s="230"/>
      <c r="R109" s="230"/>
      <c r="S109" s="230"/>
      <c r="T109" s="230"/>
      <c r="U109" s="230"/>
      <c r="V109" s="230"/>
      <c r="W109" s="230"/>
      <c r="X109" s="230"/>
      <c r="Y109" s="230"/>
      <c r="Z109" s="230"/>
    </row>
    <row r="110" spans="1:26" ht="15.75" customHeight="1">
      <c r="A110" s="230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</row>
    <row r="111" spans="1:26" ht="15.75" customHeight="1">
      <c r="A111" s="230"/>
      <c r="B111" s="230"/>
      <c r="C111" s="230"/>
      <c r="D111" s="230"/>
      <c r="E111" s="230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</row>
    <row r="112" spans="1:26" ht="15.75" customHeight="1">
      <c r="A112" s="230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0"/>
      <c r="X112" s="230"/>
      <c r="Y112" s="230"/>
      <c r="Z112" s="230"/>
    </row>
    <row r="113" spans="1:26" ht="15.75" customHeight="1">
      <c r="A113" s="230"/>
      <c r="B113" s="230"/>
      <c r="C113" s="230"/>
      <c r="D113" s="230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0"/>
      <c r="S113" s="230"/>
      <c r="T113" s="230"/>
      <c r="U113" s="230"/>
      <c r="V113" s="230"/>
      <c r="W113" s="230"/>
      <c r="X113" s="230"/>
      <c r="Y113" s="230"/>
      <c r="Z113" s="230"/>
    </row>
    <row r="114" spans="1:26" ht="15.75" customHeight="1">
      <c r="A114" s="230"/>
      <c r="B114" s="230"/>
      <c r="C114" s="230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</row>
    <row r="115" spans="1:26" ht="15.75" customHeight="1">
      <c r="A115" s="230"/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</row>
    <row r="116" spans="1:26" ht="15.75" customHeight="1">
      <c r="A116" s="230"/>
      <c r="B116" s="230"/>
      <c r="C116" s="230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</row>
    <row r="117" spans="1:26" ht="15.75" customHeight="1">
      <c r="A117" s="230"/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</row>
    <row r="118" spans="1:26" ht="15.75" customHeight="1">
      <c r="A118" s="230"/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</row>
    <row r="119" spans="1:26" ht="15.75" customHeight="1">
      <c r="A119" s="230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</row>
    <row r="120" spans="1:26" ht="15.75" customHeight="1">
      <c r="A120" s="230"/>
      <c r="B120" s="230"/>
      <c r="C120" s="230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</row>
    <row r="121" spans="1:26" ht="15.75" customHeight="1">
      <c r="A121" s="230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</row>
    <row r="122" spans="1:26" ht="15.75" customHeight="1">
      <c r="A122" s="230"/>
      <c r="B122" s="230"/>
      <c r="C122" s="230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</row>
    <row r="123" spans="1:26" ht="15.75" customHeight="1">
      <c r="A123" s="230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0"/>
      <c r="P123" s="230"/>
      <c r="Q123" s="230"/>
      <c r="R123" s="230"/>
      <c r="S123" s="230"/>
      <c r="T123" s="230"/>
      <c r="U123" s="230"/>
      <c r="V123" s="230"/>
      <c r="W123" s="230"/>
      <c r="X123" s="230"/>
      <c r="Y123" s="230"/>
      <c r="Z123" s="230"/>
    </row>
    <row r="124" spans="1:26" ht="15.75" customHeight="1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</row>
    <row r="125" spans="1:26" ht="15.75" customHeight="1">
      <c r="A125" s="230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</row>
    <row r="126" spans="1:26" ht="15.75" customHeight="1">
      <c r="A126" s="230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0"/>
      <c r="S126" s="230"/>
      <c r="T126" s="230"/>
      <c r="U126" s="230"/>
      <c r="V126" s="230"/>
      <c r="W126" s="230"/>
      <c r="X126" s="230"/>
      <c r="Y126" s="230"/>
      <c r="Z126" s="230"/>
    </row>
    <row r="127" spans="1:26" ht="15.75" customHeight="1">
      <c r="A127" s="230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0"/>
      <c r="W127" s="230"/>
      <c r="X127" s="230"/>
      <c r="Y127" s="230"/>
      <c r="Z127" s="230"/>
    </row>
    <row r="128" spans="1:26" ht="15.75" customHeight="1">
      <c r="A128" s="230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0"/>
      <c r="S128" s="230"/>
      <c r="T128" s="230"/>
      <c r="U128" s="230"/>
      <c r="V128" s="230"/>
      <c r="W128" s="230"/>
      <c r="X128" s="230"/>
      <c r="Y128" s="230"/>
      <c r="Z128" s="230"/>
    </row>
    <row r="129" spans="1:26" ht="15.75" customHeight="1">
      <c r="A129" s="230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0"/>
      <c r="V129" s="230"/>
      <c r="W129" s="230"/>
      <c r="X129" s="230"/>
      <c r="Y129" s="230"/>
      <c r="Z129" s="230"/>
    </row>
    <row r="130" spans="1:26" ht="15.75" customHeight="1">
      <c r="A130" s="230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0"/>
      <c r="S130" s="230"/>
      <c r="T130" s="230"/>
      <c r="U130" s="230"/>
      <c r="V130" s="230"/>
      <c r="W130" s="230"/>
      <c r="X130" s="230"/>
      <c r="Y130" s="230"/>
      <c r="Z130" s="230"/>
    </row>
    <row r="131" spans="1:26" ht="15.75" customHeight="1">
      <c r="A131" s="230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V131" s="230"/>
      <c r="W131" s="230"/>
      <c r="X131" s="230"/>
      <c r="Y131" s="230"/>
      <c r="Z131" s="230"/>
    </row>
    <row r="132" spans="1:26" ht="15.75" customHeight="1">
      <c r="A132" s="230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</row>
    <row r="133" spans="1:26" ht="15.75" customHeight="1">
      <c r="A133" s="230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</row>
    <row r="134" spans="1:26" ht="15.75" customHeight="1">
      <c r="A134" s="230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</row>
    <row r="135" spans="1:26" ht="15.75" customHeight="1">
      <c r="A135" s="230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</row>
    <row r="136" spans="1:26" ht="15.75" customHeight="1">
      <c r="A136" s="230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</row>
    <row r="137" spans="1:26" ht="15.75" customHeight="1">
      <c r="A137" s="230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</row>
    <row r="138" spans="1:26" ht="15.75" customHeight="1">
      <c r="A138" s="230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</row>
    <row r="139" spans="1:26" ht="15.75" customHeight="1">
      <c r="A139" s="230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</row>
    <row r="140" spans="1:26" ht="15.75" customHeight="1">
      <c r="A140" s="230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</row>
    <row r="141" spans="1:26" ht="15.75" customHeight="1">
      <c r="A141" s="230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30"/>
      <c r="W141" s="230"/>
      <c r="X141" s="230"/>
      <c r="Y141" s="230"/>
      <c r="Z141" s="230"/>
    </row>
    <row r="142" spans="1:26" ht="15.75" customHeight="1">
      <c r="A142" s="230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</row>
    <row r="143" spans="1:26" ht="15.75" customHeight="1">
      <c r="A143" s="230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30"/>
      <c r="W143" s="230"/>
      <c r="X143" s="230"/>
      <c r="Y143" s="230"/>
      <c r="Z143" s="230"/>
    </row>
    <row r="144" spans="1:26" ht="15.7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</row>
    <row r="145" spans="1:26" ht="15.75" customHeight="1">
      <c r="A145" s="230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0"/>
      <c r="W145" s="230"/>
      <c r="X145" s="230"/>
      <c r="Y145" s="230"/>
      <c r="Z145" s="230"/>
    </row>
    <row r="146" spans="1:26" ht="15.75" customHeight="1">
      <c r="A146" s="230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V146" s="230"/>
      <c r="W146" s="230"/>
      <c r="X146" s="230"/>
      <c r="Y146" s="230"/>
      <c r="Z146" s="230"/>
    </row>
    <row r="147" spans="1:26" ht="15.75" customHeight="1">
      <c r="A147" s="230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0"/>
      <c r="S147" s="230"/>
      <c r="T147" s="230"/>
      <c r="U147" s="230"/>
      <c r="V147" s="230"/>
      <c r="W147" s="230"/>
      <c r="X147" s="230"/>
      <c r="Y147" s="230"/>
      <c r="Z147" s="230"/>
    </row>
    <row r="148" spans="1:26" ht="15.75" customHeight="1">
      <c r="A148" s="230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0"/>
      <c r="X148" s="230"/>
      <c r="Y148" s="230"/>
      <c r="Z148" s="230"/>
    </row>
    <row r="149" spans="1:26" ht="15.75" customHeight="1">
      <c r="A149" s="230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</row>
    <row r="150" spans="1:26" ht="15.75" customHeight="1">
      <c r="A150" s="230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30"/>
      <c r="U150" s="230"/>
      <c r="V150" s="230"/>
      <c r="W150" s="230"/>
      <c r="X150" s="230"/>
      <c r="Y150" s="230"/>
      <c r="Z150" s="230"/>
    </row>
    <row r="151" spans="1:26" ht="15.75" customHeight="1">
      <c r="A151" s="230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</row>
    <row r="152" spans="1:26" ht="15.75" customHeight="1">
      <c r="A152" s="230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0"/>
      <c r="V152" s="230"/>
      <c r="W152" s="230"/>
      <c r="X152" s="230"/>
      <c r="Y152" s="230"/>
      <c r="Z152" s="230"/>
    </row>
    <row r="153" spans="1:26" ht="15.75" customHeight="1">
      <c r="A153" s="230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0"/>
      <c r="S153" s="230"/>
      <c r="T153" s="230"/>
      <c r="U153" s="230"/>
      <c r="V153" s="230"/>
      <c r="W153" s="230"/>
      <c r="X153" s="230"/>
      <c r="Y153" s="230"/>
      <c r="Z153" s="230"/>
    </row>
    <row r="154" spans="1:26" ht="15.75" customHeight="1">
      <c r="A154" s="230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0"/>
      <c r="Q154" s="230"/>
      <c r="R154" s="230"/>
      <c r="S154" s="230"/>
      <c r="T154" s="230"/>
      <c r="U154" s="230"/>
      <c r="V154" s="230"/>
      <c r="W154" s="230"/>
      <c r="X154" s="230"/>
      <c r="Y154" s="230"/>
      <c r="Z154" s="230"/>
    </row>
    <row r="155" spans="1:26" ht="15.75" customHeight="1">
      <c r="A155" s="230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V155" s="230"/>
      <c r="W155" s="230"/>
      <c r="X155" s="230"/>
      <c r="Y155" s="230"/>
      <c r="Z155" s="230"/>
    </row>
    <row r="156" spans="1:26" ht="15.75" customHeight="1">
      <c r="A156" s="230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30"/>
      <c r="W156" s="230"/>
      <c r="X156" s="230"/>
      <c r="Y156" s="230"/>
      <c r="Z156" s="230"/>
    </row>
    <row r="157" spans="1:26" ht="15.75" customHeight="1">
      <c r="A157" s="230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V157" s="230"/>
      <c r="W157" s="230"/>
      <c r="X157" s="230"/>
      <c r="Y157" s="230"/>
      <c r="Z157" s="230"/>
    </row>
    <row r="158" spans="1:26" ht="15.75" customHeight="1">
      <c r="A158" s="230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V158" s="230"/>
      <c r="W158" s="230"/>
      <c r="X158" s="230"/>
      <c r="Y158" s="230"/>
      <c r="Z158" s="230"/>
    </row>
    <row r="159" spans="1:26" ht="15.75" customHeight="1">
      <c r="A159" s="230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/>
      <c r="Z159" s="230"/>
    </row>
    <row r="160" spans="1:26" ht="15.75" customHeight="1">
      <c r="A160" s="230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0"/>
      <c r="S160" s="230"/>
      <c r="T160" s="230"/>
      <c r="U160" s="230"/>
      <c r="V160" s="230"/>
      <c r="W160" s="230"/>
      <c r="X160" s="230"/>
      <c r="Y160" s="230"/>
      <c r="Z160" s="230"/>
    </row>
    <row r="161" spans="1:26" ht="15.75" customHeight="1">
      <c r="A161" s="230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0"/>
      <c r="S161" s="230"/>
      <c r="T161" s="230"/>
      <c r="U161" s="230"/>
      <c r="V161" s="230"/>
      <c r="W161" s="230"/>
      <c r="X161" s="230"/>
      <c r="Y161" s="230"/>
      <c r="Z161" s="230"/>
    </row>
    <row r="162" spans="1:26" ht="15.75" customHeight="1">
      <c r="A162" s="230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0"/>
      <c r="S162" s="230"/>
      <c r="T162" s="230"/>
      <c r="U162" s="230"/>
      <c r="V162" s="230"/>
      <c r="W162" s="230"/>
      <c r="X162" s="230"/>
      <c r="Y162" s="230"/>
      <c r="Z162" s="230"/>
    </row>
    <row r="163" spans="1:26" ht="15.75" customHeight="1">
      <c r="A163" s="230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</row>
    <row r="164" spans="1:26" ht="15.75" customHeight="1">
      <c r="A164" s="230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</row>
    <row r="165" spans="1:26" ht="15.75" customHeight="1">
      <c r="A165" s="230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</row>
    <row r="166" spans="1:26" ht="15.75" customHeight="1">
      <c r="A166" s="230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</row>
    <row r="167" spans="1:26" ht="15.75" customHeight="1">
      <c r="A167" s="230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</row>
    <row r="168" spans="1:26" ht="15.75" customHeight="1">
      <c r="A168" s="230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</row>
    <row r="169" spans="1:26" ht="15.75" customHeight="1">
      <c r="A169" s="230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V169" s="230"/>
      <c r="W169" s="230"/>
      <c r="X169" s="230"/>
      <c r="Y169" s="230"/>
      <c r="Z169" s="230"/>
    </row>
    <row r="170" spans="1:26" ht="15.75" customHeight="1">
      <c r="A170" s="230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V170" s="230"/>
      <c r="W170" s="230"/>
      <c r="X170" s="230"/>
      <c r="Y170" s="230"/>
      <c r="Z170" s="230"/>
    </row>
    <row r="171" spans="1:26" ht="15.75" customHeight="1">
      <c r="A171" s="230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</row>
    <row r="172" spans="1:26" ht="15.75" customHeight="1">
      <c r="A172" s="230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30"/>
      <c r="S172" s="230"/>
      <c r="T172" s="230"/>
      <c r="U172" s="230"/>
      <c r="V172" s="230"/>
      <c r="W172" s="230"/>
      <c r="X172" s="230"/>
      <c r="Y172" s="230"/>
      <c r="Z172" s="230"/>
    </row>
    <row r="173" spans="1:26" ht="15.75" customHeight="1">
      <c r="A173" s="230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</row>
    <row r="174" spans="1:26" ht="15.75" customHeight="1">
      <c r="A174" s="230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0"/>
      <c r="S174" s="230"/>
      <c r="T174" s="230"/>
      <c r="U174" s="230"/>
      <c r="V174" s="230"/>
      <c r="W174" s="230"/>
      <c r="X174" s="230"/>
      <c r="Y174" s="230"/>
      <c r="Z174" s="230"/>
    </row>
    <row r="175" spans="1:26" ht="15.75" customHeight="1">
      <c r="A175" s="230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0"/>
      <c r="V175" s="230"/>
      <c r="W175" s="230"/>
      <c r="X175" s="230"/>
      <c r="Y175" s="230"/>
      <c r="Z175" s="230"/>
    </row>
    <row r="176" spans="1:26" ht="15.75" customHeight="1">
      <c r="A176" s="230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0"/>
      <c r="Y176" s="230"/>
      <c r="Z176" s="230"/>
    </row>
    <row r="177" spans="1:26" ht="15.75" customHeight="1">
      <c r="A177" s="230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</row>
    <row r="178" spans="1:26" ht="15.75" customHeight="1">
      <c r="A178" s="230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</row>
    <row r="179" spans="1:26" ht="15.75" customHeight="1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V179" s="230"/>
      <c r="W179" s="230"/>
      <c r="X179" s="230"/>
      <c r="Y179" s="230"/>
      <c r="Z179" s="230"/>
    </row>
    <row r="180" spans="1:26" ht="15.75" customHeight="1">
      <c r="A180" s="230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V180" s="230"/>
      <c r="W180" s="230"/>
      <c r="X180" s="230"/>
      <c r="Y180" s="230"/>
      <c r="Z180" s="230"/>
    </row>
    <row r="181" spans="1:26" ht="15.75" customHeight="1">
      <c r="A181" s="230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V181" s="230"/>
      <c r="W181" s="230"/>
      <c r="X181" s="230"/>
      <c r="Y181" s="230"/>
      <c r="Z181" s="230"/>
    </row>
    <row r="182" spans="1:26" ht="15.75" customHeight="1">
      <c r="A182" s="230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</row>
    <row r="183" spans="1:26" ht="15.75" customHeight="1">
      <c r="A183" s="230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</row>
    <row r="184" spans="1:26" ht="15.75" customHeight="1">
      <c r="A184" s="230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</row>
    <row r="185" spans="1:26" ht="15.75" customHeight="1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</row>
    <row r="186" spans="1:26" ht="15.75" customHeight="1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</row>
    <row r="187" spans="1:26" ht="15.75" customHeight="1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</row>
    <row r="188" spans="1:26" ht="15.75" customHeight="1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</row>
    <row r="189" spans="1:26" ht="15.75" customHeight="1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</row>
    <row r="190" spans="1:26" ht="15.75" customHeight="1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</row>
    <row r="191" spans="1:26" ht="15.75" customHeight="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</row>
    <row r="192" spans="1:26" ht="15.75" customHeight="1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</row>
    <row r="193" spans="1:26" ht="15.75" customHeight="1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</row>
    <row r="194" spans="1:26" ht="15.75" customHeight="1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</row>
    <row r="195" spans="1:26" ht="15.75" customHeight="1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</row>
    <row r="196" spans="1:26" ht="15.75" customHeight="1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</row>
    <row r="197" spans="1:26" ht="15.75" customHeight="1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</row>
    <row r="198" spans="1:26" ht="15.75" customHeight="1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</row>
    <row r="199" spans="1:26" ht="15.75" customHeight="1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</row>
    <row r="200" spans="1:26" ht="15.75" customHeight="1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</row>
    <row r="201" spans="1:26" ht="15.75" customHeight="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</row>
    <row r="202" spans="1:26" ht="15.75" customHeight="1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</row>
    <row r="203" spans="1:26" ht="15.75" customHeight="1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</row>
    <row r="204" spans="1:26" ht="15.75" customHeight="1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</row>
    <row r="205" spans="1:26" ht="15.75" customHeight="1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</row>
    <row r="206" spans="1:26" ht="15.75" customHeight="1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</row>
    <row r="207" spans="1:26" ht="15.75" customHeight="1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</row>
    <row r="208" spans="1:26" ht="15.75" customHeight="1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</row>
    <row r="209" spans="1:26" ht="15.75" customHeight="1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</row>
    <row r="210" spans="1:26" ht="15.75" customHeight="1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</row>
    <row r="211" spans="1:26" ht="15.75" customHeight="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</row>
    <row r="212" spans="1:26" ht="15.75" customHeight="1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</row>
    <row r="213" spans="1:26" ht="15.75" customHeight="1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</row>
    <row r="214" spans="1:26" ht="15.75" customHeight="1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</row>
    <row r="215" spans="1:26" ht="15.75" customHeight="1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</row>
    <row r="216" spans="1:26" ht="15.75" customHeight="1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</row>
    <row r="217" spans="1:26" ht="15.75" customHeight="1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</row>
    <row r="218" spans="1:26" ht="15.75" customHeight="1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</row>
    <row r="219" spans="1:26" ht="15.75" customHeight="1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</row>
    <row r="220" spans="1:26" ht="15.75" customHeight="1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</row>
    <row r="221" spans="1:26" ht="15.75" customHeight="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</row>
    <row r="222" spans="1:26" ht="15.75" customHeight="1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</row>
    <row r="223" spans="1:26" ht="15.75" customHeight="1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</row>
    <row r="224" spans="1:26" ht="15.75" customHeight="1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</row>
    <row r="225" spans="1:26" ht="15.75" customHeight="1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</row>
    <row r="226" spans="1:26" ht="15.75" customHeight="1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</row>
    <row r="227" spans="1:26" ht="15.75" customHeight="1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</row>
    <row r="228" spans="1:26" ht="15.75" customHeight="1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</row>
    <row r="229" spans="1:26" ht="15.75" customHeight="1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</row>
    <row r="230" spans="1:26" ht="15.75" customHeight="1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</row>
    <row r="231" spans="1:26" ht="15.75" customHeight="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</row>
    <row r="232" spans="1:26" ht="15.75" customHeight="1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</row>
    <row r="233" spans="1:26" ht="15.75" customHeight="1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</row>
    <row r="234" spans="1:26" ht="15.75" customHeight="1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</row>
    <row r="235" spans="1:26" ht="15.75" customHeight="1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</row>
    <row r="236" spans="1:26" ht="15.75" customHeight="1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</row>
    <row r="237" spans="1:26" ht="15.75" customHeight="1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</row>
    <row r="238" spans="1:26" ht="15.75" customHeight="1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</row>
    <row r="239" spans="1:26" ht="15.75" customHeight="1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</row>
    <row r="240" spans="1:26" ht="15.75" customHeight="1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</row>
    <row r="241" spans="1:26" ht="15.75" customHeight="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</row>
    <row r="242" spans="1:26" ht="15.75" customHeight="1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</row>
    <row r="243" spans="1:26" ht="15.75" customHeight="1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</row>
    <row r="244" spans="1:26" ht="15.75" customHeight="1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</row>
    <row r="245" spans="1:26" ht="15.75" customHeight="1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</row>
    <row r="246" spans="1:26" ht="15.75" customHeight="1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</row>
    <row r="247" spans="1:26" ht="15.75" customHeight="1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</row>
    <row r="248" spans="1:26" ht="15.75" customHeight="1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</row>
    <row r="249" spans="1:26" ht="15.75" customHeight="1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</row>
    <row r="250" spans="1:26" ht="15.75" customHeight="1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</row>
    <row r="251" spans="1:26" ht="15.75" customHeight="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</row>
    <row r="252" spans="1:26" ht="15.75" customHeight="1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</row>
    <row r="253" spans="1:26" ht="15.75" customHeight="1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</row>
    <row r="254" spans="1:26" ht="15.75" customHeight="1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</row>
    <row r="255" spans="1:26" ht="15.75" customHeight="1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</row>
    <row r="256" spans="1:26" ht="15.75" customHeight="1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</row>
    <row r="257" spans="1:26" ht="15.75" customHeight="1">
      <c r="A257" s="230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0"/>
      <c r="S257" s="230"/>
      <c r="T257" s="230"/>
      <c r="U257" s="230"/>
      <c r="V257" s="230"/>
      <c r="W257" s="230"/>
      <c r="X257" s="230"/>
      <c r="Y257" s="230"/>
      <c r="Z257" s="230"/>
    </row>
    <row r="258" spans="1:26" ht="15.75" customHeight="1">
      <c r="A258" s="230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0"/>
      <c r="S258" s="230"/>
      <c r="T258" s="230"/>
      <c r="U258" s="230"/>
      <c r="V258" s="230"/>
      <c r="W258" s="230"/>
      <c r="X258" s="230"/>
      <c r="Y258" s="230"/>
      <c r="Z258" s="230"/>
    </row>
    <row r="259" spans="1:26" ht="15.75" customHeight="1">
      <c r="A259" s="230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0"/>
      <c r="P259" s="230"/>
      <c r="Q259" s="230"/>
      <c r="R259" s="230"/>
      <c r="S259" s="230"/>
      <c r="T259" s="230"/>
      <c r="U259" s="230"/>
      <c r="V259" s="230"/>
      <c r="W259" s="230"/>
      <c r="X259" s="230"/>
      <c r="Y259" s="230"/>
      <c r="Z259" s="230"/>
    </row>
    <row r="260" spans="1:26" ht="15.75" customHeight="1">
      <c r="A260" s="230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0"/>
      <c r="P260" s="230"/>
      <c r="Q260" s="230"/>
      <c r="R260" s="230"/>
      <c r="S260" s="230"/>
      <c r="T260" s="230"/>
      <c r="U260" s="230"/>
      <c r="V260" s="230"/>
      <c r="W260" s="230"/>
      <c r="X260" s="230"/>
      <c r="Y260" s="230"/>
      <c r="Z260" s="230"/>
    </row>
    <row r="261" spans="1:26" ht="15.75" customHeight="1">
      <c r="A261" s="230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0"/>
      <c r="P261" s="230"/>
      <c r="Q261" s="230"/>
      <c r="R261" s="230"/>
      <c r="S261" s="230"/>
      <c r="T261" s="230"/>
      <c r="U261" s="230"/>
      <c r="V261" s="230"/>
      <c r="W261" s="230"/>
      <c r="X261" s="230"/>
      <c r="Y261" s="230"/>
      <c r="Z261" s="230"/>
    </row>
    <row r="262" spans="1:26" ht="15.75" customHeight="1">
      <c r="A262" s="230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0"/>
      <c r="P262" s="230"/>
      <c r="Q262" s="230"/>
      <c r="R262" s="230"/>
      <c r="S262" s="230"/>
      <c r="T262" s="230"/>
      <c r="U262" s="230"/>
      <c r="V262" s="230"/>
      <c r="W262" s="230"/>
      <c r="X262" s="230"/>
      <c r="Y262" s="230"/>
      <c r="Z262" s="230"/>
    </row>
    <row r="263" spans="1:26" ht="15.75" customHeight="1">
      <c r="A263" s="230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0"/>
      <c r="P263" s="230"/>
      <c r="Q263" s="230"/>
      <c r="R263" s="230"/>
      <c r="S263" s="230"/>
      <c r="T263" s="230"/>
      <c r="U263" s="230"/>
      <c r="V263" s="230"/>
      <c r="W263" s="230"/>
      <c r="X263" s="230"/>
      <c r="Y263" s="230"/>
      <c r="Z263" s="230"/>
    </row>
    <row r="264" spans="1:26" ht="15.75" customHeight="1">
      <c r="A264" s="230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0"/>
      <c r="V264" s="230"/>
      <c r="W264" s="230"/>
      <c r="X264" s="230"/>
      <c r="Y264" s="230"/>
      <c r="Z264" s="230"/>
    </row>
    <row r="265" spans="1:26" ht="15.75" customHeight="1">
      <c r="A265" s="230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0"/>
      <c r="P265" s="230"/>
      <c r="Q265" s="230"/>
      <c r="R265" s="230"/>
      <c r="S265" s="230"/>
      <c r="T265" s="230"/>
      <c r="U265" s="230"/>
      <c r="V265" s="230"/>
      <c r="W265" s="230"/>
      <c r="X265" s="230"/>
      <c r="Y265" s="230"/>
      <c r="Z265" s="230"/>
    </row>
    <row r="266" spans="1:26" ht="15.75" customHeight="1">
      <c r="A266" s="230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0"/>
      <c r="P266" s="230"/>
      <c r="Q266" s="230"/>
      <c r="R266" s="230"/>
      <c r="S266" s="230"/>
      <c r="T266" s="230"/>
      <c r="U266" s="230"/>
      <c r="V266" s="230"/>
      <c r="W266" s="230"/>
      <c r="X266" s="230"/>
      <c r="Y266" s="230"/>
      <c r="Z266" s="230"/>
    </row>
    <row r="267" spans="1:26" ht="15.75" customHeight="1">
      <c r="A267" s="230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0"/>
      <c r="P267" s="230"/>
      <c r="Q267" s="230"/>
      <c r="R267" s="230"/>
      <c r="S267" s="230"/>
      <c r="T267" s="230"/>
      <c r="U267" s="230"/>
      <c r="V267" s="230"/>
      <c r="W267" s="230"/>
      <c r="X267" s="230"/>
      <c r="Y267" s="230"/>
      <c r="Z267" s="230"/>
    </row>
    <row r="268" spans="1:26" ht="15.75" customHeight="1">
      <c r="A268" s="230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0"/>
      <c r="P268" s="230"/>
      <c r="Q268" s="230"/>
      <c r="R268" s="230"/>
      <c r="S268" s="230"/>
      <c r="T268" s="230"/>
      <c r="U268" s="230"/>
      <c r="V268" s="230"/>
      <c r="W268" s="230"/>
      <c r="X268" s="230"/>
      <c r="Y268" s="230"/>
      <c r="Z268" s="230"/>
    </row>
    <row r="269" spans="1:26" ht="15.75" customHeight="1">
      <c r="A269" s="230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0"/>
      <c r="S269" s="230"/>
      <c r="T269" s="230"/>
      <c r="U269" s="230"/>
      <c r="V269" s="230"/>
      <c r="W269" s="230"/>
      <c r="X269" s="230"/>
      <c r="Y269" s="230"/>
      <c r="Z269" s="230"/>
    </row>
    <row r="270" spans="1:26" ht="15.75" customHeight="1">
      <c r="A270" s="230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0"/>
      <c r="S270" s="230"/>
      <c r="T270" s="230"/>
      <c r="U270" s="230"/>
      <c r="V270" s="230"/>
      <c r="W270" s="230"/>
      <c r="X270" s="230"/>
      <c r="Y270" s="230"/>
      <c r="Z270" s="230"/>
    </row>
    <row r="271" spans="1:26" ht="15.75" customHeight="1">
      <c r="A271" s="230"/>
      <c r="B271" s="230"/>
      <c r="C271" s="230"/>
      <c r="D271" s="230"/>
      <c r="E271" s="230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0"/>
      <c r="S271" s="230"/>
      <c r="T271" s="230"/>
      <c r="U271" s="230"/>
      <c r="V271" s="230"/>
      <c r="W271" s="230"/>
      <c r="X271" s="230"/>
      <c r="Y271" s="230"/>
      <c r="Z271" s="230"/>
    </row>
    <row r="272" spans="1:26" ht="15.75" customHeight="1">
      <c r="A272" s="230"/>
      <c r="B272" s="230"/>
      <c r="C272" s="230"/>
      <c r="D272" s="230"/>
      <c r="E272" s="230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0"/>
      <c r="S272" s="230"/>
      <c r="T272" s="230"/>
      <c r="U272" s="230"/>
      <c r="V272" s="230"/>
      <c r="W272" s="230"/>
      <c r="X272" s="230"/>
      <c r="Y272" s="230"/>
      <c r="Z272" s="230"/>
    </row>
    <row r="273" spans="1:26" ht="15.75" customHeight="1">
      <c r="A273" s="230"/>
      <c r="B273" s="230"/>
      <c r="C273" s="230"/>
      <c r="D273" s="230"/>
      <c r="E273" s="230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0"/>
      <c r="S273" s="230"/>
      <c r="T273" s="230"/>
      <c r="U273" s="230"/>
      <c r="V273" s="230"/>
      <c r="W273" s="230"/>
      <c r="X273" s="230"/>
      <c r="Y273" s="230"/>
      <c r="Z273" s="230"/>
    </row>
    <row r="274" spans="1:26" ht="15.75" customHeight="1">
      <c r="A274" s="230"/>
      <c r="B274" s="230"/>
      <c r="C274" s="230"/>
      <c r="D274" s="230"/>
      <c r="E274" s="230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0"/>
      <c r="S274" s="230"/>
      <c r="T274" s="230"/>
      <c r="U274" s="230"/>
      <c r="V274" s="230"/>
      <c r="W274" s="230"/>
      <c r="X274" s="230"/>
      <c r="Y274" s="230"/>
      <c r="Z274" s="230"/>
    </row>
    <row r="275" spans="1:26" ht="15.75" customHeight="1">
      <c r="A275" s="230"/>
      <c r="B275" s="230"/>
      <c r="C275" s="230"/>
      <c r="D275" s="230"/>
      <c r="E275" s="230"/>
      <c r="F275" s="230"/>
      <c r="G275" s="230"/>
      <c r="H275" s="230"/>
      <c r="I275" s="230"/>
      <c r="J275" s="230"/>
      <c r="K275" s="230"/>
      <c r="L275" s="230"/>
      <c r="M275" s="230"/>
      <c r="N275" s="230"/>
      <c r="O275" s="230"/>
      <c r="P275" s="230"/>
      <c r="Q275" s="230"/>
      <c r="R275" s="230"/>
      <c r="S275" s="230"/>
      <c r="T275" s="230"/>
      <c r="U275" s="230"/>
      <c r="V275" s="230"/>
      <c r="W275" s="230"/>
      <c r="X275" s="230"/>
      <c r="Y275" s="230"/>
      <c r="Z275" s="230"/>
    </row>
    <row r="276" spans="1:26" ht="15.75" customHeight="1">
      <c r="A276" s="230"/>
      <c r="B276" s="230"/>
      <c r="C276" s="230"/>
      <c r="D276" s="230"/>
      <c r="E276" s="230"/>
      <c r="F276" s="230"/>
      <c r="G276" s="230"/>
      <c r="H276" s="230"/>
      <c r="I276" s="230"/>
      <c r="J276" s="230"/>
      <c r="K276" s="230"/>
      <c r="L276" s="230"/>
      <c r="M276" s="230"/>
      <c r="N276" s="230"/>
      <c r="O276" s="230"/>
      <c r="P276" s="230"/>
      <c r="Q276" s="230"/>
      <c r="R276" s="230"/>
      <c r="S276" s="230"/>
      <c r="T276" s="230"/>
      <c r="U276" s="230"/>
      <c r="V276" s="230"/>
      <c r="W276" s="230"/>
      <c r="X276" s="230"/>
      <c r="Y276" s="230"/>
      <c r="Z276" s="230"/>
    </row>
    <row r="277" spans="1:26" ht="15.75" customHeight="1">
      <c r="A277" s="230"/>
      <c r="B277" s="230"/>
      <c r="C277" s="230"/>
      <c r="D277" s="230"/>
      <c r="E277" s="230"/>
      <c r="F277" s="230"/>
      <c r="G277" s="230"/>
      <c r="H277" s="230"/>
      <c r="I277" s="230"/>
      <c r="J277" s="230"/>
      <c r="K277" s="230"/>
      <c r="L277" s="230"/>
      <c r="M277" s="230"/>
      <c r="N277" s="230"/>
      <c r="O277" s="230"/>
      <c r="P277" s="230"/>
      <c r="Q277" s="230"/>
      <c r="R277" s="230"/>
      <c r="S277" s="230"/>
      <c r="T277" s="230"/>
      <c r="U277" s="230"/>
      <c r="V277" s="230"/>
      <c r="W277" s="230"/>
      <c r="X277" s="230"/>
      <c r="Y277" s="230"/>
      <c r="Z277" s="230"/>
    </row>
    <row r="278" spans="1:26" ht="15.75" customHeight="1">
      <c r="A278" s="230"/>
      <c r="B278" s="230"/>
      <c r="C278" s="230"/>
      <c r="D278" s="230"/>
      <c r="E278" s="230"/>
      <c r="F278" s="230"/>
      <c r="G278" s="230"/>
      <c r="H278" s="230"/>
      <c r="I278" s="230"/>
      <c r="J278" s="230"/>
      <c r="K278" s="230"/>
      <c r="L278" s="230"/>
      <c r="M278" s="230"/>
      <c r="N278" s="230"/>
      <c r="O278" s="230"/>
      <c r="P278" s="230"/>
      <c r="Q278" s="230"/>
      <c r="R278" s="230"/>
      <c r="S278" s="230"/>
      <c r="T278" s="230"/>
      <c r="U278" s="230"/>
      <c r="V278" s="230"/>
      <c r="W278" s="230"/>
      <c r="X278" s="230"/>
      <c r="Y278" s="230"/>
      <c r="Z278" s="230"/>
    </row>
    <row r="279" spans="1:26" ht="15.75" customHeight="1">
      <c r="A279" s="230"/>
      <c r="B279" s="230"/>
      <c r="C279" s="230"/>
      <c r="D279" s="230"/>
      <c r="E279" s="230"/>
      <c r="F279" s="230"/>
      <c r="G279" s="230"/>
      <c r="H279" s="230"/>
      <c r="I279" s="230"/>
      <c r="J279" s="230"/>
      <c r="K279" s="230"/>
      <c r="L279" s="230"/>
      <c r="M279" s="230"/>
      <c r="N279" s="230"/>
      <c r="O279" s="230"/>
      <c r="P279" s="230"/>
      <c r="Q279" s="230"/>
      <c r="R279" s="230"/>
      <c r="S279" s="230"/>
      <c r="T279" s="230"/>
      <c r="U279" s="230"/>
      <c r="V279" s="230"/>
      <c r="W279" s="230"/>
      <c r="X279" s="230"/>
      <c r="Y279" s="230"/>
      <c r="Z279" s="230"/>
    </row>
    <row r="280" spans="1:26" ht="15.75" customHeight="1">
      <c r="A280" s="230"/>
      <c r="B280" s="230"/>
      <c r="C280" s="230"/>
      <c r="D280" s="230"/>
      <c r="E280" s="230"/>
      <c r="F280" s="230"/>
      <c r="G280" s="230"/>
      <c r="H280" s="230"/>
      <c r="I280" s="230"/>
      <c r="J280" s="230"/>
      <c r="K280" s="230"/>
      <c r="L280" s="230"/>
      <c r="M280" s="230"/>
      <c r="N280" s="230"/>
      <c r="O280" s="230"/>
      <c r="P280" s="230"/>
      <c r="Q280" s="230"/>
      <c r="R280" s="230"/>
      <c r="S280" s="230"/>
      <c r="T280" s="230"/>
      <c r="U280" s="230"/>
      <c r="V280" s="230"/>
      <c r="W280" s="230"/>
      <c r="X280" s="230"/>
      <c r="Y280" s="230"/>
      <c r="Z280" s="230"/>
    </row>
    <row r="281" spans="1:26" ht="15.75" customHeight="1">
      <c r="A281" s="230"/>
      <c r="B281" s="230"/>
      <c r="C281" s="230"/>
      <c r="D281" s="230"/>
      <c r="E281" s="230"/>
      <c r="F281" s="230"/>
      <c r="G281" s="230"/>
      <c r="H281" s="230"/>
      <c r="I281" s="230"/>
      <c r="J281" s="230"/>
      <c r="K281" s="230"/>
      <c r="L281" s="230"/>
      <c r="M281" s="230"/>
      <c r="N281" s="230"/>
      <c r="O281" s="230"/>
      <c r="P281" s="230"/>
      <c r="Q281" s="230"/>
      <c r="R281" s="230"/>
      <c r="S281" s="230"/>
      <c r="T281" s="230"/>
      <c r="U281" s="230"/>
      <c r="V281" s="230"/>
      <c r="W281" s="230"/>
      <c r="X281" s="230"/>
      <c r="Y281" s="230"/>
      <c r="Z281" s="230"/>
    </row>
    <row r="282" spans="1:26" ht="15.75" customHeight="1">
      <c r="A282" s="230"/>
      <c r="B282" s="230"/>
      <c r="C282" s="230"/>
      <c r="D282" s="230"/>
      <c r="E282" s="230"/>
      <c r="F282" s="230"/>
      <c r="G282" s="230"/>
      <c r="H282" s="230"/>
      <c r="I282" s="230"/>
      <c r="J282" s="230"/>
      <c r="K282" s="230"/>
      <c r="L282" s="230"/>
      <c r="M282" s="230"/>
      <c r="N282" s="230"/>
      <c r="O282" s="230"/>
      <c r="P282" s="230"/>
      <c r="Q282" s="230"/>
      <c r="R282" s="230"/>
      <c r="S282" s="230"/>
      <c r="T282" s="230"/>
      <c r="U282" s="230"/>
      <c r="V282" s="230"/>
      <c r="W282" s="230"/>
      <c r="X282" s="230"/>
      <c r="Y282" s="230"/>
      <c r="Z282" s="230"/>
    </row>
    <row r="283" spans="1:26" ht="15.75" customHeight="1">
      <c r="A283" s="230"/>
      <c r="B283" s="230"/>
      <c r="C283" s="230"/>
      <c r="D283" s="230"/>
      <c r="E283" s="230"/>
      <c r="F283" s="230"/>
      <c r="G283" s="230"/>
      <c r="H283" s="230"/>
      <c r="I283" s="230"/>
      <c r="J283" s="230"/>
      <c r="K283" s="230"/>
      <c r="L283" s="230"/>
      <c r="M283" s="230"/>
      <c r="N283" s="230"/>
      <c r="O283" s="230"/>
      <c r="P283" s="230"/>
      <c r="Q283" s="230"/>
      <c r="R283" s="230"/>
      <c r="S283" s="230"/>
      <c r="T283" s="230"/>
      <c r="U283" s="230"/>
      <c r="V283" s="230"/>
      <c r="W283" s="230"/>
      <c r="X283" s="230"/>
      <c r="Y283" s="230"/>
      <c r="Z283" s="230"/>
    </row>
    <row r="284" spans="1:26" ht="15.75" customHeight="1">
      <c r="A284" s="230"/>
      <c r="B284" s="230"/>
      <c r="C284" s="230"/>
      <c r="D284" s="230"/>
      <c r="E284" s="230"/>
      <c r="F284" s="230"/>
      <c r="G284" s="230"/>
      <c r="H284" s="230"/>
      <c r="I284" s="230"/>
      <c r="J284" s="230"/>
      <c r="K284" s="230"/>
      <c r="L284" s="230"/>
      <c r="M284" s="230"/>
      <c r="N284" s="230"/>
      <c r="O284" s="230"/>
      <c r="P284" s="230"/>
      <c r="Q284" s="230"/>
      <c r="R284" s="230"/>
      <c r="S284" s="230"/>
      <c r="T284" s="230"/>
      <c r="U284" s="230"/>
      <c r="V284" s="230"/>
      <c r="W284" s="230"/>
      <c r="X284" s="230"/>
      <c r="Y284" s="230"/>
      <c r="Z284" s="230"/>
    </row>
    <row r="285" spans="1:26" ht="15.75" customHeight="1">
      <c r="A285" s="230"/>
      <c r="B285" s="230"/>
      <c r="C285" s="230"/>
      <c r="D285" s="230"/>
      <c r="E285" s="230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0"/>
      <c r="S285" s="230"/>
      <c r="T285" s="230"/>
      <c r="U285" s="230"/>
      <c r="V285" s="230"/>
      <c r="W285" s="230"/>
      <c r="X285" s="230"/>
      <c r="Y285" s="230"/>
      <c r="Z285" s="230"/>
    </row>
    <row r="286" spans="1:26" ht="15.75" customHeight="1">
      <c r="A286" s="230"/>
      <c r="B286" s="230"/>
      <c r="C286" s="230"/>
      <c r="D286" s="230"/>
      <c r="E286" s="230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0"/>
      <c r="S286" s="230"/>
      <c r="T286" s="230"/>
      <c r="U286" s="230"/>
      <c r="V286" s="230"/>
      <c r="W286" s="230"/>
      <c r="X286" s="230"/>
      <c r="Y286" s="230"/>
      <c r="Z286" s="230"/>
    </row>
    <row r="287" spans="1:26" ht="15.75" customHeight="1">
      <c r="A287" s="230"/>
      <c r="B287" s="230"/>
      <c r="C287" s="230"/>
      <c r="D287" s="230"/>
      <c r="E287" s="230"/>
      <c r="F287" s="230"/>
      <c r="G287" s="230"/>
      <c r="H287" s="230"/>
      <c r="I287" s="230"/>
      <c r="J287" s="230"/>
      <c r="K287" s="230"/>
      <c r="L287" s="230"/>
      <c r="M287" s="230"/>
      <c r="N287" s="230"/>
      <c r="O287" s="230"/>
      <c r="P287" s="230"/>
      <c r="Q287" s="230"/>
      <c r="R287" s="230"/>
      <c r="S287" s="230"/>
      <c r="T287" s="230"/>
      <c r="U287" s="230"/>
      <c r="V287" s="230"/>
      <c r="W287" s="230"/>
      <c r="X287" s="230"/>
      <c r="Y287" s="230"/>
      <c r="Z287" s="230"/>
    </row>
    <row r="288" spans="1:26" ht="15.75" customHeight="1">
      <c r="A288" s="230"/>
      <c r="B288" s="230"/>
      <c r="C288" s="230"/>
      <c r="D288" s="230"/>
      <c r="E288" s="230"/>
      <c r="F288" s="230"/>
      <c r="G288" s="230"/>
      <c r="H288" s="230"/>
      <c r="I288" s="230"/>
      <c r="J288" s="230"/>
      <c r="K288" s="230"/>
      <c r="L288" s="230"/>
      <c r="M288" s="230"/>
      <c r="N288" s="230"/>
      <c r="O288" s="230"/>
      <c r="P288" s="230"/>
      <c r="Q288" s="230"/>
      <c r="R288" s="230"/>
      <c r="S288" s="230"/>
      <c r="T288" s="230"/>
      <c r="U288" s="230"/>
      <c r="V288" s="230"/>
      <c r="W288" s="230"/>
      <c r="X288" s="230"/>
      <c r="Y288" s="230"/>
      <c r="Z288" s="230"/>
    </row>
    <row r="289" spans="1:26" ht="15.75" customHeight="1">
      <c r="A289" s="230"/>
      <c r="B289" s="230"/>
      <c r="C289" s="230"/>
      <c r="D289" s="230"/>
      <c r="E289" s="230"/>
      <c r="F289" s="230"/>
      <c r="G289" s="230"/>
      <c r="H289" s="230"/>
      <c r="I289" s="230"/>
      <c r="J289" s="230"/>
      <c r="K289" s="230"/>
      <c r="L289" s="230"/>
      <c r="M289" s="230"/>
      <c r="N289" s="230"/>
      <c r="O289" s="230"/>
      <c r="P289" s="230"/>
      <c r="Q289" s="230"/>
      <c r="R289" s="230"/>
      <c r="S289" s="230"/>
      <c r="T289" s="230"/>
      <c r="U289" s="230"/>
      <c r="V289" s="230"/>
      <c r="W289" s="230"/>
      <c r="X289" s="230"/>
      <c r="Y289" s="230"/>
      <c r="Z289" s="230"/>
    </row>
    <row r="290" spans="1:26" ht="15.75" customHeight="1">
      <c r="A290" s="230"/>
      <c r="B290" s="230"/>
      <c r="C290" s="230"/>
      <c r="D290" s="230"/>
      <c r="E290" s="230"/>
      <c r="F290" s="230"/>
      <c r="G290" s="230"/>
      <c r="H290" s="230"/>
      <c r="I290" s="230"/>
      <c r="J290" s="230"/>
      <c r="K290" s="230"/>
      <c r="L290" s="230"/>
      <c r="M290" s="230"/>
      <c r="N290" s="230"/>
      <c r="O290" s="230"/>
      <c r="P290" s="230"/>
      <c r="Q290" s="230"/>
      <c r="R290" s="230"/>
      <c r="S290" s="230"/>
      <c r="T290" s="230"/>
      <c r="U290" s="230"/>
      <c r="V290" s="230"/>
      <c r="W290" s="230"/>
      <c r="X290" s="230"/>
      <c r="Y290" s="230"/>
      <c r="Z290" s="230"/>
    </row>
    <row r="291" spans="1:26" ht="15.75" customHeight="1">
      <c r="A291" s="230"/>
      <c r="B291" s="230"/>
      <c r="C291" s="230"/>
      <c r="D291" s="230"/>
      <c r="E291" s="230"/>
      <c r="F291" s="230"/>
      <c r="G291" s="230"/>
      <c r="H291" s="230"/>
      <c r="I291" s="230"/>
      <c r="J291" s="230"/>
      <c r="K291" s="230"/>
      <c r="L291" s="230"/>
      <c r="M291" s="230"/>
      <c r="N291" s="230"/>
      <c r="O291" s="230"/>
      <c r="P291" s="230"/>
      <c r="Q291" s="230"/>
      <c r="R291" s="230"/>
      <c r="S291" s="230"/>
      <c r="T291" s="230"/>
      <c r="U291" s="230"/>
      <c r="V291" s="230"/>
      <c r="W291" s="230"/>
      <c r="X291" s="230"/>
      <c r="Y291" s="230"/>
      <c r="Z291" s="230"/>
    </row>
    <row r="292" spans="1:26" ht="15.75" customHeight="1">
      <c r="A292" s="230"/>
      <c r="B292" s="230"/>
      <c r="C292" s="230"/>
      <c r="D292" s="230"/>
      <c r="E292" s="230"/>
      <c r="F292" s="230"/>
      <c r="G292" s="230"/>
      <c r="H292" s="230"/>
      <c r="I292" s="230"/>
      <c r="J292" s="230"/>
      <c r="K292" s="230"/>
      <c r="L292" s="230"/>
      <c r="M292" s="230"/>
      <c r="N292" s="230"/>
      <c r="O292" s="230"/>
      <c r="P292" s="230"/>
      <c r="Q292" s="230"/>
      <c r="R292" s="230"/>
      <c r="S292" s="230"/>
      <c r="T292" s="230"/>
      <c r="U292" s="230"/>
      <c r="V292" s="230"/>
      <c r="W292" s="230"/>
      <c r="X292" s="230"/>
      <c r="Y292" s="230"/>
      <c r="Z292" s="230"/>
    </row>
    <row r="293" spans="1:26" ht="15.75" customHeight="1">
      <c r="A293" s="230"/>
      <c r="B293" s="230"/>
      <c r="C293" s="230"/>
      <c r="D293" s="230"/>
      <c r="E293" s="230"/>
      <c r="F293" s="230"/>
      <c r="G293" s="230"/>
      <c r="H293" s="230"/>
      <c r="I293" s="230"/>
      <c r="J293" s="230"/>
      <c r="K293" s="230"/>
      <c r="L293" s="230"/>
      <c r="M293" s="230"/>
      <c r="N293" s="230"/>
      <c r="O293" s="230"/>
      <c r="P293" s="230"/>
      <c r="Q293" s="230"/>
      <c r="R293" s="230"/>
      <c r="S293" s="230"/>
      <c r="T293" s="230"/>
      <c r="U293" s="230"/>
      <c r="V293" s="230"/>
      <c r="W293" s="230"/>
      <c r="X293" s="230"/>
      <c r="Y293" s="230"/>
      <c r="Z293" s="230"/>
    </row>
    <row r="294" spans="1:26" ht="15.75" customHeight="1">
      <c r="A294" s="230"/>
      <c r="B294" s="230"/>
      <c r="C294" s="230"/>
      <c r="D294" s="230"/>
      <c r="E294" s="230"/>
      <c r="F294" s="230"/>
      <c r="G294" s="230"/>
      <c r="H294" s="230"/>
      <c r="I294" s="230"/>
      <c r="J294" s="230"/>
      <c r="K294" s="230"/>
      <c r="L294" s="230"/>
      <c r="M294" s="230"/>
      <c r="N294" s="230"/>
      <c r="O294" s="230"/>
      <c r="P294" s="230"/>
      <c r="Q294" s="230"/>
      <c r="R294" s="230"/>
      <c r="S294" s="230"/>
      <c r="T294" s="230"/>
      <c r="U294" s="230"/>
      <c r="V294" s="230"/>
      <c r="W294" s="230"/>
      <c r="X294" s="230"/>
      <c r="Y294" s="230"/>
      <c r="Z294" s="230"/>
    </row>
    <row r="295" spans="1:26" ht="15.75" customHeight="1">
      <c r="A295" s="230"/>
      <c r="B295" s="230"/>
      <c r="C295" s="230"/>
      <c r="D295" s="230"/>
      <c r="E295" s="230"/>
      <c r="F295" s="230"/>
      <c r="G295" s="230"/>
      <c r="H295" s="230"/>
      <c r="I295" s="230"/>
      <c r="J295" s="230"/>
      <c r="K295" s="230"/>
      <c r="L295" s="230"/>
      <c r="M295" s="230"/>
      <c r="N295" s="230"/>
      <c r="O295" s="230"/>
      <c r="P295" s="230"/>
      <c r="Q295" s="230"/>
      <c r="R295" s="230"/>
      <c r="S295" s="230"/>
      <c r="T295" s="230"/>
      <c r="U295" s="230"/>
      <c r="V295" s="230"/>
      <c r="W295" s="230"/>
      <c r="X295" s="230"/>
      <c r="Y295" s="230"/>
      <c r="Z295" s="230"/>
    </row>
    <row r="296" spans="1:26" ht="15.75" customHeight="1">
      <c r="A296" s="230"/>
      <c r="B296" s="230"/>
      <c r="C296" s="230"/>
      <c r="D296" s="230"/>
      <c r="E296" s="230"/>
      <c r="F296" s="230"/>
      <c r="G296" s="230"/>
      <c r="H296" s="230"/>
      <c r="I296" s="230"/>
      <c r="J296" s="230"/>
      <c r="K296" s="230"/>
      <c r="L296" s="230"/>
      <c r="M296" s="230"/>
      <c r="N296" s="230"/>
      <c r="O296" s="230"/>
      <c r="P296" s="230"/>
      <c r="Q296" s="230"/>
      <c r="R296" s="230"/>
      <c r="S296" s="230"/>
      <c r="T296" s="230"/>
      <c r="U296" s="230"/>
      <c r="V296" s="230"/>
      <c r="W296" s="230"/>
      <c r="X296" s="230"/>
      <c r="Y296" s="230"/>
      <c r="Z296" s="230"/>
    </row>
    <row r="297" spans="1:26" ht="15.75" customHeight="1">
      <c r="A297" s="230"/>
      <c r="B297" s="230"/>
      <c r="C297" s="230"/>
      <c r="D297" s="230"/>
      <c r="E297" s="230"/>
      <c r="F297" s="230"/>
      <c r="G297" s="230"/>
      <c r="H297" s="230"/>
      <c r="I297" s="230"/>
      <c r="J297" s="230"/>
      <c r="K297" s="230"/>
      <c r="L297" s="230"/>
      <c r="M297" s="230"/>
      <c r="N297" s="230"/>
      <c r="O297" s="230"/>
      <c r="P297" s="230"/>
      <c r="Q297" s="230"/>
      <c r="R297" s="230"/>
      <c r="S297" s="230"/>
      <c r="T297" s="230"/>
      <c r="U297" s="230"/>
      <c r="V297" s="230"/>
      <c r="W297" s="230"/>
      <c r="X297" s="230"/>
      <c r="Y297" s="230"/>
      <c r="Z297" s="230"/>
    </row>
    <row r="298" spans="1:26" ht="15.75" customHeight="1">
      <c r="A298" s="230"/>
      <c r="B298" s="230"/>
      <c r="C298" s="230"/>
      <c r="D298" s="230"/>
      <c r="E298" s="230"/>
      <c r="F298" s="230"/>
      <c r="G298" s="230"/>
      <c r="H298" s="230"/>
      <c r="I298" s="230"/>
      <c r="J298" s="230"/>
      <c r="K298" s="230"/>
      <c r="L298" s="230"/>
      <c r="M298" s="230"/>
      <c r="N298" s="230"/>
      <c r="O298" s="230"/>
      <c r="P298" s="230"/>
      <c r="Q298" s="230"/>
      <c r="R298" s="230"/>
      <c r="S298" s="230"/>
      <c r="T298" s="230"/>
      <c r="U298" s="230"/>
      <c r="V298" s="230"/>
      <c r="W298" s="230"/>
      <c r="X298" s="230"/>
      <c r="Y298" s="230"/>
      <c r="Z298" s="230"/>
    </row>
    <row r="299" spans="1:26" ht="15.75" customHeight="1">
      <c r="A299" s="230"/>
      <c r="B299" s="230"/>
      <c r="C299" s="230"/>
      <c r="D299" s="230"/>
      <c r="E299" s="230"/>
      <c r="F299" s="230"/>
      <c r="G299" s="230"/>
      <c r="H299" s="230"/>
      <c r="I299" s="230"/>
      <c r="J299" s="230"/>
      <c r="K299" s="230"/>
      <c r="L299" s="230"/>
      <c r="M299" s="230"/>
      <c r="N299" s="230"/>
      <c r="O299" s="230"/>
      <c r="P299" s="230"/>
      <c r="Q299" s="230"/>
      <c r="R299" s="230"/>
      <c r="S299" s="230"/>
      <c r="T299" s="230"/>
      <c r="U299" s="230"/>
      <c r="V299" s="230"/>
      <c r="W299" s="230"/>
      <c r="X299" s="230"/>
      <c r="Y299" s="230"/>
      <c r="Z299" s="230"/>
    </row>
    <row r="300" spans="1:26" ht="15.75" customHeight="1">
      <c r="A300" s="230"/>
      <c r="B300" s="230"/>
      <c r="C300" s="230"/>
      <c r="D300" s="230"/>
      <c r="E300" s="230"/>
      <c r="F300" s="230"/>
      <c r="G300" s="230"/>
      <c r="H300" s="230"/>
      <c r="I300" s="230"/>
      <c r="J300" s="230"/>
      <c r="K300" s="230"/>
      <c r="L300" s="230"/>
      <c r="M300" s="230"/>
      <c r="N300" s="230"/>
      <c r="O300" s="230"/>
      <c r="P300" s="230"/>
      <c r="Q300" s="230"/>
      <c r="R300" s="230"/>
      <c r="S300" s="230"/>
      <c r="T300" s="230"/>
      <c r="U300" s="230"/>
      <c r="V300" s="230"/>
      <c r="W300" s="230"/>
      <c r="X300" s="230"/>
      <c r="Y300" s="230"/>
      <c r="Z300" s="230"/>
    </row>
    <row r="301" spans="1:26" ht="15.75" customHeight="1">
      <c r="A301" s="230"/>
      <c r="B301" s="230"/>
      <c r="C301" s="230"/>
      <c r="D301" s="230"/>
      <c r="E301" s="230"/>
      <c r="F301" s="230"/>
      <c r="G301" s="230"/>
      <c r="H301" s="230"/>
      <c r="I301" s="230"/>
      <c r="J301" s="230"/>
      <c r="K301" s="230"/>
      <c r="L301" s="230"/>
      <c r="M301" s="230"/>
      <c r="N301" s="230"/>
      <c r="O301" s="230"/>
      <c r="P301" s="230"/>
      <c r="Q301" s="230"/>
      <c r="R301" s="230"/>
      <c r="S301" s="230"/>
      <c r="T301" s="230"/>
      <c r="U301" s="230"/>
      <c r="V301" s="230"/>
      <c r="W301" s="230"/>
      <c r="X301" s="230"/>
      <c r="Y301" s="230"/>
      <c r="Z301" s="230"/>
    </row>
    <row r="302" spans="1:26" ht="15.75" customHeight="1">
      <c r="A302" s="230"/>
      <c r="B302" s="230"/>
      <c r="C302" s="230"/>
      <c r="D302" s="230"/>
      <c r="E302" s="230"/>
      <c r="F302" s="230"/>
      <c r="G302" s="230"/>
      <c r="H302" s="230"/>
      <c r="I302" s="230"/>
      <c r="J302" s="230"/>
      <c r="K302" s="230"/>
      <c r="L302" s="230"/>
      <c r="M302" s="230"/>
      <c r="N302" s="230"/>
      <c r="O302" s="230"/>
      <c r="P302" s="230"/>
      <c r="Q302" s="230"/>
      <c r="R302" s="230"/>
      <c r="S302" s="230"/>
      <c r="T302" s="230"/>
      <c r="U302" s="230"/>
      <c r="V302" s="230"/>
      <c r="W302" s="230"/>
      <c r="X302" s="230"/>
      <c r="Y302" s="230"/>
      <c r="Z302" s="230"/>
    </row>
    <row r="303" spans="1:26" ht="15.75" customHeight="1">
      <c r="A303" s="230"/>
      <c r="B303" s="230"/>
      <c r="C303" s="230"/>
      <c r="D303" s="230"/>
      <c r="E303" s="230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30"/>
      <c r="S303" s="230"/>
      <c r="T303" s="230"/>
      <c r="U303" s="230"/>
      <c r="V303" s="230"/>
      <c r="W303" s="230"/>
      <c r="X303" s="230"/>
      <c r="Y303" s="230"/>
      <c r="Z303" s="230"/>
    </row>
    <row r="304" spans="1:26" ht="15.75" customHeight="1">
      <c r="A304" s="230"/>
      <c r="B304" s="230"/>
      <c r="C304" s="230"/>
      <c r="D304" s="230"/>
      <c r="E304" s="230"/>
      <c r="F304" s="230"/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0"/>
      <c r="S304" s="230"/>
      <c r="T304" s="230"/>
      <c r="U304" s="230"/>
      <c r="V304" s="230"/>
      <c r="W304" s="230"/>
      <c r="X304" s="230"/>
      <c r="Y304" s="230"/>
      <c r="Z304" s="230"/>
    </row>
    <row r="305" spans="1:26" ht="15.75" customHeight="1">
      <c r="A305" s="230"/>
      <c r="B305" s="230"/>
      <c r="C305" s="230"/>
      <c r="D305" s="230"/>
      <c r="E305" s="230"/>
      <c r="F305" s="230"/>
      <c r="G305" s="230"/>
      <c r="H305" s="230"/>
      <c r="I305" s="230"/>
      <c r="J305" s="230"/>
      <c r="K305" s="230"/>
      <c r="L305" s="230"/>
      <c r="M305" s="230"/>
      <c r="N305" s="230"/>
      <c r="O305" s="230"/>
      <c r="P305" s="230"/>
      <c r="Q305" s="230"/>
      <c r="R305" s="230"/>
      <c r="S305" s="230"/>
      <c r="T305" s="230"/>
      <c r="U305" s="230"/>
      <c r="V305" s="230"/>
      <c r="W305" s="230"/>
      <c r="X305" s="230"/>
      <c r="Y305" s="230"/>
      <c r="Z305" s="230"/>
    </row>
    <row r="306" spans="1:26" ht="15.75" customHeight="1">
      <c r="A306" s="230"/>
      <c r="B306" s="230"/>
      <c r="C306" s="230"/>
      <c r="D306" s="230"/>
      <c r="E306" s="230"/>
      <c r="F306" s="230"/>
      <c r="G306" s="230"/>
      <c r="H306" s="230"/>
      <c r="I306" s="230"/>
      <c r="J306" s="230"/>
      <c r="K306" s="230"/>
      <c r="L306" s="230"/>
      <c r="M306" s="230"/>
      <c r="N306" s="230"/>
      <c r="O306" s="230"/>
      <c r="P306" s="230"/>
      <c r="Q306" s="230"/>
      <c r="R306" s="230"/>
      <c r="S306" s="230"/>
      <c r="T306" s="230"/>
      <c r="U306" s="230"/>
      <c r="V306" s="230"/>
      <c r="W306" s="230"/>
      <c r="X306" s="230"/>
      <c r="Y306" s="230"/>
      <c r="Z306" s="230"/>
    </row>
    <row r="307" spans="1:26" ht="15.75" customHeight="1">
      <c r="A307" s="230"/>
      <c r="B307" s="230"/>
      <c r="C307" s="230"/>
      <c r="D307" s="230"/>
      <c r="E307" s="230"/>
      <c r="F307" s="230"/>
      <c r="G307" s="230"/>
      <c r="H307" s="230"/>
      <c r="I307" s="230"/>
      <c r="J307" s="230"/>
      <c r="K307" s="230"/>
      <c r="L307" s="230"/>
      <c r="M307" s="230"/>
      <c r="N307" s="230"/>
      <c r="O307" s="230"/>
      <c r="P307" s="230"/>
      <c r="Q307" s="230"/>
      <c r="R307" s="230"/>
      <c r="S307" s="230"/>
      <c r="T307" s="230"/>
      <c r="U307" s="230"/>
      <c r="V307" s="230"/>
      <c r="W307" s="230"/>
      <c r="X307" s="230"/>
      <c r="Y307" s="230"/>
      <c r="Z307" s="230"/>
    </row>
    <row r="308" spans="1:26" ht="15.75" customHeight="1">
      <c r="A308" s="230"/>
      <c r="B308" s="230"/>
      <c r="C308" s="230"/>
      <c r="D308" s="230"/>
      <c r="E308" s="230"/>
      <c r="F308" s="230"/>
      <c r="G308" s="230"/>
      <c r="H308" s="230"/>
      <c r="I308" s="230"/>
      <c r="J308" s="230"/>
      <c r="K308" s="230"/>
      <c r="L308" s="230"/>
      <c r="M308" s="230"/>
      <c r="N308" s="230"/>
      <c r="O308" s="230"/>
      <c r="P308" s="230"/>
      <c r="Q308" s="230"/>
      <c r="R308" s="230"/>
      <c r="S308" s="230"/>
      <c r="T308" s="230"/>
      <c r="U308" s="230"/>
      <c r="V308" s="230"/>
      <c r="W308" s="230"/>
      <c r="X308" s="230"/>
      <c r="Y308" s="230"/>
      <c r="Z308" s="230"/>
    </row>
    <row r="309" spans="1:26" ht="15.75" customHeight="1">
      <c r="A309" s="230"/>
      <c r="B309" s="230"/>
      <c r="C309" s="230"/>
      <c r="D309" s="230"/>
      <c r="E309" s="230"/>
      <c r="F309" s="230"/>
      <c r="G309" s="230"/>
      <c r="H309" s="230"/>
      <c r="I309" s="230"/>
      <c r="J309" s="230"/>
      <c r="K309" s="230"/>
      <c r="L309" s="230"/>
      <c r="M309" s="230"/>
      <c r="N309" s="230"/>
      <c r="O309" s="230"/>
      <c r="P309" s="230"/>
      <c r="Q309" s="230"/>
      <c r="R309" s="230"/>
      <c r="S309" s="230"/>
      <c r="T309" s="230"/>
      <c r="U309" s="230"/>
      <c r="V309" s="230"/>
      <c r="W309" s="230"/>
      <c r="X309" s="230"/>
      <c r="Y309" s="230"/>
      <c r="Z309" s="230"/>
    </row>
    <row r="310" spans="1:26" ht="15.75" customHeight="1">
      <c r="A310" s="230"/>
      <c r="B310" s="230"/>
      <c r="C310" s="230"/>
      <c r="D310" s="230"/>
      <c r="E310" s="230"/>
      <c r="F310" s="230"/>
      <c r="G310" s="230"/>
      <c r="H310" s="230"/>
      <c r="I310" s="230"/>
      <c r="J310" s="230"/>
      <c r="K310" s="230"/>
      <c r="L310" s="230"/>
      <c r="M310" s="230"/>
      <c r="N310" s="230"/>
      <c r="O310" s="230"/>
      <c r="P310" s="230"/>
      <c r="Q310" s="230"/>
      <c r="R310" s="230"/>
      <c r="S310" s="230"/>
      <c r="T310" s="230"/>
      <c r="U310" s="230"/>
      <c r="V310" s="230"/>
      <c r="W310" s="230"/>
      <c r="X310" s="230"/>
      <c r="Y310" s="230"/>
      <c r="Z310" s="230"/>
    </row>
    <row r="311" spans="1:26" ht="15.75" customHeight="1">
      <c r="A311" s="230"/>
      <c r="B311" s="230"/>
      <c r="C311" s="230"/>
      <c r="D311" s="230"/>
      <c r="E311" s="230"/>
      <c r="F311" s="230"/>
      <c r="G311" s="230"/>
      <c r="H311" s="230"/>
      <c r="I311" s="230"/>
      <c r="J311" s="230"/>
      <c r="K311" s="230"/>
      <c r="L311" s="230"/>
      <c r="M311" s="230"/>
      <c r="N311" s="230"/>
      <c r="O311" s="230"/>
      <c r="P311" s="230"/>
      <c r="Q311" s="230"/>
      <c r="R311" s="230"/>
      <c r="S311" s="230"/>
      <c r="T311" s="230"/>
      <c r="U311" s="230"/>
      <c r="V311" s="230"/>
      <c r="W311" s="230"/>
      <c r="X311" s="230"/>
      <c r="Y311" s="230"/>
      <c r="Z311" s="230"/>
    </row>
    <row r="312" spans="1:26" ht="15.75" customHeight="1">
      <c r="A312" s="230"/>
      <c r="B312" s="230"/>
      <c r="C312" s="230"/>
      <c r="D312" s="230"/>
      <c r="E312" s="230"/>
      <c r="F312" s="230"/>
      <c r="G312" s="230"/>
      <c r="H312" s="230"/>
      <c r="I312" s="230"/>
      <c r="J312" s="230"/>
      <c r="K312" s="230"/>
      <c r="L312" s="230"/>
      <c r="M312" s="230"/>
      <c r="N312" s="230"/>
      <c r="O312" s="230"/>
      <c r="P312" s="230"/>
      <c r="Q312" s="230"/>
      <c r="R312" s="230"/>
      <c r="S312" s="230"/>
      <c r="T312" s="230"/>
      <c r="U312" s="230"/>
      <c r="V312" s="230"/>
      <c r="W312" s="230"/>
      <c r="X312" s="230"/>
      <c r="Y312" s="230"/>
      <c r="Z312" s="230"/>
    </row>
    <row r="313" spans="1:26" ht="15.75" customHeight="1">
      <c r="A313" s="230"/>
      <c r="B313" s="230"/>
      <c r="C313" s="230"/>
      <c r="D313" s="230"/>
      <c r="E313" s="230"/>
      <c r="F313" s="230"/>
      <c r="G313" s="230"/>
      <c r="H313" s="230"/>
      <c r="I313" s="230"/>
      <c r="J313" s="230"/>
      <c r="K313" s="230"/>
      <c r="L313" s="230"/>
      <c r="M313" s="230"/>
      <c r="N313" s="230"/>
      <c r="O313" s="230"/>
      <c r="P313" s="230"/>
      <c r="Q313" s="230"/>
      <c r="R313" s="230"/>
      <c r="S313" s="230"/>
      <c r="T313" s="230"/>
      <c r="U313" s="230"/>
      <c r="V313" s="230"/>
      <c r="W313" s="230"/>
      <c r="X313" s="230"/>
      <c r="Y313" s="230"/>
      <c r="Z313" s="230"/>
    </row>
    <row r="314" spans="1:26" ht="15.75" customHeight="1">
      <c r="A314" s="230"/>
      <c r="B314" s="230"/>
      <c r="C314" s="230"/>
      <c r="D314" s="230"/>
      <c r="E314" s="230"/>
      <c r="F314" s="230"/>
      <c r="G314" s="230"/>
      <c r="H314" s="230"/>
      <c r="I314" s="230"/>
      <c r="J314" s="230"/>
      <c r="K314" s="230"/>
      <c r="L314" s="230"/>
      <c r="M314" s="230"/>
      <c r="N314" s="230"/>
      <c r="O314" s="230"/>
      <c r="P314" s="230"/>
      <c r="Q314" s="230"/>
      <c r="R314" s="230"/>
      <c r="S314" s="230"/>
      <c r="T314" s="230"/>
      <c r="U314" s="230"/>
      <c r="V314" s="230"/>
      <c r="W314" s="230"/>
      <c r="X314" s="230"/>
      <c r="Y314" s="230"/>
      <c r="Z314" s="230"/>
    </row>
    <row r="315" spans="1:26" ht="15.75" customHeight="1">
      <c r="A315" s="230"/>
      <c r="B315" s="230"/>
      <c r="C315" s="230"/>
      <c r="D315" s="230"/>
      <c r="E315" s="230"/>
      <c r="F315" s="230"/>
      <c r="G315" s="230"/>
      <c r="H315" s="230"/>
      <c r="I315" s="230"/>
      <c r="J315" s="230"/>
      <c r="K315" s="230"/>
      <c r="L315" s="230"/>
      <c r="M315" s="230"/>
      <c r="N315" s="230"/>
      <c r="O315" s="230"/>
      <c r="P315" s="230"/>
      <c r="Q315" s="230"/>
      <c r="R315" s="230"/>
      <c r="S315" s="230"/>
      <c r="T315" s="230"/>
      <c r="U315" s="230"/>
      <c r="V315" s="230"/>
      <c r="W315" s="230"/>
      <c r="X315" s="230"/>
      <c r="Y315" s="230"/>
      <c r="Z315" s="230"/>
    </row>
    <row r="316" spans="1:26" ht="15.75" customHeight="1">
      <c r="A316" s="230"/>
      <c r="B316" s="230"/>
      <c r="C316" s="230"/>
      <c r="D316" s="230"/>
      <c r="E316" s="230"/>
      <c r="F316" s="230"/>
      <c r="G316" s="230"/>
      <c r="H316" s="230"/>
      <c r="I316" s="230"/>
      <c r="J316" s="230"/>
      <c r="K316" s="230"/>
      <c r="L316" s="230"/>
      <c r="M316" s="230"/>
      <c r="N316" s="230"/>
      <c r="O316" s="230"/>
      <c r="P316" s="230"/>
      <c r="Q316" s="230"/>
      <c r="R316" s="230"/>
      <c r="S316" s="230"/>
      <c r="T316" s="230"/>
      <c r="U316" s="230"/>
      <c r="V316" s="230"/>
      <c r="W316" s="230"/>
      <c r="X316" s="230"/>
      <c r="Y316" s="230"/>
      <c r="Z316" s="230"/>
    </row>
    <row r="317" spans="1:26" ht="15.75" customHeight="1">
      <c r="A317" s="230"/>
      <c r="B317" s="230"/>
      <c r="C317" s="230"/>
      <c r="D317" s="230"/>
      <c r="E317" s="230"/>
      <c r="F317" s="230"/>
      <c r="G317" s="230"/>
      <c r="H317" s="230"/>
      <c r="I317" s="230"/>
      <c r="J317" s="230"/>
      <c r="K317" s="230"/>
      <c r="L317" s="230"/>
      <c r="M317" s="230"/>
      <c r="N317" s="230"/>
      <c r="O317" s="230"/>
      <c r="P317" s="230"/>
      <c r="Q317" s="230"/>
      <c r="R317" s="230"/>
      <c r="S317" s="230"/>
      <c r="T317" s="230"/>
      <c r="U317" s="230"/>
      <c r="V317" s="230"/>
      <c r="W317" s="230"/>
      <c r="X317" s="230"/>
      <c r="Y317" s="230"/>
      <c r="Z317" s="230"/>
    </row>
    <row r="318" spans="1:26" ht="15.75" customHeight="1">
      <c r="A318" s="230"/>
      <c r="B318" s="230"/>
      <c r="C318" s="230"/>
      <c r="D318" s="230"/>
      <c r="E318" s="230"/>
      <c r="F318" s="230"/>
      <c r="G318" s="230"/>
      <c r="H318" s="230"/>
      <c r="I318" s="230"/>
      <c r="J318" s="230"/>
      <c r="K318" s="230"/>
      <c r="L318" s="230"/>
      <c r="M318" s="230"/>
      <c r="N318" s="230"/>
      <c r="O318" s="230"/>
      <c r="P318" s="230"/>
      <c r="Q318" s="230"/>
      <c r="R318" s="230"/>
      <c r="S318" s="230"/>
      <c r="T318" s="230"/>
      <c r="U318" s="230"/>
      <c r="V318" s="230"/>
      <c r="W318" s="230"/>
      <c r="X318" s="230"/>
      <c r="Y318" s="230"/>
      <c r="Z318" s="230"/>
    </row>
    <row r="319" spans="1:26" ht="15.75" customHeight="1">
      <c r="A319" s="230"/>
      <c r="B319" s="230"/>
      <c r="C319" s="230"/>
      <c r="D319" s="230"/>
      <c r="E319" s="230"/>
      <c r="F319" s="230"/>
      <c r="G319" s="230"/>
      <c r="H319" s="230"/>
      <c r="I319" s="230"/>
      <c r="J319" s="230"/>
      <c r="K319" s="230"/>
      <c r="L319" s="230"/>
      <c r="M319" s="230"/>
      <c r="N319" s="230"/>
      <c r="O319" s="230"/>
      <c r="P319" s="230"/>
      <c r="Q319" s="230"/>
      <c r="R319" s="230"/>
      <c r="S319" s="230"/>
      <c r="T319" s="230"/>
      <c r="U319" s="230"/>
      <c r="V319" s="230"/>
      <c r="W319" s="230"/>
      <c r="X319" s="230"/>
      <c r="Y319" s="230"/>
      <c r="Z319" s="230"/>
    </row>
    <row r="320" spans="1:26" ht="15.75" customHeight="1">
      <c r="A320" s="230"/>
      <c r="B320" s="230"/>
      <c r="C320" s="230"/>
      <c r="D320" s="230"/>
      <c r="E320" s="230"/>
      <c r="F320" s="230"/>
      <c r="G320" s="230"/>
      <c r="H320" s="230"/>
      <c r="I320" s="230"/>
      <c r="J320" s="230"/>
      <c r="K320" s="230"/>
      <c r="L320" s="230"/>
      <c r="M320" s="230"/>
      <c r="N320" s="230"/>
      <c r="O320" s="230"/>
      <c r="P320" s="230"/>
      <c r="Q320" s="230"/>
      <c r="R320" s="230"/>
      <c r="S320" s="230"/>
      <c r="T320" s="230"/>
      <c r="U320" s="230"/>
      <c r="V320" s="230"/>
      <c r="W320" s="230"/>
      <c r="X320" s="230"/>
      <c r="Y320" s="230"/>
      <c r="Z320" s="230"/>
    </row>
    <row r="321" spans="1:26" ht="15.75" customHeight="1">
      <c r="A321" s="230"/>
      <c r="B321" s="230"/>
      <c r="C321" s="230"/>
      <c r="D321" s="230"/>
      <c r="E321" s="230"/>
      <c r="F321" s="230"/>
      <c r="G321" s="230"/>
      <c r="H321" s="230"/>
      <c r="I321" s="230"/>
      <c r="J321" s="230"/>
      <c r="K321" s="230"/>
      <c r="L321" s="230"/>
      <c r="M321" s="230"/>
      <c r="N321" s="230"/>
      <c r="O321" s="230"/>
      <c r="P321" s="230"/>
      <c r="Q321" s="230"/>
      <c r="R321" s="230"/>
      <c r="S321" s="230"/>
      <c r="T321" s="230"/>
      <c r="U321" s="230"/>
      <c r="V321" s="230"/>
      <c r="W321" s="230"/>
      <c r="X321" s="230"/>
      <c r="Y321" s="230"/>
      <c r="Z321" s="230"/>
    </row>
    <row r="322" spans="1:26" ht="15.75" customHeight="1">
      <c r="A322" s="230"/>
      <c r="B322" s="230"/>
      <c r="C322" s="230"/>
      <c r="D322" s="230"/>
      <c r="E322" s="230"/>
      <c r="F322" s="230"/>
      <c r="G322" s="230"/>
      <c r="H322" s="230"/>
      <c r="I322" s="230"/>
      <c r="J322" s="230"/>
      <c r="K322" s="230"/>
      <c r="L322" s="230"/>
      <c r="M322" s="230"/>
      <c r="N322" s="230"/>
      <c r="O322" s="230"/>
      <c r="P322" s="230"/>
      <c r="Q322" s="230"/>
      <c r="R322" s="230"/>
      <c r="S322" s="230"/>
      <c r="T322" s="230"/>
      <c r="U322" s="230"/>
      <c r="V322" s="230"/>
      <c r="W322" s="230"/>
      <c r="X322" s="230"/>
      <c r="Y322" s="230"/>
      <c r="Z322" s="230"/>
    </row>
    <row r="323" spans="1:26" ht="15.75" customHeight="1">
      <c r="A323" s="230"/>
      <c r="B323" s="230"/>
      <c r="C323" s="230"/>
      <c r="D323" s="230"/>
      <c r="E323" s="230"/>
      <c r="F323" s="230"/>
      <c r="G323" s="230"/>
      <c r="H323" s="230"/>
      <c r="I323" s="230"/>
      <c r="J323" s="230"/>
      <c r="K323" s="230"/>
      <c r="L323" s="230"/>
      <c r="M323" s="230"/>
      <c r="N323" s="230"/>
      <c r="O323" s="230"/>
      <c r="P323" s="230"/>
      <c r="Q323" s="230"/>
      <c r="R323" s="230"/>
      <c r="S323" s="230"/>
      <c r="T323" s="230"/>
      <c r="U323" s="230"/>
      <c r="V323" s="230"/>
      <c r="W323" s="230"/>
      <c r="X323" s="230"/>
      <c r="Y323" s="230"/>
      <c r="Z323" s="230"/>
    </row>
    <row r="324" spans="1:26" ht="15.75" customHeight="1">
      <c r="A324" s="230"/>
      <c r="B324" s="230"/>
      <c r="C324" s="230"/>
      <c r="D324" s="230"/>
      <c r="E324" s="230"/>
      <c r="F324" s="230"/>
      <c r="G324" s="230"/>
      <c r="H324" s="230"/>
      <c r="I324" s="230"/>
      <c r="J324" s="230"/>
      <c r="K324" s="230"/>
      <c r="L324" s="230"/>
      <c r="M324" s="230"/>
      <c r="N324" s="230"/>
      <c r="O324" s="230"/>
      <c r="P324" s="230"/>
      <c r="Q324" s="230"/>
      <c r="R324" s="230"/>
      <c r="S324" s="230"/>
      <c r="T324" s="230"/>
      <c r="U324" s="230"/>
      <c r="V324" s="230"/>
      <c r="W324" s="230"/>
      <c r="X324" s="230"/>
      <c r="Y324" s="230"/>
      <c r="Z324" s="230"/>
    </row>
    <row r="325" spans="1:26" ht="15.75" customHeight="1">
      <c r="A325" s="230"/>
      <c r="B325" s="230"/>
      <c r="C325" s="230"/>
      <c r="D325" s="230"/>
      <c r="E325" s="230"/>
      <c r="F325" s="230"/>
      <c r="G325" s="230"/>
      <c r="H325" s="230"/>
      <c r="I325" s="230"/>
      <c r="J325" s="230"/>
      <c r="K325" s="230"/>
      <c r="L325" s="230"/>
      <c r="M325" s="230"/>
      <c r="N325" s="230"/>
      <c r="O325" s="230"/>
      <c r="P325" s="230"/>
      <c r="Q325" s="230"/>
      <c r="R325" s="230"/>
      <c r="S325" s="230"/>
      <c r="T325" s="230"/>
      <c r="U325" s="230"/>
      <c r="V325" s="230"/>
      <c r="W325" s="230"/>
      <c r="X325" s="230"/>
      <c r="Y325" s="230"/>
      <c r="Z325" s="230"/>
    </row>
    <row r="326" spans="1:26" ht="15.75" customHeight="1">
      <c r="A326" s="230"/>
      <c r="B326" s="230"/>
      <c r="C326" s="230"/>
      <c r="D326" s="230"/>
      <c r="E326" s="230"/>
      <c r="F326" s="230"/>
      <c r="G326" s="230"/>
      <c r="H326" s="230"/>
      <c r="I326" s="230"/>
      <c r="J326" s="230"/>
      <c r="K326" s="230"/>
      <c r="L326" s="230"/>
      <c r="M326" s="230"/>
      <c r="N326" s="230"/>
      <c r="O326" s="230"/>
      <c r="P326" s="230"/>
      <c r="Q326" s="230"/>
      <c r="R326" s="230"/>
      <c r="S326" s="230"/>
      <c r="T326" s="230"/>
      <c r="U326" s="230"/>
      <c r="V326" s="230"/>
      <c r="W326" s="230"/>
      <c r="X326" s="230"/>
      <c r="Y326" s="230"/>
      <c r="Z326" s="230"/>
    </row>
    <row r="327" spans="1:26" ht="15.75" customHeight="1">
      <c r="A327" s="230"/>
      <c r="B327" s="230"/>
      <c r="C327" s="230"/>
      <c r="D327" s="230"/>
      <c r="E327" s="230"/>
      <c r="F327" s="230"/>
      <c r="G327" s="230"/>
      <c r="H327" s="230"/>
      <c r="I327" s="230"/>
      <c r="J327" s="230"/>
      <c r="K327" s="230"/>
      <c r="L327" s="230"/>
      <c r="M327" s="230"/>
      <c r="N327" s="230"/>
      <c r="O327" s="230"/>
      <c r="P327" s="230"/>
      <c r="Q327" s="230"/>
      <c r="R327" s="230"/>
      <c r="S327" s="230"/>
      <c r="T327" s="230"/>
      <c r="U327" s="230"/>
      <c r="V327" s="230"/>
      <c r="W327" s="230"/>
      <c r="X327" s="230"/>
      <c r="Y327" s="230"/>
      <c r="Z327" s="230"/>
    </row>
    <row r="328" spans="1:26" ht="15.75" customHeight="1">
      <c r="A328" s="230"/>
      <c r="B328" s="230"/>
      <c r="C328" s="230"/>
      <c r="D328" s="230"/>
      <c r="E328" s="230"/>
      <c r="F328" s="230"/>
      <c r="G328" s="230"/>
      <c r="H328" s="230"/>
      <c r="I328" s="230"/>
      <c r="J328" s="230"/>
      <c r="K328" s="230"/>
      <c r="L328" s="230"/>
      <c r="M328" s="230"/>
      <c r="N328" s="230"/>
      <c r="O328" s="230"/>
      <c r="P328" s="230"/>
      <c r="Q328" s="230"/>
      <c r="R328" s="230"/>
      <c r="S328" s="230"/>
      <c r="T328" s="230"/>
      <c r="U328" s="230"/>
      <c r="V328" s="230"/>
      <c r="W328" s="230"/>
      <c r="X328" s="230"/>
      <c r="Y328" s="230"/>
      <c r="Z328" s="230"/>
    </row>
    <row r="329" spans="1:26" ht="15.75" customHeight="1">
      <c r="A329" s="230"/>
      <c r="B329" s="230"/>
      <c r="C329" s="230"/>
      <c r="D329" s="230"/>
      <c r="E329" s="230"/>
      <c r="F329" s="230"/>
      <c r="G329" s="230"/>
      <c r="H329" s="230"/>
      <c r="I329" s="230"/>
      <c r="J329" s="230"/>
      <c r="K329" s="230"/>
      <c r="L329" s="230"/>
      <c r="M329" s="230"/>
      <c r="N329" s="230"/>
      <c r="O329" s="230"/>
      <c r="P329" s="230"/>
      <c r="Q329" s="230"/>
      <c r="R329" s="230"/>
      <c r="S329" s="230"/>
      <c r="T329" s="230"/>
      <c r="U329" s="230"/>
      <c r="V329" s="230"/>
      <c r="W329" s="230"/>
      <c r="X329" s="230"/>
      <c r="Y329" s="230"/>
      <c r="Z329" s="230"/>
    </row>
    <row r="330" spans="1:26" ht="15.75" customHeight="1">
      <c r="A330" s="230"/>
      <c r="B330" s="230"/>
      <c r="C330" s="230"/>
      <c r="D330" s="230"/>
      <c r="E330" s="230"/>
      <c r="F330" s="230"/>
      <c r="G330" s="230"/>
      <c r="H330" s="230"/>
      <c r="I330" s="230"/>
      <c r="J330" s="230"/>
      <c r="K330" s="230"/>
      <c r="L330" s="230"/>
      <c r="M330" s="230"/>
      <c r="N330" s="230"/>
      <c r="O330" s="230"/>
      <c r="P330" s="230"/>
      <c r="Q330" s="230"/>
      <c r="R330" s="230"/>
      <c r="S330" s="230"/>
      <c r="T330" s="230"/>
      <c r="U330" s="230"/>
      <c r="V330" s="230"/>
      <c r="W330" s="230"/>
      <c r="X330" s="230"/>
      <c r="Y330" s="230"/>
      <c r="Z330" s="230"/>
    </row>
    <row r="331" spans="1:26" ht="15.75" customHeight="1">
      <c r="A331" s="230"/>
      <c r="B331" s="230"/>
      <c r="C331" s="230"/>
      <c r="D331" s="230"/>
      <c r="E331" s="230"/>
      <c r="F331" s="230"/>
      <c r="G331" s="230"/>
      <c r="H331" s="230"/>
      <c r="I331" s="230"/>
      <c r="J331" s="230"/>
      <c r="K331" s="230"/>
      <c r="L331" s="230"/>
      <c r="M331" s="230"/>
      <c r="N331" s="230"/>
      <c r="O331" s="230"/>
      <c r="P331" s="230"/>
      <c r="Q331" s="230"/>
      <c r="R331" s="230"/>
      <c r="S331" s="230"/>
      <c r="T331" s="230"/>
      <c r="U331" s="230"/>
      <c r="V331" s="230"/>
      <c r="W331" s="230"/>
      <c r="X331" s="230"/>
      <c r="Y331" s="230"/>
      <c r="Z331" s="230"/>
    </row>
    <row r="332" spans="1:26" ht="15.75" customHeight="1">
      <c r="A332" s="230"/>
      <c r="B332" s="230"/>
      <c r="C332" s="230"/>
      <c r="D332" s="230"/>
      <c r="E332" s="230"/>
      <c r="F332" s="230"/>
      <c r="G332" s="230"/>
      <c r="H332" s="230"/>
      <c r="I332" s="230"/>
      <c r="J332" s="230"/>
      <c r="K332" s="230"/>
      <c r="L332" s="230"/>
      <c r="M332" s="230"/>
      <c r="N332" s="230"/>
      <c r="O332" s="230"/>
      <c r="P332" s="230"/>
      <c r="Q332" s="230"/>
      <c r="R332" s="230"/>
      <c r="S332" s="230"/>
      <c r="T332" s="230"/>
      <c r="U332" s="230"/>
      <c r="V332" s="230"/>
      <c r="W332" s="230"/>
      <c r="X332" s="230"/>
      <c r="Y332" s="230"/>
      <c r="Z332" s="230"/>
    </row>
    <row r="333" spans="1:26" ht="15.75" customHeight="1">
      <c r="A333" s="230"/>
      <c r="B333" s="230"/>
      <c r="C333" s="230"/>
      <c r="D333" s="230"/>
      <c r="E333" s="230"/>
      <c r="F333" s="230"/>
      <c r="G333" s="230"/>
      <c r="H333" s="230"/>
      <c r="I333" s="230"/>
      <c r="J333" s="230"/>
      <c r="K333" s="230"/>
      <c r="L333" s="230"/>
      <c r="M333" s="230"/>
      <c r="N333" s="230"/>
      <c r="O333" s="230"/>
      <c r="P333" s="230"/>
      <c r="Q333" s="230"/>
      <c r="R333" s="230"/>
      <c r="S333" s="230"/>
      <c r="T333" s="230"/>
      <c r="U333" s="230"/>
      <c r="V333" s="230"/>
      <c r="W333" s="230"/>
      <c r="X333" s="230"/>
      <c r="Y333" s="230"/>
      <c r="Z333" s="230"/>
    </row>
    <row r="334" spans="1:26" ht="15.75" customHeight="1">
      <c r="A334" s="230"/>
      <c r="B334" s="230"/>
      <c r="C334" s="230"/>
      <c r="D334" s="230"/>
      <c r="E334" s="230"/>
      <c r="F334" s="230"/>
      <c r="G334" s="230"/>
      <c r="H334" s="230"/>
      <c r="I334" s="230"/>
      <c r="J334" s="230"/>
      <c r="K334" s="230"/>
      <c r="L334" s="230"/>
      <c r="M334" s="230"/>
      <c r="N334" s="230"/>
      <c r="O334" s="230"/>
      <c r="P334" s="230"/>
      <c r="Q334" s="230"/>
      <c r="R334" s="230"/>
      <c r="S334" s="230"/>
      <c r="T334" s="230"/>
      <c r="U334" s="230"/>
      <c r="V334" s="230"/>
      <c r="W334" s="230"/>
      <c r="X334" s="230"/>
      <c r="Y334" s="230"/>
      <c r="Z334" s="230"/>
    </row>
    <row r="335" spans="1:26" ht="15.75" customHeight="1">
      <c r="A335" s="230"/>
      <c r="B335" s="230"/>
      <c r="C335" s="230"/>
      <c r="D335" s="230"/>
      <c r="E335" s="230"/>
      <c r="F335" s="230"/>
      <c r="G335" s="230"/>
      <c r="H335" s="230"/>
      <c r="I335" s="230"/>
      <c r="J335" s="230"/>
      <c r="K335" s="230"/>
      <c r="L335" s="230"/>
      <c r="M335" s="230"/>
      <c r="N335" s="230"/>
      <c r="O335" s="230"/>
      <c r="P335" s="230"/>
      <c r="Q335" s="230"/>
      <c r="R335" s="230"/>
      <c r="S335" s="230"/>
      <c r="T335" s="230"/>
      <c r="U335" s="230"/>
      <c r="V335" s="230"/>
      <c r="W335" s="230"/>
      <c r="X335" s="230"/>
      <c r="Y335" s="230"/>
      <c r="Z335" s="230"/>
    </row>
    <row r="336" spans="1:26" ht="15.75" customHeight="1">
      <c r="A336" s="230"/>
      <c r="B336" s="230"/>
      <c r="C336" s="230"/>
      <c r="D336" s="230"/>
      <c r="E336" s="230"/>
      <c r="F336" s="230"/>
      <c r="G336" s="230"/>
      <c r="H336" s="230"/>
      <c r="I336" s="230"/>
      <c r="J336" s="230"/>
      <c r="K336" s="230"/>
      <c r="L336" s="230"/>
      <c r="M336" s="230"/>
      <c r="N336" s="230"/>
      <c r="O336" s="230"/>
      <c r="P336" s="230"/>
      <c r="Q336" s="230"/>
      <c r="R336" s="230"/>
      <c r="S336" s="230"/>
      <c r="T336" s="230"/>
      <c r="U336" s="230"/>
      <c r="V336" s="230"/>
      <c r="W336" s="230"/>
      <c r="X336" s="230"/>
      <c r="Y336" s="230"/>
      <c r="Z336" s="230"/>
    </row>
    <row r="337" spans="1:26" ht="15.75" customHeight="1">
      <c r="A337" s="230"/>
      <c r="B337" s="230"/>
      <c r="C337" s="230"/>
      <c r="D337" s="230"/>
      <c r="E337" s="230"/>
      <c r="F337" s="230"/>
      <c r="G337" s="230"/>
      <c r="H337" s="230"/>
      <c r="I337" s="230"/>
      <c r="J337" s="230"/>
      <c r="K337" s="230"/>
      <c r="L337" s="230"/>
      <c r="M337" s="230"/>
      <c r="N337" s="230"/>
      <c r="O337" s="230"/>
      <c r="P337" s="230"/>
      <c r="Q337" s="230"/>
      <c r="R337" s="230"/>
      <c r="S337" s="230"/>
      <c r="T337" s="230"/>
      <c r="U337" s="230"/>
      <c r="V337" s="230"/>
      <c r="W337" s="230"/>
      <c r="X337" s="230"/>
      <c r="Y337" s="230"/>
      <c r="Z337" s="230"/>
    </row>
    <row r="338" spans="1:26" ht="15.75" customHeight="1">
      <c r="A338" s="230"/>
      <c r="B338" s="230"/>
      <c r="C338" s="230"/>
      <c r="D338" s="230"/>
      <c r="E338" s="230"/>
      <c r="F338" s="230"/>
      <c r="G338" s="230"/>
      <c r="H338" s="230"/>
      <c r="I338" s="230"/>
      <c r="J338" s="230"/>
      <c r="K338" s="230"/>
      <c r="L338" s="230"/>
      <c r="M338" s="230"/>
      <c r="N338" s="230"/>
      <c r="O338" s="230"/>
      <c r="P338" s="230"/>
      <c r="Q338" s="230"/>
      <c r="R338" s="230"/>
      <c r="S338" s="230"/>
      <c r="T338" s="230"/>
      <c r="U338" s="230"/>
      <c r="V338" s="230"/>
      <c r="W338" s="230"/>
      <c r="X338" s="230"/>
      <c r="Y338" s="230"/>
      <c r="Z338" s="230"/>
    </row>
    <row r="339" spans="1:26" ht="15.75" customHeight="1">
      <c r="A339" s="230"/>
      <c r="B339" s="230"/>
      <c r="C339" s="230"/>
      <c r="D339" s="230"/>
      <c r="E339" s="230"/>
      <c r="F339" s="230"/>
      <c r="G339" s="230"/>
      <c r="H339" s="230"/>
      <c r="I339" s="230"/>
      <c r="J339" s="230"/>
      <c r="K339" s="230"/>
      <c r="L339" s="230"/>
      <c r="M339" s="230"/>
      <c r="N339" s="230"/>
      <c r="O339" s="230"/>
      <c r="P339" s="230"/>
      <c r="Q339" s="230"/>
      <c r="R339" s="230"/>
      <c r="S339" s="230"/>
      <c r="T339" s="230"/>
      <c r="U339" s="230"/>
      <c r="V339" s="230"/>
      <c r="W339" s="230"/>
      <c r="X339" s="230"/>
      <c r="Y339" s="230"/>
      <c r="Z339" s="230"/>
    </row>
    <row r="340" spans="1:26" ht="15.75" customHeight="1">
      <c r="A340" s="230"/>
      <c r="B340" s="230"/>
      <c r="C340" s="230"/>
      <c r="D340" s="230"/>
      <c r="E340" s="230"/>
      <c r="F340" s="230"/>
      <c r="G340" s="230"/>
      <c r="H340" s="230"/>
      <c r="I340" s="230"/>
      <c r="J340" s="230"/>
      <c r="K340" s="230"/>
      <c r="L340" s="230"/>
      <c r="M340" s="230"/>
      <c r="N340" s="230"/>
      <c r="O340" s="230"/>
      <c r="P340" s="230"/>
      <c r="Q340" s="230"/>
      <c r="R340" s="230"/>
      <c r="S340" s="230"/>
      <c r="T340" s="230"/>
      <c r="U340" s="230"/>
      <c r="V340" s="230"/>
      <c r="W340" s="230"/>
      <c r="X340" s="230"/>
      <c r="Y340" s="230"/>
      <c r="Z340" s="230"/>
    </row>
    <row r="341" spans="1:26" ht="15.75" customHeight="1">
      <c r="A341" s="230"/>
      <c r="B341" s="230"/>
      <c r="C341" s="230"/>
      <c r="D341" s="230"/>
      <c r="E341" s="230"/>
      <c r="F341" s="230"/>
      <c r="G341" s="230"/>
      <c r="H341" s="230"/>
      <c r="I341" s="230"/>
      <c r="J341" s="230"/>
      <c r="K341" s="230"/>
      <c r="L341" s="230"/>
      <c r="M341" s="230"/>
      <c r="N341" s="230"/>
      <c r="O341" s="230"/>
      <c r="P341" s="230"/>
      <c r="Q341" s="230"/>
      <c r="R341" s="230"/>
      <c r="S341" s="230"/>
      <c r="T341" s="230"/>
      <c r="U341" s="230"/>
      <c r="V341" s="230"/>
      <c r="W341" s="230"/>
      <c r="X341" s="230"/>
      <c r="Y341" s="230"/>
      <c r="Z341" s="230"/>
    </row>
    <row r="342" spans="1:26" ht="15.75" customHeight="1">
      <c r="A342" s="230"/>
      <c r="B342" s="230"/>
      <c r="C342" s="230"/>
      <c r="D342" s="230"/>
      <c r="E342" s="230"/>
      <c r="F342" s="230"/>
      <c r="G342" s="230"/>
      <c r="H342" s="230"/>
      <c r="I342" s="230"/>
      <c r="J342" s="230"/>
      <c r="K342" s="230"/>
      <c r="L342" s="230"/>
      <c r="M342" s="230"/>
      <c r="N342" s="230"/>
      <c r="O342" s="230"/>
      <c r="P342" s="230"/>
      <c r="Q342" s="230"/>
      <c r="R342" s="230"/>
      <c r="S342" s="230"/>
      <c r="T342" s="230"/>
      <c r="U342" s="230"/>
      <c r="V342" s="230"/>
      <c r="W342" s="230"/>
      <c r="X342" s="230"/>
      <c r="Y342" s="230"/>
      <c r="Z342" s="230"/>
    </row>
    <row r="343" spans="1:26" ht="15.75" customHeight="1">
      <c r="A343" s="230"/>
      <c r="B343" s="230"/>
      <c r="C343" s="230"/>
      <c r="D343" s="230"/>
      <c r="E343" s="230"/>
      <c r="F343" s="230"/>
      <c r="G343" s="230"/>
      <c r="H343" s="230"/>
      <c r="I343" s="230"/>
      <c r="J343" s="230"/>
      <c r="K343" s="230"/>
      <c r="L343" s="230"/>
      <c r="M343" s="230"/>
      <c r="N343" s="230"/>
      <c r="O343" s="230"/>
      <c r="P343" s="230"/>
      <c r="Q343" s="230"/>
      <c r="R343" s="230"/>
      <c r="S343" s="230"/>
      <c r="T343" s="230"/>
      <c r="U343" s="230"/>
      <c r="V343" s="230"/>
      <c r="W343" s="230"/>
      <c r="X343" s="230"/>
      <c r="Y343" s="230"/>
      <c r="Z343" s="230"/>
    </row>
    <row r="344" spans="1:26" ht="15.75" customHeight="1">
      <c r="A344" s="230"/>
      <c r="B344" s="230"/>
      <c r="C344" s="230"/>
      <c r="D344" s="230"/>
      <c r="E344" s="230"/>
      <c r="F344" s="230"/>
      <c r="G344" s="230"/>
      <c r="H344" s="230"/>
      <c r="I344" s="230"/>
      <c r="J344" s="230"/>
      <c r="K344" s="230"/>
      <c r="L344" s="230"/>
      <c r="M344" s="230"/>
      <c r="N344" s="230"/>
      <c r="O344" s="230"/>
      <c r="P344" s="230"/>
      <c r="Q344" s="230"/>
      <c r="R344" s="230"/>
      <c r="S344" s="230"/>
      <c r="T344" s="230"/>
      <c r="U344" s="230"/>
      <c r="V344" s="230"/>
      <c r="W344" s="230"/>
      <c r="X344" s="230"/>
      <c r="Y344" s="230"/>
      <c r="Z344" s="230"/>
    </row>
    <row r="345" spans="1:26" ht="15.75" customHeight="1">
      <c r="A345" s="230"/>
      <c r="B345" s="230"/>
      <c r="C345" s="230"/>
      <c r="D345" s="230"/>
      <c r="E345" s="230"/>
      <c r="F345" s="230"/>
      <c r="G345" s="230"/>
      <c r="H345" s="230"/>
      <c r="I345" s="230"/>
      <c r="J345" s="230"/>
      <c r="K345" s="230"/>
      <c r="L345" s="230"/>
      <c r="M345" s="230"/>
      <c r="N345" s="230"/>
      <c r="O345" s="230"/>
      <c r="P345" s="230"/>
      <c r="Q345" s="230"/>
      <c r="R345" s="230"/>
      <c r="S345" s="230"/>
      <c r="T345" s="230"/>
      <c r="U345" s="230"/>
      <c r="V345" s="230"/>
      <c r="W345" s="230"/>
      <c r="X345" s="230"/>
      <c r="Y345" s="230"/>
      <c r="Z345" s="230"/>
    </row>
    <row r="346" spans="1:26" ht="15.75" customHeight="1">
      <c r="A346" s="230"/>
      <c r="B346" s="230"/>
      <c r="C346" s="230"/>
      <c r="D346" s="230"/>
      <c r="E346" s="230"/>
      <c r="F346" s="230"/>
      <c r="G346" s="230"/>
      <c r="H346" s="230"/>
      <c r="I346" s="230"/>
      <c r="J346" s="230"/>
      <c r="K346" s="230"/>
      <c r="L346" s="230"/>
      <c r="M346" s="230"/>
      <c r="N346" s="230"/>
      <c r="O346" s="230"/>
      <c r="P346" s="230"/>
      <c r="Q346" s="230"/>
      <c r="R346" s="230"/>
      <c r="S346" s="230"/>
      <c r="T346" s="230"/>
      <c r="U346" s="230"/>
      <c r="V346" s="230"/>
      <c r="W346" s="230"/>
      <c r="X346" s="230"/>
      <c r="Y346" s="230"/>
      <c r="Z346" s="230"/>
    </row>
    <row r="347" spans="1:26" ht="15.75" customHeight="1">
      <c r="A347" s="230"/>
      <c r="B347" s="230"/>
      <c r="C347" s="230"/>
      <c r="D347" s="230"/>
      <c r="E347" s="230"/>
      <c r="F347" s="230"/>
      <c r="G347" s="230"/>
      <c r="H347" s="230"/>
      <c r="I347" s="230"/>
      <c r="J347" s="230"/>
      <c r="K347" s="230"/>
      <c r="L347" s="230"/>
      <c r="M347" s="230"/>
      <c r="N347" s="230"/>
      <c r="O347" s="230"/>
      <c r="P347" s="230"/>
      <c r="Q347" s="230"/>
      <c r="R347" s="230"/>
      <c r="S347" s="230"/>
      <c r="T347" s="230"/>
      <c r="U347" s="230"/>
      <c r="V347" s="230"/>
      <c r="W347" s="230"/>
      <c r="X347" s="230"/>
      <c r="Y347" s="230"/>
      <c r="Z347" s="230"/>
    </row>
    <row r="348" spans="1:26" ht="15.75" customHeight="1">
      <c r="A348" s="230"/>
      <c r="B348" s="230"/>
      <c r="C348" s="230"/>
      <c r="D348" s="230"/>
      <c r="E348" s="230"/>
      <c r="F348" s="230"/>
      <c r="G348" s="230"/>
      <c r="H348" s="230"/>
      <c r="I348" s="230"/>
      <c r="J348" s="230"/>
      <c r="K348" s="230"/>
      <c r="L348" s="230"/>
      <c r="M348" s="230"/>
      <c r="N348" s="230"/>
      <c r="O348" s="230"/>
      <c r="P348" s="230"/>
      <c r="Q348" s="230"/>
      <c r="R348" s="230"/>
      <c r="S348" s="230"/>
      <c r="T348" s="230"/>
      <c r="U348" s="230"/>
      <c r="V348" s="230"/>
      <c r="W348" s="230"/>
      <c r="X348" s="230"/>
      <c r="Y348" s="230"/>
      <c r="Z348" s="230"/>
    </row>
    <row r="349" spans="1:26" ht="15.75" customHeight="1">
      <c r="A349" s="230"/>
      <c r="B349" s="230"/>
      <c r="C349" s="230"/>
      <c r="D349" s="230"/>
      <c r="E349" s="230"/>
      <c r="F349" s="230"/>
      <c r="G349" s="230"/>
      <c r="H349" s="230"/>
      <c r="I349" s="230"/>
      <c r="J349" s="230"/>
      <c r="K349" s="230"/>
      <c r="L349" s="230"/>
      <c r="M349" s="230"/>
      <c r="N349" s="230"/>
      <c r="O349" s="230"/>
      <c r="P349" s="230"/>
      <c r="Q349" s="230"/>
      <c r="R349" s="230"/>
      <c r="S349" s="230"/>
      <c r="T349" s="230"/>
      <c r="U349" s="230"/>
      <c r="V349" s="230"/>
      <c r="W349" s="230"/>
      <c r="X349" s="230"/>
      <c r="Y349" s="230"/>
      <c r="Z349" s="230"/>
    </row>
    <row r="350" spans="1:26" ht="15.75" customHeight="1">
      <c r="A350" s="230"/>
      <c r="B350" s="230"/>
      <c r="C350" s="230"/>
      <c r="D350" s="230"/>
      <c r="E350" s="230"/>
      <c r="F350" s="230"/>
      <c r="G350" s="230"/>
      <c r="H350" s="230"/>
      <c r="I350" s="230"/>
      <c r="J350" s="230"/>
      <c r="K350" s="230"/>
      <c r="L350" s="230"/>
      <c r="M350" s="230"/>
      <c r="N350" s="230"/>
      <c r="O350" s="230"/>
      <c r="P350" s="230"/>
      <c r="Q350" s="230"/>
      <c r="R350" s="230"/>
      <c r="S350" s="230"/>
      <c r="T350" s="230"/>
      <c r="U350" s="230"/>
      <c r="V350" s="230"/>
      <c r="W350" s="230"/>
      <c r="X350" s="230"/>
      <c r="Y350" s="230"/>
      <c r="Z350" s="230"/>
    </row>
    <row r="351" spans="1:26" ht="15.75" customHeight="1">
      <c r="A351" s="230"/>
      <c r="B351" s="230"/>
      <c r="C351" s="230"/>
      <c r="D351" s="230"/>
      <c r="E351" s="230"/>
      <c r="F351" s="230"/>
      <c r="G351" s="230"/>
      <c r="H351" s="230"/>
      <c r="I351" s="230"/>
      <c r="J351" s="230"/>
      <c r="K351" s="230"/>
      <c r="L351" s="230"/>
      <c r="M351" s="230"/>
      <c r="N351" s="230"/>
      <c r="O351" s="230"/>
      <c r="P351" s="230"/>
      <c r="Q351" s="230"/>
      <c r="R351" s="230"/>
      <c r="S351" s="230"/>
      <c r="T351" s="230"/>
      <c r="U351" s="230"/>
      <c r="V351" s="230"/>
      <c r="W351" s="230"/>
      <c r="X351" s="230"/>
      <c r="Y351" s="230"/>
      <c r="Z351" s="230"/>
    </row>
    <row r="352" spans="1:26" ht="15.75" customHeight="1">
      <c r="A352" s="230"/>
      <c r="B352" s="230"/>
      <c r="C352" s="230"/>
      <c r="D352" s="230"/>
      <c r="E352" s="230"/>
      <c r="F352" s="230"/>
      <c r="G352" s="230"/>
      <c r="H352" s="230"/>
      <c r="I352" s="230"/>
      <c r="J352" s="230"/>
      <c r="K352" s="230"/>
      <c r="L352" s="230"/>
      <c r="M352" s="230"/>
      <c r="N352" s="230"/>
      <c r="O352" s="230"/>
      <c r="P352" s="230"/>
      <c r="Q352" s="230"/>
      <c r="R352" s="230"/>
      <c r="S352" s="230"/>
      <c r="T352" s="230"/>
      <c r="U352" s="230"/>
      <c r="V352" s="230"/>
      <c r="W352" s="230"/>
      <c r="X352" s="230"/>
      <c r="Y352" s="230"/>
      <c r="Z352" s="230"/>
    </row>
    <row r="353" spans="1:26" ht="15.75" customHeight="1">
      <c r="A353" s="230"/>
      <c r="B353" s="230"/>
      <c r="C353" s="230"/>
      <c r="D353" s="230"/>
      <c r="E353" s="230"/>
      <c r="F353" s="230"/>
      <c r="G353" s="230"/>
      <c r="H353" s="230"/>
      <c r="I353" s="230"/>
      <c r="J353" s="230"/>
      <c r="K353" s="230"/>
      <c r="L353" s="230"/>
      <c r="M353" s="230"/>
      <c r="N353" s="230"/>
      <c r="O353" s="230"/>
      <c r="P353" s="230"/>
      <c r="Q353" s="230"/>
      <c r="R353" s="230"/>
      <c r="S353" s="230"/>
      <c r="T353" s="230"/>
      <c r="U353" s="230"/>
      <c r="V353" s="230"/>
      <c r="W353" s="230"/>
      <c r="X353" s="230"/>
      <c r="Y353" s="230"/>
      <c r="Z353" s="230"/>
    </row>
    <row r="354" spans="1:26" ht="15.75" customHeight="1">
      <c r="A354" s="230"/>
      <c r="B354" s="230"/>
      <c r="C354" s="230"/>
      <c r="D354" s="230"/>
      <c r="E354" s="230"/>
      <c r="F354" s="230"/>
      <c r="G354" s="230"/>
      <c r="H354" s="230"/>
      <c r="I354" s="230"/>
      <c r="J354" s="230"/>
      <c r="K354" s="230"/>
      <c r="L354" s="230"/>
      <c r="M354" s="230"/>
      <c r="N354" s="230"/>
      <c r="O354" s="230"/>
      <c r="P354" s="230"/>
      <c r="Q354" s="230"/>
      <c r="R354" s="230"/>
      <c r="S354" s="230"/>
      <c r="T354" s="230"/>
      <c r="U354" s="230"/>
      <c r="V354" s="230"/>
      <c r="W354" s="230"/>
      <c r="X354" s="230"/>
      <c r="Y354" s="230"/>
      <c r="Z354" s="230"/>
    </row>
    <row r="355" spans="1:26" ht="15.75" customHeight="1">
      <c r="A355" s="230"/>
      <c r="B355" s="230"/>
      <c r="C355" s="230"/>
      <c r="D355" s="230"/>
      <c r="E355" s="230"/>
      <c r="F355" s="230"/>
      <c r="G355" s="230"/>
      <c r="H355" s="230"/>
      <c r="I355" s="230"/>
      <c r="J355" s="230"/>
      <c r="K355" s="230"/>
      <c r="L355" s="230"/>
      <c r="M355" s="230"/>
      <c r="N355" s="230"/>
      <c r="O355" s="230"/>
      <c r="P355" s="230"/>
      <c r="Q355" s="230"/>
      <c r="R355" s="230"/>
      <c r="S355" s="230"/>
      <c r="T355" s="230"/>
      <c r="U355" s="230"/>
      <c r="V355" s="230"/>
      <c r="W355" s="230"/>
      <c r="X355" s="230"/>
      <c r="Y355" s="230"/>
      <c r="Z355" s="230"/>
    </row>
    <row r="356" spans="1:26" ht="15.75" customHeight="1">
      <c r="A356" s="230"/>
      <c r="B356" s="230"/>
      <c r="C356" s="230"/>
      <c r="D356" s="230"/>
      <c r="E356" s="230"/>
      <c r="F356" s="230"/>
      <c r="G356" s="230"/>
      <c r="H356" s="230"/>
      <c r="I356" s="230"/>
      <c r="J356" s="230"/>
      <c r="K356" s="230"/>
      <c r="L356" s="230"/>
      <c r="M356" s="230"/>
      <c r="N356" s="230"/>
      <c r="O356" s="230"/>
      <c r="P356" s="230"/>
      <c r="Q356" s="230"/>
      <c r="R356" s="230"/>
      <c r="S356" s="230"/>
      <c r="T356" s="230"/>
      <c r="U356" s="230"/>
      <c r="V356" s="230"/>
      <c r="W356" s="230"/>
      <c r="X356" s="230"/>
      <c r="Y356" s="230"/>
      <c r="Z356" s="230"/>
    </row>
    <row r="357" spans="1:26" ht="15.75" customHeight="1">
      <c r="A357" s="230"/>
      <c r="B357" s="230"/>
      <c r="C357" s="230"/>
      <c r="D357" s="230"/>
      <c r="E357" s="230"/>
      <c r="F357" s="230"/>
      <c r="G357" s="230"/>
      <c r="H357" s="230"/>
      <c r="I357" s="230"/>
      <c r="J357" s="230"/>
      <c r="K357" s="230"/>
      <c r="L357" s="230"/>
      <c r="M357" s="230"/>
      <c r="N357" s="230"/>
      <c r="O357" s="230"/>
      <c r="P357" s="230"/>
      <c r="Q357" s="230"/>
      <c r="R357" s="230"/>
      <c r="S357" s="230"/>
      <c r="T357" s="230"/>
      <c r="U357" s="230"/>
      <c r="V357" s="230"/>
      <c r="W357" s="230"/>
      <c r="X357" s="230"/>
      <c r="Y357" s="230"/>
      <c r="Z357" s="230"/>
    </row>
    <row r="358" spans="1:26" ht="15.75" customHeight="1">
      <c r="A358" s="230"/>
      <c r="B358" s="230"/>
      <c r="C358" s="230"/>
      <c r="D358" s="230"/>
      <c r="E358" s="230"/>
      <c r="F358" s="230"/>
      <c r="G358" s="230"/>
      <c r="H358" s="230"/>
      <c r="I358" s="230"/>
      <c r="J358" s="230"/>
      <c r="K358" s="230"/>
      <c r="L358" s="230"/>
      <c r="M358" s="230"/>
      <c r="N358" s="230"/>
      <c r="O358" s="230"/>
      <c r="P358" s="230"/>
      <c r="Q358" s="230"/>
      <c r="R358" s="230"/>
      <c r="S358" s="230"/>
      <c r="T358" s="230"/>
      <c r="U358" s="230"/>
      <c r="V358" s="230"/>
      <c r="W358" s="230"/>
      <c r="X358" s="230"/>
      <c r="Y358" s="230"/>
      <c r="Z358" s="230"/>
    </row>
    <row r="359" spans="1:26" ht="15.75" customHeight="1">
      <c r="A359" s="230"/>
      <c r="B359" s="230"/>
      <c r="C359" s="230"/>
      <c r="D359" s="230"/>
      <c r="E359" s="230"/>
      <c r="F359" s="230"/>
      <c r="G359" s="230"/>
      <c r="H359" s="230"/>
      <c r="I359" s="230"/>
      <c r="J359" s="230"/>
      <c r="K359" s="230"/>
      <c r="L359" s="230"/>
      <c r="M359" s="230"/>
      <c r="N359" s="230"/>
      <c r="O359" s="230"/>
      <c r="P359" s="230"/>
      <c r="Q359" s="230"/>
      <c r="R359" s="230"/>
      <c r="S359" s="230"/>
      <c r="T359" s="230"/>
      <c r="U359" s="230"/>
      <c r="V359" s="230"/>
      <c r="W359" s="230"/>
      <c r="X359" s="230"/>
      <c r="Y359" s="230"/>
      <c r="Z359" s="230"/>
    </row>
    <row r="360" spans="1:26" ht="15.75" customHeight="1">
      <c r="A360" s="230"/>
      <c r="B360" s="230"/>
      <c r="C360" s="230"/>
      <c r="D360" s="230"/>
      <c r="E360" s="230"/>
      <c r="F360" s="230"/>
      <c r="G360" s="230"/>
      <c r="H360" s="230"/>
      <c r="I360" s="230"/>
      <c r="J360" s="230"/>
      <c r="K360" s="230"/>
      <c r="L360" s="230"/>
      <c r="M360" s="230"/>
      <c r="N360" s="230"/>
      <c r="O360" s="230"/>
      <c r="P360" s="230"/>
      <c r="Q360" s="230"/>
      <c r="R360" s="230"/>
      <c r="S360" s="230"/>
      <c r="T360" s="230"/>
      <c r="U360" s="230"/>
      <c r="V360" s="230"/>
      <c r="W360" s="230"/>
      <c r="X360" s="230"/>
      <c r="Y360" s="230"/>
      <c r="Z360" s="230"/>
    </row>
    <row r="361" spans="1:26" ht="15.75" customHeight="1">
      <c r="A361" s="230"/>
      <c r="B361" s="230"/>
      <c r="C361" s="230"/>
      <c r="D361" s="230"/>
      <c r="E361" s="230"/>
      <c r="F361" s="230"/>
      <c r="G361" s="230"/>
      <c r="H361" s="230"/>
      <c r="I361" s="230"/>
      <c r="J361" s="230"/>
      <c r="K361" s="230"/>
      <c r="L361" s="230"/>
      <c r="M361" s="230"/>
      <c r="N361" s="230"/>
      <c r="O361" s="230"/>
      <c r="P361" s="230"/>
      <c r="Q361" s="230"/>
      <c r="R361" s="230"/>
      <c r="S361" s="230"/>
      <c r="T361" s="230"/>
      <c r="U361" s="230"/>
      <c r="V361" s="230"/>
      <c r="W361" s="230"/>
      <c r="X361" s="230"/>
      <c r="Y361" s="230"/>
      <c r="Z361" s="230"/>
    </row>
    <row r="362" spans="1:26" ht="15.75" customHeight="1">
      <c r="A362" s="230"/>
      <c r="B362" s="230"/>
      <c r="C362" s="230"/>
      <c r="D362" s="230"/>
      <c r="E362" s="230"/>
      <c r="F362" s="230"/>
      <c r="G362" s="230"/>
      <c r="H362" s="230"/>
      <c r="I362" s="230"/>
      <c r="J362" s="230"/>
      <c r="K362" s="230"/>
      <c r="L362" s="230"/>
      <c r="M362" s="230"/>
      <c r="N362" s="230"/>
      <c r="O362" s="230"/>
      <c r="P362" s="230"/>
      <c r="Q362" s="230"/>
      <c r="R362" s="230"/>
      <c r="S362" s="230"/>
      <c r="T362" s="230"/>
      <c r="U362" s="230"/>
      <c r="V362" s="230"/>
      <c r="W362" s="230"/>
      <c r="X362" s="230"/>
      <c r="Y362" s="230"/>
      <c r="Z362" s="230"/>
    </row>
    <row r="363" spans="1:26" ht="15.75" customHeight="1">
      <c r="A363" s="230"/>
      <c r="B363" s="230"/>
      <c r="C363" s="230"/>
      <c r="D363" s="230"/>
      <c r="E363" s="230"/>
      <c r="F363" s="230"/>
      <c r="G363" s="230"/>
      <c r="H363" s="230"/>
      <c r="I363" s="230"/>
      <c r="J363" s="230"/>
      <c r="K363" s="230"/>
      <c r="L363" s="230"/>
      <c r="M363" s="230"/>
      <c r="N363" s="230"/>
      <c r="O363" s="230"/>
      <c r="P363" s="230"/>
      <c r="Q363" s="230"/>
      <c r="R363" s="230"/>
      <c r="S363" s="230"/>
      <c r="T363" s="230"/>
      <c r="U363" s="230"/>
      <c r="V363" s="230"/>
      <c r="W363" s="230"/>
      <c r="X363" s="230"/>
      <c r="Y363" s="230"/>
      <c r="Z363" s="230"/>
    </row>
    <row r="364" spans="1:26" ht="15.75" customHeight="1">
      <c r="A364" s="230"/>
      <c r="B364" s="230"/>
      <c r="C364" s="230"/>
      <c r="D364" s="230"/>
      <c r="E364" s="230"/>
      <c r="F364" s="230"/>
      <c r="G364" s="230"/>
      <c r="H364" s="230"/>
      <c r="I364" s="230"/>
      <c r="J364" s="230"/>
      <c r="K364" s="230"/>
      <c r="L364" s="230"/>
      <c r="M364" s="230"/>
      <c r="N364" s="230"/>
      <c r="O364" s="230"/>
      <c r="P364" s="230"/>
      <c r="Q364" s="230"/>
      <c r="R364" s="230"/>
      <c r="S364" s="230"/>
      <c r="T364" s="230"/>
      <c r="U364" s="230"/>
      <c r="V364" s="230"/>
      <c r="W364" s="230"/>
      <c r="X364" s="230"/>
      <c r="Y364" s="230"/>
      <c r="Z364" s="230"/>
    </row>
    <row r="365" spans="1:26" ht="15.75" customHeight="1">
      <c r="A365" s="230"/>
      <c r="B365" s="230"/>
      <c r="C365" s="230"/>
      <c r="D365" s="230"/>
      <c r="E365" s="230"/>
      <c r="F365" s="230"/>
      <c r="G365" s="230"/>
      <c r="H365" s="230"/>
      <c r="I365" s="230"/>
      <c r="J365" s="230"/>
      <c r="K365" s="230"/>
      <c r="L365" s="230"/>
      <c r="M365" s="230"/>
      <c r="N365" s="230"/>
      <c r="O365" s="230"/>
      <c r="P365" s="230"/>
      <c r="Q365" s="230"/>
      <c r="R365" s="230"/>
      <c r="S365" s="230"/>
      <c r="T365" s="230"/>
      <c r="U365" s="230"/>
      <c r="V365" s="230"/>
      <c r="W365" s="230"/>
      <c r="X365" s="230"/>
      <c r="Y365" s="230"/>
      <c r="Z365" s="230"/>
    </row>
    <row r="366" spans="1:26" ht="15.75" customHeight="1">
      <c r="A366" s="230"/>
      <c r="B366" s="230"/>
      <c r="C366" s="230"/>
      <c r="D366" s="230"/>
      <c r="E366" s="230"/>
      <c r="F366" s="230"/>
      <c r="G366" s="230"/>
      <c r="H366" s="230"/>
      <c r="I366" s="230"/>
      <c r="J366" s="230"/>
      <c r="K366" s="230"/>
      <c r="L366" s="230"/>
      <c r="M366" s="230"/>
      <c r="N366" s="230"/>
      <c r="O366" s="230"/>
      <c r="P366" s="230"/>
      <c r="Q366" s="230"/>
      <c r="R366" s="230"/>
      <c r="S366" s="230"/>
      <c r="T366" s="230"/>
      <c r="U366" s="230"/>
      <c r="V366" s="230"/>
      <c r="W366" s="230"/>
      <c r="X366" s="230"/>
      <c r="Y366" s="230"/>
      <c r="Z366" s="230"/>
    </row>
    <row r="367" spans="1:26" ht="15.75" customHeight="1">
      <c r="A367" s="230"/>
      <c r="B367" s="230"/>
      <c r="C367" s="230"/>
      <c r="D367" s="230"/>
      <c r="E367" s="230"/>
      <c r="F367" s="230"/>
      <c r="G367" s="230"/>
      <c r="H367" s="230"/>
      <c r="I367" s="230"/>
      <c r="J367" s="230"/>
      <c r="K367" s="230"/>
      <c r="L367" s="230"/>
      <c r="M367" s="230"/>
      <c r="N367" s="230"/>
      <c r="O367" s="230"/>
      <c r="P367" s="230"/>
      <c r="Q367" s="230"/>
      <c r="R367" s="230"/>
      <c r="S367" s="230"/>
      <c r="T367" s="230"/>
      <c r="U367" s="230"/>
      <c r="V367" s="230"/>
      <c r="W367" s="230"/>
      <c r="X367" s="230"/>
      <c r="Y367" s="230"/>
      <c r="Z367" s="230"/>
    </row>
    <row r="368" spans="1:26" ht="15.75" customHeight="1">
      <c r="A368" s="230"/>
      <c r="B368" s="230"/>
      <c r="C368" s="230"/>
      <c r="D368" s="230"/>
      <c r="E368" s="230"/>
      <c r="F368" s="230"/>
      <c r="G368" s="230"/>
      <c r="H368" s="230"/>
      <c r="I368" s="230"/>
      <c r="J368" s="230"/>
      <c r="K368" s="230"/>
      <c r="L368" s="230"/>
      <c r="M368" s="230"/>
      <c r="N368" s="230"/>
      <c r="O368" s="230"/>
      <c r="P368" s="230"/>
      <c r="Q368" s="230"/>
      <c r="R368" s="230"/>
      <c r="S368" s="230"/>
      <c r="T368" s="230"/>
      <c r="U368" s="230"/>
      <c r="V368" s="230"/>
      <c r="W368" s="230"/>
      <c r="X368" s="230"/>
      <c r="Y368" s="230"/>
      <c r="Z368" s="230"/>
    </row>
    <row r="369" spans="1:26" ht="15.75" customHeight="1">
      <c r="A369" s="230"/>
      <c r="B369" s="230"/>
      <c r="C369" s="230"/>
      <c r="D369" s="230"/>
      <c r="E369" s="230"/>
      <c r="F369" s="230"/>
      <c r="G369" s="230"/>
      <c r="H369" s="230"/>
      <c r="I369" s="230"/>
      <c r="J369" s="230"/>
      <c r="K369" s="230"/>
      <c r="L369" s="230"/>
      <c r="M369" s="230"/>
      <c r="N369" s="230"/>
      <c r="O369" s="230"/>
      <c r="P369" s="230"/>
      <c r="Q369" s="230"/>
      <c r="R369" s="230"/>
      <c r="S369" s="230"/>
      <c r="T369" s="230"/>
      <c r="U369" s="230"/>
      <c r="V369" s="230"/>
      <c r="W369" s="230"/>
      <c r="X369" s="230"/>
      <c r="Y369" s="230"/>
      <c r="Z369" s="230"/>
    </row>
    <row r="370" spans="1:26" ht="15.75" customHeight="1">
      <c r="A370" s="230"/>
      <c r="B370" s="230"/>
      <c r="C370" s="230"/>
      <c r="D370" s="230"/>
      <c r="E370" s="230"/>
      <c r="F370" s="230"/>
      <c r="G370" s="230"/>
      <c r="H370" s="230"/>
      <c r="I370" s="230"/>
      <c r="J370" s="230"/>
      <c r="K370" s="230"/>
      <c r="L370" s="230"/>
      <c r="M370" s="230"/>
      <c r="N370" s="230"/>
      <c r="O370" s="230"/>
      <c r="P370" s="230"/>
      <c r="Q370" s="230"/>
      <c r="R370" s="230"/>
      <c r="S370" s="230"/>
      <c r="T370" s="230"/>
      <c r="U370" s="230"/>
      <c r="V370" s="230"/>
      <c r="W370" s="230"/>
      <c r="X370" s="230"/>
      <c r="Y370" s="230"/>
      <c r="Z370" s="230"/>
    </row>
    <row r="371" spans="1:26" ht="15.75" customHeight="1">
      <c r="A371" s="230"/>
      <c r="B371" s="230"/>
      <c r="C371" s="230"/>
      <c r="D371" s="230"/>
      <c r="E371" s="230"/>
      <c r="F371" s="230"/>
      <c r="G371" s="230"/>
      <c r="H371" s="230"/>
      <c r="I371" s="230"/>
      <c r="J371" s="230"/>
      <c r="K371" s="230"/>
      <c r="L371" s="230"/>
      <c r="M371" s="230"/>
      <c r="N371" s="230"/>
      <c r="O371" s="230"/>
      <c r="P371" s="230"/>
      <c r="Q371" s="230"/>
      <c r="R371" s="230"/>
      <c r="S371" s="230"/>
      <c r="T371" s="230"/>
      <c r="U371" s="230"/>
      <c r="V371" s="230"/>
      <c r="W371" s="230"/>
      <c r="X371" s="230"/>
      <c r="Y371" s="230"/>
      <c r="Z371" s="230"/>
    </row>
    <row r="372" spans="1:26" ht="15.75" customHeight="1">
      <c r="A372" s="230"/>
      <c r="B372" s="230"/>
      <c r="C372" s="230"/>
      <c r="D372" s="230"/>
      <c r="E372" s="230"/>
      <c r="F372" s="230"/>
      <c r="G372" s="230"/>
      <c r="H372" s="230"/>
      <c r="I372" s="230"/>
      <c r="J372" s="230"/>
      <c r="K372" s="230"/>
      <c r="L372" s="230"/>
      <c r="M372" s="230"/>
      <c r="N372" s="230"/>
      <c r="O372" s="230"/>
      <c r="P372" s="230"/>
      <c r="Q372" s="230"/>
      <c r="R372" s="230"/>
      <c r="S372" s="230"/>
      <c r="T372" s="230"/>
      <c r="U372" s="230"/>
      <c r="V372" s="230"/>
      <c r="W372" s="230"/>
      <c r="X372" s="230"/>
      <c r="Y372" s="230"/>
      <c r="Z372" s="230"/>
    </row>
    <row r="373" spans="1:26" ht="15.75" customHeight="1">
      <c r="A373" s="230"/>
      <c r="B373" s="230"/>
      <c r="C373" s="230"/>
      <c r="D373" s="230"/>
      <c r="E373" s="230"/>
      <c r="F373" s="230"/>
      <c r="G373" s="230"/>
      <c r="H373" s="230"/>
      <c r="I373" s="230"/>
      <c r="J373" s="230"/>
      <c r="K373" s="230"/>
      <c r="L373" s="230"/>
      <c r="M373" s="230"/>
      <c r="N373" s="230"/>
      <c r="O373" s="230"/>
      <c r="P373" s="230"/>
      <c r="Q373" s="230"/>
      <c r="R373" s="230"/>
      <c r="S373" s="230"/>
      <c r="T373" s="230"/>
      <c r="U373" s="230"/>
      <c r="V373" s="230"/>
      <c r="W373" s="230"/>
      <c r="X373" s="230"/>
      <c r="Y373" s="230"/>
      <c r="Z373" s="230"/>
    </row>
    <row r="374" spans="1:26" ht="15.75" customHeight="1">
      <c r="A374" s="230"/>
      <c r="B374" s="230"/>
      <c r="C374" s="230"/>
      <c r="D374" s="230"/>
      <c r="E374" s="230"/>
      <c r="F374" s="230"/>
      <c r="G374" s="230"/>
      <c r="H374" s="230"/>
      <c r="I374" s="230"/>
      <c r="J374" s="230"/>
      <c r="K374" s="230"/>
      <c r="L374" s="230"/>
      <c r="M374" s="230"/>
      <c r="N374" s="230"/>
      <c r="O374" s="230"/>
      <c r="P374" s="230"/>
      <c r="Q374" s="230"/>
      <c r="R374" s="230"/>
      <c r="S374" s="230"/>
      <c r="T374" s="230"/>
      <c r="U374" s="230"/>
      <c r="V374" s="230"/>
      <c r="W374" s="230"/>
      <c r="X374" s="230"/>
      <c r="Y374" s="230"/>
      <c r="Z374" s="230"/>
    </row>
    <row r="375" spans="1:26" ht="15.75" customHeight="1">
      <c r="A375" s="230"/>
      <c r="B375" s="230"/>
      <c r="C375" s="230"/>
      <c r="D375" s="230"/>
      <c r="E375" s="230"/>
      <c r="F375" s="230"/>
      <c r="G375" s="230"/>
      <c r="H375" s="230"/>
      <c r="I375" s="230"/>
      <c r="J375" s="230"/>
      <c r="K375" s="230"/>
      <c r="L375" s="230"/>
      <c r="M375" s="230"/>
      <c r="N375" s="230"/>
      <c r="O375" s="230"/>
      <c r="P375" s="230"/>
      <c r="Q375" s="230"/>
      <c r="R375" s="230"/>
      <c r="S375" s="230"/>
      <c r="T375" s="230"/>
      <c r="U375" s="230"/>
      <c r="V375" s="230"/>
      <c r="W375" s="230"/>
      <c r="X375" s="230"/>
      <c r="Y375" s="230"/>
      <c r="Z375" s="230"/>
    </row>
    <row r="376" spans="1:26" ht="15.75" customHeight="1">
      <c r="A376" s="230"/>
      <c r="B376" s="230"/>
      <c r="C376" s="230"/>
      <c r="D376" s="230"/>
      <c r="E376" s="230"/>
      <c r="F376" s="230"/>
      <c r="G376" s="230"/>
      <c r="H376" s="230"/>
      <c r="I376" s="230"/>
      <c r="J376" s="230"/>
      <c r="K376" s="230"/>
      <c r="L376" s="230"/>
      <c r="M376" s="230"/>
      <c r="N376" s="230"/>
      <c r="O376" s="230"/>
      <c r="P376" s="230"/>
      <c r="Q376" s="230"/>
      <c r="R376" s="230"/>
      <c r="S376" s="230"/>
      <c r="T376" s="230"/>
      <c r="U376" s="230"/>
      <c r="V376" s="230"/>
      <c r="W376" s="230"/>
      <c r="X376" s="230"/>
      <c r="Y376" s="230"/>
      <c r="Z376" s="230"/>
    </row>
    <row r="377" spans="1:26" ht="15.75" customHeight="1">
      <c r="A377" s="230"/>
      <c r="B377" s="230"/>
      <c r="C377" s="230"/>
      <c r="D377" s="230"/>
      <c r="E377" s="230"/>
      <c r="F377" s="230"/>
      <c r="G377" s="230"/>
      <c r="H377" s="230"/>
      <c r="I377" s="230"/>
      <c r="J377" s="230"/>
      <c r="K377" s="230"/>
      <c r="L377" s="230"/>
      <c r="M377" s="230"/>
      <c r="N377" s="230"/>
      <c r="O377" s="230"/>
      <c r="P377" s="230"/>
      <c r="Q377" s="230"/>
      <c r="R377" s="230"/>
      <c r="S377" s="230"/>
      <c r="T377" s="230"/>
      <c r="U377" s="230"/>
      <c r="V377" s="230"/>
      <c r="W377" s="230"/>
      <c r="X377" s="230"/>
      <c r="Y377" s="230"/>
      <c r="Z377" s="230"/>
    </row>
    <row r="378" spans="1:26" ht="15.75" customHeight="1">
      <c r="A378" s="230"/>
      <c r="B378" s="230"/>
      <c r="C378" s="230"/>
      <c r="D378" s="230"/>
      <c r="E378" s="230"/>
      <c r="F378" s="230"/>
      <c r="G378" s="230"/>
      <c r="H378" s="230"/>
      <c r="I378" s="230"/>
      <c r="J378" s="230"/>
      <c r="K378" s="230"/>
      <c r="L378" s="230"/>
      <c r="M378" s="230"/>
      <c r="N378" s="230"/>
      <c r="O378" s="230"/>
      <c r="P378" s="230"/>
      <c r="Q378" s="230"/>
      <c r="R378" s="230"/>
      <c r="S378" s="230"/>
      <c r="T378" s="230"/>
      <c r="U378" s="230"/>
      <c r="V378" s="230"/>
      <c r="W378" s="230"/>
      <c r="X378" s="230"/>
      <c r="Y378" s="230"/>
      <c r="Z378" s="230"/>
    </row>
    <row r="379" spans="1:26" ht="15.75" customHeight="1">
      <c r="A379" s="230"/>
      <c r="B379" s="230"/>
      <c r="C379" s="230"/>
      <c r="D379" s="230"/>
      <c r="E379" s="230"/>
      <c r="F379" s="230"/>
      <c r="G379" s="230"/>
      <c r="H379" s="230"/>
      <c r="I379" s="230"/>
      <c r="J379" s="230"/>
      <c r="K379" s="230"/>
      <c r="L379" s="230"/>
      <c r="M379" s="230"/>
      <c r="N379" s="230"/>
      <c r="O379" s="230"/>
      <c r="P379" s="230"/>
      <c r="Q379" s="230"/>
      <c r="R379" s="230"/>
      <c r="S379" s="230"/>
      <c r="T379" s="230"/>
      <c r="U379" s="230"/>
      <c r="V379" s="230"/>
      <c r="W379" s="230"/>
      <c r="X379" s="230"/>
      <c r="Y379" s="230"/>
      <c r="Z379" s="230"/>
    </row>
    <row r="380" spans="1:26" ht="15.75" customHeight="1">
      <c r="A380" s="230"/>
      <c r="B380" s="230"/>
      <c r="C380" s="230"/>
      <c r="D380" s="230"/>
      <c r="E380" s="230"/>
      <c r="F380" s="230"/>
      <c r="G380" s="230"/>
      <c r="H380" s="230"/>
      <c r="I380" s="230"/>
      <c r="J380" s="230"/>
      <c r="K380" s="230"/>
      <c r="L380" s="230"/>
      <c r="M380" s="230"/>
      <c r="N380" s="230"/>
      <c r="O380" s="230"/>
      <c r="P380" s="230"/>
      <c r="Q380" s="230"/>
      <c r="R380" s="230"/>
      <c r="S380" s="230"/>
      <c r="T380" s="230"/>
      <c r="U380" s="230"/>
      <c r="V380" s="230"/>
      <c r="W380" s="230"/>
      <c r="X380" s="230"/>
      <c r="Y380" s="230"/>
      <c r="Z380" s="230"/>
    </row>
    <row r="381" spans="1:26" ht="15.75" customHeight="1">
      <c r="A381" s="230"/>
      <c r="B381" s="230"/>
      <c r="C381" s="230"/>
      <c r="D381" s="230"/>
      <c r="E381" s="230"/>
      <c r="F381" s="230"/>
      <c r="G381" s="230"/>
      <c r="H381" s="230"/>
      <c r="I381" s="230"/>
      <c r="J381" s="230"/>
      <c r="K381" s="230"/>
      <c r="L381" s="230"/>
      <c r="M381" s="230"/>
      <c r="N381" s="230"/>
      <c r="O381" s="230"/>
      <c r="P381" s="230"/>
      <c r="Q381" s="230"/>
      <c r="R381" s="230"/>
      <c r="S381" s="230"/>
      <c r="T381" s="230"/>
      <c r="U381" s="230"/>
      <c r="V381" s="230"/>
      <c r="W381" s="230"/>
      <c r="X381" s="230"/>
      <c r="Y381" s="230"/>
      <c r="Z381" s="230"/>
    </row>
    <row r="382" spans="1:26" ht="15.75" customHeight="1">
      <c r="A382" s="230"/>
      <c r="B382" s="230"/>
      <c r="C382" s="230"/>
      <c r="D382" s="230"/>
      <c r="E382" s="230"/>
      <c r="F382" s="230"/>
      <c r="G382" s="230"/>
      <c r="H382" s="230"/>
      <c r="I382" s="230"/>
      <c r="J382" s="230"/>
      <c r="K382" s="230"/>
      <c r="L382" s="230"/>
      <c r="M382" s="230"/>
      <c r="N382" s="230"/>
      <c r="O382" s="230"/>
      <c r="P382" s="230"/>
      <c r="Q382" s="230"/>
      <c r="R382" s="230"/>
      <c r="S382" s="230"/>
      <c r="T382" s="230"/>
      <c r="U382" s="230"/>
      <c r="V382" s="230"/>
      <c r="W382" s="230"/>
      <c r="X382" s="230"/>
      <c r="Y382" s="230"/>
      <c r="Z382" s="230"/>
    </row>
    <row r="383" spans="1:26" ht="15.75" customHeight="1">
      <c r="A383" s="230"/>
      <c r="B383" s="230"/>
      <c r="C383" s="230"/>
      <c r="D383" s="230"/>
      <c r="E383" s="230"/>
      <c r="F383" s="230"/>
      <c r="G383" s="230"/>
      <c r="H383" s="230"/>
      <c r="I383" s="230"/>
      <c r="J383" s="230"/>
      <c r="K383" s="230"/>
      <c r="L383" s="230"/>
      <c r="M383" s="230"/>
      <c r="N383" s="230"/>
      <c r="O383" s="230"/>
      <c r="P383" s="230"/>
      <c r="Q383" s="230"/>
      <c r="R383" s="230"/>
      <c r="S383" s="230"/>
      <c r="T383" s="230"/>
      <c r="U383" s="230"/>
      <c r="V383" s="230"/>
      <c r="W383" s="230"/>
      <c r="X383" s="230"/>
      <c r="Y383" s="230"/>
      <c r="Z383" s="230"/>
    </row>
    <row r="384" spans="1:26" ht="15.75" customHeight="1">
      <c r="A384" s="230"/>
      <c r="B384" s="230"/>
      <c r="C384" s="230"/>
      <c r="D384" s="230"/>
      <c r="E384" s="230"/>
      <c r="F384" s="230"/>
      <c r="G384" s="230"/>
      <c r="H384" s="230"/>
      <c r="I384" s="230"/>
      <c r="J384" s="230"/>
      <c r="K384" s="230"/>
      <c r="L384" s="230"/>
      <c r="M384" s="230"/>
      <c r="N384" s="230"/>
      <c r="O384" s="230"/>
      <c r="P384" s="230"/>
      <c r="Q384" s="230"/>
      <c r="R384" s="230"/>
      <c r="S384" s="230"/>
      <c r="T384" s="230"/>
      <c r="U384" s="230"/>
      <c r="V384" s="230"/>
      <c r="W384" s="230"/>
      <c r="X384" s="230"/>
      <c r="Y384" s="230"/>
      <c r="Z384" s="230"/>
    </row>
    <row r="385" spans="1:26" ht="15.75" customHeight="1">
      <c r="A385" s="230"/>
      <c r="B385" s="230"/>
      <c r="C385" s="230"/>
      <c r="D385" s="230"/>
      <c r="E385" s="230"/>
      <c r="F385" s="230"/>
      <c r="G385" s="230"/>
      <c r="H385" s="230"/>
      <c r="I385" s="230"/>
      <c r="J385" s="230"/>
      <c r="K385" s="230"/>
      <c r="L385" s="230"/>
      <c r="M385" s="230"/>
      <c r="N385" s="230"/>
      <c r="O385" s="230"/>
      <c r="P385" s="230"/>
      <c r="Q385" s="230"/>
      <c r="R385" s="230"/>
      <c r="S385" s="230"/>
      <c r="T385" s="230"/>
      <c r="U385" s="230"/>
      <c r="V385" s="230"/>
      <c r="W385" s="230"/>
      <c r="X385" s="230"/>
      <c r="Y385" s="230"/>
      <c r="Z385" s="230"/>
    </row>
    <row r="386" spans="1:26" ht="15.75" customHeight="1">
      <c r="A386" s="230"/>
      <c r="B386" s="230"/>
      <c r="C386" s="230"/>
      <c r="D386" s="230"/>
      <c r="E386" s="230"/>
      <c r="F386" s="230"/>
      <c r="G386" s="230"/>
      <c r="H386" s="230"/>
      <c r="I386" s="230"/>
      <c r="J386" s="230"/>
      <c r="K386" s="230"/>
      <c r="L386" s="230"/>
      <c r="M386" s="230"/>
      <c r="N386" s="230"/>
      <c r="O386" s="230"/>
      <c r="P386" s="230"/>
      <c r="Q386" s="230"/>
      <c r="R386" s="230"/>
      <c r="S386" s="230"/>
      <c r="T386" s="230"/>
      <c r="U386" s="230"/>
      <c r="V386" s="230"/>
      <c r="W386" s="230"/>
      <c r="X386" s="230"/>
      <c r="Y386" s="230"/>
      <c r="Z386" s="230"/>
    </row>
    <row r="387" spans="1:26" ht="15.75" customHeight="1">
      <c r="A387" s="230"/>
      <c r="B387" s="230"/>
      <c r="C387" s="230"/>
      <c r="D387" s="230"/>
      <c r="E387" s="230"/>
      <c r="F387" s="230"/>
      <c r="G387" s="230"/>
      <c r="H387" s="230"/>
      <c r="I387" s="230"/>
      <c r="J387" s="230"/>
      <c r="K387" s="230"/>
      <c r="L387" s="230"/>
      <c r="M387" s="230"/>
      <c r="N387" s="230"/>
      <c r="O387" s="230"/>
      <c r="P387" s="230"/>
      <c r="Q387" s="230"/>
      <c r="R387" s="230"/>
      <c r="S387" s="230"/>
      <c r="T387" s="230"/>
      <c r="U387" s="230"/>
      <c r="V387" s="230"/>
      <c r="W387" s="230"/>
      <c r="X387" s="230"/>
      <c r="Y387" s="230"/>
      <c r="Z387" s="230"/>
    </row>
    <row r="388" spans="1:26" ht="15.75" customHeight="1">
      <c r="A388" s="230"/>
      <c r="B388" s="230"/>
      <c r="C388" s="230"/>
      <c r="D388" s="230"/>
      <c r="E388" s="230"/>
      <c r="F388" s="230"/>
      <c r="G388" s="230"/>
      <c r="H388" s="230"/>
      <c r="I388" s="230"/>
      <c r="J388" s="230"/>
      <c r="K388" s="230"/>
      <c r="L388" s="230"/>
      <c r="M388" s="230"/>
      <c r="N388" s="230"/>
      <c r="O388" s="230"/>
      <c r="P388" s="230"/>
      <c r="Q388" s="230"/>
      <c r="R388" s="230"/>
      <c r="S388" s="230"/>
      <c r="T388" s="230"/>
      <c r="U388" s="230"/>
      <c r="V388" s="230"/>
      <c r="W388" s="230"/>
      <c r="X388" s="230"/>
      <c r="Y388" s="230"/>
      <c r="Z388" s="230"/>
    </row>
    <row r="389" spans="1:26" ht="15.75" customHeight="1">
      <c r="A389" s="230"/>
      <c r="B389" s="230"/>
      <c r="C389" s="230"/>
      <c r="D389" s="230"/>
      <c r="E389" s="230"/>
      <c r="F389" s="230"/>
      <c r="G389" s="230"/>
      <c r="H389" s="230"/>
      <c r="I389" s="230"/>
      <c r="J389" s="230"/>
      <c r="K389" s="230"/>
      <c r="L389" s="230"/>
      <c r="M389" s="230"/>
      <c r="N389" s="230"/>
      <c r="O389" s="230"/>
      <c r="P389" s="230"/>
      <c r="Q389" s="230"/>
      <c r="R389" s="230"/>
      <c r="S389" s="230"/>
      <c r="T389" s="230"/>
      <c r="U389" s="230"/>
      <c r="V389" s="230"/>
      <c r="W389" s="230"/>
      <c r="X389" s="230"/>
      <c r="Y389" s="230"/>
      <c r="Z389" s="230"/>
    </row>
    <row r="390" spans="1:26" ht="15.75" customHeight="1">
      <c r="A390" s="230"/>
      <c r="B390" s="230"/>
      <c r="C390" s="230"/>
      <c r="D390" s="230"/>
      <c r="E390" s="230"/>
      <c r="F390" s="230"/>
      <c r="G390" s="230"/>
      <c r="H390" s="230"/>
      <c r="I390" s="230"/>
      <c r="J390" s="230"/>
      <c r="K390" s="230"/>
      <c r="L390" s="230"/>
      <c r="M390" s="230"/>
      <c r="N390" s="230"/>
      <c r="O390" s="230"/>
      <c r="P390" s="230"/>
      <c r="Q390" s="230"/>
      <c r="R390" s="230"/>
      <c r="S390" s="230"/>
      <c r="T390" s="230"/>
      <c r="U390" s="230"/>
      <c r="V390" s="230"/>
      <c r="W390" s="230"/>
      <c r="X390" s="230"/>
      <c r="Y390" s="230"/>
      <c r="Z390" s="230"/>
    </row>
    <row r="391" spans="1:26" ht="15.75" customHeight="1">
      <c r="A391" s="230"/>
      <c r="B391" s="230"/>
      <c r="C391" s="230"/>
      <c r="D391" s="230"/>
      <c r="E391" s="230"/>
      <c r="F391" s="230"/>
      <c r="G391" s="230"/>
      <c r="H391" s="230"/>
      <c r="I391" s="230"/>
      <c r="J391" s="230"/>
      <c r="K391" s="230"/>
      <c r="L391" s="230"/>
      <c r="M391" s="230"/>
      <c r="N391" s="230"/>
      <c r="O391" s="230"/>
      <c r="P391" s="230"/>
      <c r="Q391" s="230"/>
      <c r="R391" s="230"/>
      <c r="S391" s="230"/>
      <c r="T391" s="230"/>
      <c r="U391" s="230"/>
      <c r="V391" s="230"/>
      <c r="W391" s="230"/>
      <c r="X391" s="230"/>
      <c r="Y391" s="230"/>
      <c r="Z391" s="230"/>
    </row>
    <row r="392" spans="1:26" ht="15.75" customHeight="1">
      <c r="A392" s="230"/>
      <c r="B392" s="230"/>
      <c r="C392" s="230"/>
      <c r="D392" s="230"/>
      <c r="E392" s="230"/>
      <c r="F392" s="230"/>
      <c r="G392" s="230"/>
      <c r="H392" s="230"/>
      <c r="I392" s="230"/>
      <c r="J392" s="230"/>
      <c r="K392" s="230"/>
      <c r="L392" s="230"/>
      <c r="M392" s="230"/>
      <c r="N392" s="230"/>
      <c r="O392" s="230"/>
      <c r="P392" s="230"/>
      <c r="Q392" s="230"/>
      <c r="R392" s="230"/>
      <c r="S392" s="230"/>
      <c r="T392" s="230"/>
      <c r="U392" s="230"/>
      <c r="V392" s="230"/>
      <c r="W392" s="230"/>
      <c r="X392" s="230"/>
      <c r="Y392" s="230"/>
      <c r="Z392" s="230"/>
    </row>
    <row r="393" spans="1:26" ht="15.75" customHeight="1">
      <c r="A393" s="230"/>
      <c r="B393" s="230"/>
      <c r="C393" s="230"/>
      <c r="D393" s="230"/>
      <c r="E393" s="230"/>
      <c r="F393" s="230"/>
      <c r="G393" s="230"/>
      <c r="H393" s="230"/>
      <c r="I393" s="230"/>
      <c r="J393" s="230"/>
      <c r="K393" s="230"/>
      <c r="L393" s="230"/>
      <c r="M393" s="230"/>
      <c r="N393" s="230"/>
      <c r="O393" s="230"/>
      <c r="P393" s="230"/>
      <c r="Q393" s="230"/>
      <c r="R393" s="230"/>
      <c r="S393" s="230"/>
      <c r="T393" s="230"/>
      <c r="U393" s="230"/>
      <c r="V393" s="230"/>
      <c r="W393" s="230"/>
      <c r="X393" s="230"/>
      <c r="Y393" s="230"/>
      <c r="Z393" s="230"/>
    </row>
    <row r="394" spans="1:26" ht="15.75" customHeight="1">
      <c r="A394" s="230"/>
      <c r="B394" s="230"/>
      <c r="C394" s="230"/>
      <c r="D394" s="230"/>
      <c r="E394" s="230"/>
      <c r="F394" s="230"/>
      <c r="G394" s="230"/>
      <c r="H394" s="230"/>
      <c r="I394" s="230"/>
      <c r="J394" s="230"/>
      <c r="K394" s="230"/>
      <c r="L394" s="230"/>
      <c r="M394" s="230"/>
      <c r="N394" s="230"/>
      <c r="O394" s="230"/>
      <c r="P394" s="230"/>
      <c r="Q394" s="230"/>
      <c r="R394" s="230"/>
      <c r="S394" s="230"/>
      <c r="T394" s="230"/>
      <c r="U394" s="230"/>
      <c r="V394" s="230"/>
      <c r="W394" s="230"/>
      <c r="X394" s="230"/>
      <c r="Y394" s="230"/>
      <c r="Z394" s="230"/>
    </row>
    <row r="395" spans="1:26" ht="15.75" customHeight="1">
      <c r="A395" s="230"/>
      <c r="B395" s="230"/>
      <c r="C395" s="230"/>
      <c r="D395" s="230"/>
      <c r="E395" s="230"/>
      <c r="F395" s="230"/>
      <c r="G395" s="230"/>
      <c r="H395" s="230"/>
      <c r="I395" s="230"/>
      <c r="J395" s="230"/>
      <c r="K395" s="230"/>
      <c r="L395" s="230"/>
      <c r="M395" s="230"/>
      <c r="N395" s="230"/>
      <c r="O395" s="230"/>
      <c r="P395" s="230"/>
      <c r="Q395" s="230"/>
      <c r="R395" s="230"/>
      <c r="S395" s="230"/>
      <c r="T395" s="230"/>
      <c r="U395" s="230"/>
      <c r="V395" s="230"/>
      <c r="W395" s="230"/>
      <c r="X395" s="230"/>
      <c r="Y395" s="230"/>
      <c r="Z395" s="230"/>
    </row>
    <row r="396" spans="1:26" ht="15.75" customHeight="1">
      <c r="A396" s="230"/>
      <c r="B396" s="230"/>
      <c r="C396" s="230"/>
      <c r="D396" s="230"/>
      <c r="E396" s="230"/>
      <c r="F396" s="230"/>
      <c r="G396" s="230"/>
      <c r="H396" s="230"/>
      <c r="I396" s="230"/>
      <c r="J396" s="230"/>
      <c r="K396" s="230"/>
      <c r="L396" s="230"/>
      <c r="M396" s="230"/>
      <c r="N396" s="230"/>
      <c r="O396" s="230"/>
      <c r="P396" s="230"/>
      <c r="Q396" s="230"/>
      <c r="R396" s="230"/>
      <c r="S396" s="230"/>
      <c r="T396" s="230"/>
      <c r="U396" s="230"/>
      <c r="V396" s="230"/>
      <c r="W396" s="230"/>
      <c r="X396" s="230"/>
      <c r="Y396" s="230"/>
      <c r="Z396" s="230"/>
    </row>
    <row r="397" spans="1:26" ht="15.75" customHeight="1">
      <c r="A397" s="230"/>
      <c r="B397" s="230"/>
      <c r="C397" s="230"/>
      <c r="D397" s="230"/>
      <c r="E397" s="230"/>
      <c r="F397" s="230"/>
      <c r="G397" s="230"/>
      <c r="H397" s="230"/>
      <c r="I397" s="230"/>
      <c r="J397" s="230"/>
      <c r="K397" s="230"/>
      <c r="L397" s="230"/>
      <c r="M397" s="230"/>
      <c r="N397" s="230"/>
      <c r="O397" s="230"/>
      <c r="P397" s="230"/>
      <c r="Q397" s="230"/>
      <c r="R397" s="230"/>
      <c r="S397" s="230"/>
      <c r="T397" s="230"/>
      <c r="U397" s="230"/>
      <c r="V397" s="230"/>
      <c r="W397" s="230"/>
      <c r="X397" s="230"/>
      <c r="Y397" s="230"/>
      <c r="Z397" s="230"/>
    </row>
    <row r="398" spans="1:26" ht="15.75" customHeight="1">
      <c r="A398" s="230"/>
      <c r="B398" s="230"/>
      <c r="C398" s="230"/>
      <c r="D398" s="230"/>
      <c r="E398" s="230"/>
      <c r="F398" s="230"/>
      <c r="G398" s="230"/>
      <c r="H398" s="230"/>
      <c r="I398" s="230"/>
      <c r="J398" s="230"/>
      <c r="K398" s="230"/>
      <c r="L398" s="230"/>
      <c r="M398" s="230"/>
      <c r="N398" s="230"/>
      <c r="O398" s="230"/>
      <c r="P398" s="230"/>
      <c r="Q398" s="230"/>
      <c r="R398" s="230"/>
      <c r="S398" s="230"/>
      <c r="T398" s="230"/>
      <c r="U398" s="230"/>
      <c r="V398" s="230"/>
      <c r="W398" s="230"/>
      <c r="X398" s="230"/>
      <c r="Y398" s="230"/>
      <c r="Z398" s="230"/>
    </row>
    <row r="399" spans="1:26" ht="15.75" customHeight="1">
      <c r="A399" s="230"/>
      <c r="B399" s="230"/>
      <c r="C399" s="230"/>
      <c r="D399" s="230"/>
      <c r="E399" s="230"/>
      <c r="F399" s="230"/>
      <c r="G399" s="230"/>
      <c r="H399" s="230"/>
      <c r="I399" s="230"/>
      <c r="J399" s="230"/>
      <c r="K399" s="230"/>
      <c r="L399" s="230"/>
      <c r="M399" s="230"/>
      <c r="N399" s="230"/>
      <c r="O399" s="230"/>
      <c r="P399" s="230"/>
      <c r="Q399" s="230"/>
      <c r="R399" s="230"/>
      <c r="S399" s="230"/>
      <c r="T399" s="230"/>
      <c r="U399" s="230"/>
      <c r="V399" s="230"/>
      <c r="W399" s="230"/>
      <c r="X399" s="230"/>
      <c r="Y399" s="230"/>
      <c r="Z399" s="230"/>
    </row>
    <row r="400" spans="1:26" ht="15.75" customHeight="1">
      <c r="A400" s="230"/>
      <c r="B400" s="230"/>
      <c r="C400" s="230"/>
      <c r="D400" s="230"/>
      <c r="E400" s="230"/>
      <c r="F400" s="230"/>
      <c r="G400" s="230"/>
      <c r="H400" s="230"/>
      <c r="I400" s="230"/>
      <c r="J400" s="230"/>
      <c r="K400" s="230"/>
      <c r="L400" s="230"/>
      <c r="M400" s="230"/>
      <c r="N400" s="230"/>
      <c r="O400" s="230"/>
      <c r="P400" s="230"/>
      <c r="Q400" s="230"/>
      <c r="R400" s="230"/>
      <c r="S400" s="230"/>
      <c r="T400" s="230"/>
      <c r="U400" s="230"/>
      <c r="V400" s="230"/>
      <c r="W400" s="230"/>
      <c r="X400" s="230"/>
      <c r="Y400" s="230"/>
      <c r="Z400" s="230"/>
    </row>
    <row r="401" spans="1:26" ht="15.75" customHeight="1">
      <c r="A401" s="230"/>
      <c r="B401" s="230"/>
      <c r="C401" s="230"/>
      <c r="D401" s="230"/>
      <c r="E401" s="230"/>
      <c r="F401" s="230"/>
      <c r="G401" s="230"/>
      <c r="H401" s="230"/>
      <c r="I401" s="230"/>
      <c r="J401" s="230"/>
      <c r="K401" s="230"/>
      <c r="L401" s="230"/>
      <c r="M401" s="230"/>
      <c r="N401" s="230"/>
      <c r="O401" s="230"/>
      <c r="P401" s="230"/>
      <c r="Q401" s="230"/>
      <c r="R401" s="230"/>
      <c r="S401" s="230"/>
      <c r="T401" s="230"/>
      <c r="U401" s="230"/>
      <c r="V401" s="230"/>
      <c r="W401" s="230"/>
      <c r="X401" s="230"/>
      <c r="Y401" s="230"/>
      <c r="Z401" s="230"/>
    </row>
    <row r="402" spans="1:26" ht="15.75" customHeight="1">
      <c r="A402" s="230"/>
      <c r="B402" s="230"/>
      <c r="C402" s="230"/>
      <c r="D402" s="230"/>
      <c r="E402" s="230"/>
      <c r="F402" s="230"/>
      <c r="G402" s="230"/>
      <c r="H402" s="230"/>
      <c r="I402" s="230"/>
      <c r="J402" s="230"/>
      <c r="K402" s="230"/>
      <c r="L402" s="230"/>
      <c r="M402" s="230"/>
      <c r="N402" s="230"/>
      <c r="O402" s="230"/>
      <c r="P402" s="230"/>
      <c r="Q402" s="230"/>
      <c r="R402" s="230"/>
      <c r="S402" s="230"/>
      <c r="T402" s="230"/>
      <c r="U402" s="230"/>
      <c r="V402" s="230"/>
      <c r="W402" s="230"/>
      <c r="X402" s="230"/>
      <c r="Y402" s="230"/>
      <c r="Z402" s="230"/>
    </row>
    <row r="403" spans="1:26" ht="15.75" customHeight="1">
      <c r="A403" s="230"/>
      <c r="B403" s="230"/>
      <c r="C403" s="230"/>
      <c r="D403" s="230"/>
      <c r="E403" s="230"/>
      <c r="F403" s="230"/>
      <c r="G403" s="230"/>
      <c r="H403" s="230"/>
      <c r="I403" s="230"/>
      <c r="J403" s="230"/>
      <c r="K403" s="230"/>
      <c r="L403" s="230"/>
      <c r="M403" s="230"/>
      <c r="N403" s="230"/>
      <c r="O403" s="230"/>
      <c r="P403" s="230"/>
      <c r="Q403" s="230"/>
      <c r="R403" s="230"/>
      <c r="S403" s="230"/>
      <c r="T403" s="230"/>
      <c r="U403" s="230"/>
      <c r="V403" s="230"/>
      <c r="W403" s="230"/>
      <c r="X403" s="230"/>
      <c r="Y403" s="230"/>
      <c r="Z403" s="230"/>
    </row>
    <row r="404" spans="1:26" ht="15.75" customHeight="1">
      <c r="A404" s="230"/>
      <c r="B404" s="230"/>
      <c r="C404" s="230"/>
      <c r="D404" s="230"/>
      <c r="E404" s="230"/>
      <c r="F404" s="230"/>
      <c r="G404" s="230"/>
      <c r="H404" s="230"/>
      <c r="I404" s="230"/>
      <c r="J404" s="230"/>
      <c r="K404" s="230"/>
      <c r="L404" s="230"/>
      <c r="M404" s="230"/>
      <c r="N404" s="230"/>
      <c r="O404" s="230"/>
      <c r="P404" s="230"/>
      <c r="Q404" s="230"/>
      <c r="R404" s="230"/>
      <c r="S404" s="230"/>
      <c r="T404" s="230"/>
      <c r="U404" s="230"/>
      <c r="V404" s="230"/>
      <c r="W404" s="230"/>
      <c r="X404" s="230"/>
      <c r="Y404" s="230"/>
      <c r="Z404" s="230"/>
    </row>
    <row r="405" spans="1:26" ht="15.75" customHeight="1">
      <c r="A405" s="230"/>
      <c r="B405" s="230"/>
      <c r="C405" s="230"/>
      <c r="D405" s="230"/>
      <c r="E405" s="230"/>
      <c r="F405" s="230"/>
      <c r="G405" s="230"/>
      <c r="H405" s="230"/>
      <c r="I405" s="230"/>
      <c r="J405" s="230"/>
      <c r="K405" s="230"/>
      <c r="L405" s="230"/>
      <c r="M405" s="230"/>
      <c r="N405" s="230"/>
      <c r="O405" s="230"/>
      <c r="P405" s="230"/>
      <c r="Q405" s="230"/>
      <c r="R405" s="230"/>
      <c r="S405" s="230"/>
      <c r="T405" s="230"/>
      <c r="U405" s="230"/>
      <c r="V405" s="230"/>
      <c r="W405" s="230"/>
      <c r="X405" s="230"/>
      <c r="Y405" s="230"/>
      <c r="Z405" s="230"/>
    </row>
    <row r="406" spans="1:26" ht="15.75" customHeight="1">
      <c r="A406" s="230"/>
      <c r="B406" s="230"/>
      <c r="C406" s="230"/>
      <c r="D406" s="230"/>
      <c r="E406" s="230"/>
      <c r="F406" s="230"/>
      <c r="G406" s="230"/>
      <c r="H406" s="230"/>
      <c r="I406" s="230"/>
      <c r="J406" s="230"/>
      <c r="K406" s="230"/>
      <c r="L406" s="230"/>
      <c r="M406" s="230"/>
      <c r="N406" s="230"/>
      <c r="O406" s="230"/>
      <c r="P406" s="230"/>
      <c r="Q406" s="230"/>
      <c r="R406" s="230"/>
      <c r="S406" s="230"/>
      <c r="T406" s="230"/>
      <c r="U406" s="230"/>
      <c r="V406" s="230"/>
      <c r="W406" s="230"/>
      <c r="X406" s="230"/>
      <c r="Y406" s="230"/>
      <c r="Z406" s="230"/>
    </row>
    <row r="407" spans="1:26" ht="15.75" customHeight="1">
      <c r="A407" s="230"/>
      <c r="B407" s="230"/>
      <c r="C407" s="230"/>
      <c r="D407" s="230"/>
      <c r="E407" s="230"/>
      <c r="F407" s="230"/>
      <c r="G407" s="230"/>
      <c r="H407" s="230"/>
      <c r="I407" s="230"/>
      <c r="J407" s="230"/>
      <c r="K407" s="230"/>
      <c r="L407" s="230"/>
      <c r="M407" s="230"/>
      <c r="N407" s="230"/>
      <c r="O407" s="230"/>
      <c r="P407" s="230"/>
      <c r="Q407" s="230"/>
      <c r="R407" s="230"/>
      <c r="S407" s="230"/>
      <c r="T407" s="230"/>
      <c r="U407" s="230"/>
      <c r="V407" s="230"/>
      <c r="W407" s="230"/>
      <c r="X407" s="230"/>
      <c r="Y407" s="230"/>
      <c r="Z407" s="230"/>
    </row>
    <row r="408" spans="1:26" ht="15.75" customHeight="1">
      <c r="A408" s="230"/>
      <c r="B408" s="230"/>
      <c r="C408" s="230"/>
      <c r="D408" s="230"/>
      <c r="E408" s="230"/>
      <c r="F408" s="230"/>
      <c r="G408" s="230"/>
      <c r="H408" s="230"/>
      <c r="I408" s="230"/>
      <c r="J408" s="230"/>
      <c r="K408" s="230"/>
      <c r="L408" s="230"/>
      <c r="M408" s="230"/>
      <c r="N408" s="230"/>
      <c r="O408" s="230"/>
      <c r="P408" s="230"/>
      <c r="Q408" s="230"/>
      <c r="R408" s="230"/>
      <c r="S408" s="230"/>
      <c r="T408" s="230"/>
      <c r="U408" s="230"/>
      <c r="V408" s="230"/>
      <c r="W408" s="230"/>
      <c r="X408" s="230"/>
      <c r="Y408" s="230"/>
      <c r="Z408" s="230"/>
    </row>
    <row r="409" spans="1:26" ht="15.75" customHeight="1">
      <c r="A409" s="230"/>
      <c r="B409" s="230"/>
      <c r="C409" s="230"/>
      <c r="D409" s="230"/>
      <c r="E409" s="230"/>
      <c r="F409" s="230"/>
      <c r="G409" s="230"/>
      <c r="H409" s="230"/>
      <c r="I409" s="230"/>
      <c r="J409" s="230"/>
      <c r="K409" s="230"/>
      <c r="L409" s="230"/>
      <c r="M409" s="230"/>
      <c r="N409" s="230"/>
      <c r="O409" s="230"/>
      <c r="P409" s="230"/>
      <c r="Q409" s="230"/>
      <c r="R409" s="230"/>
      <c r="S409" s="230"/>
      <c r="T409" s="230"/>
      <c r="U409" s="230"/>
      <c r="V409" s="230"/>
      <c r="W409" s="230"/>
      <c r="X409" s="230"/>
      <c r="Y409" s="230"/>
      <c r="Z409" s="230"/>
    </row>
    <row r="410" spans="1:26" ht="15.75" customHeight="1">
      <c r="A410" s="230"/>
      <c r="B410" s="230"/>
      <c r="C410" s="230"/>
      <c r="D410" s="230"/>
      <c r="E410" s="230"/>
      <c r="F410" s="230"/>
      <c r="G410" s="230"/>
      <c r="H410" s="230"/>
      <c r="I410" s="230"/>
      <c r="J410" s="230"/>
      <c r="K410" s="230"/>
      <c r="L410" s="230"/>
      <c r="M410" s="230"/>
      <c r="N410" s="230"/>
      <c r="O410" s="230"/>
      <c r="P410" s="230"/>
      <c r="Q410" s="230"/>
      <c r="R410" s="230"/>
      <c r="S410" s="230"/>
      <c r="T410" s="230"/>
      <c r="U410" s="230"/>
      <c r="V410" s="230"/>
      <c r="W410" s="230"/>
      <c r="X410" s="230"/>
      <c r="Y410" s="230"/>
      <c r="Z410" s="230"/>
    </row>
    <row r="411" spans="1:26" ht="15.75" customHeight="1">
      <c r="A411" s="230"/>
      <c r="B411" s="230"/>
      <c r="C411" s="230"/>
      <c r="D411" s="230"/>
      <c r="E411" s="230"/>
      <c r="F411" s="230"/>
      <c r="G411" s="230"/>
      <c r="H411" s="230"/>
      <c r="I411" s="230"/>
      <c r="J411" s="230"/>
      <c r="K411" s="230"/>
      <c r="L411" s="230"/>
      <c r="M411" s="230"/>
      <c r="N411" s="230"/>
      <c r="O411" s="230"/>
      <c r="P411" s="230"/>
      <c r="Q411" s="230"/>
      <c r="R411" s="230"/>
      <c r="S411" s="230"/>
      <c r="T411" s="230"/>
      <c r="U411" s="230"/>
      <c r="V411" s="230"/>
      <c r="W411" s="230"/>
      <c r="X411" s="230"/>
      <c r="Y411" s="230"/>
      <c r="Z411" s="230"/>
    </row>
    <row r="412" spans="1:26" ht="15.75" customHeight="1">
      <c r="A412" s="230"/>
      <c r="B412" s="230"/>
      <c r="C412" s="230"/>
      <c r="D412" s="230"/>
      <c r="E412" s="230"/>
      <c r="F412" s="230"/>
      <c r="G412" s="230"/>
      <c r="H412" s="230"/>
      <c r="I412" s="230"/>
      <c r="J412" s="230"/>
      <c r="K412" s="230"/>
      <c r="L412" s="230"/>
      <c r="M412" s="230"/>
      <c r="N412" s="230"/>
      <c r="O412" s="230"/>
      <c r="P412" s="230"/>
      <c r="Q412" s="230"/>
      <c r="R412" s="230"/>
      <c r="S412" s="230"/>
      <c r="T412" s="230"/>
      <c r="U412" s="230"/>
      <c r="V412" s="230"/>
      <c r="W412" s="230"/>
      <c r="X412" s="230"/>
      <c r="Y412" s="230"/>
      <c r="Z412" s="230"/>
    </row>
    <row r="413" spans="1:26" ht="15.75" customHeight="1">
      <c r="A413" s="230"/>
      <c r="B413" s="230"/>
      <c r="C413" s="230"/>
      <c r="D413" s="230"/>
      <c r="E413" s="230"/>
      <c r="F413" s="230"/>
      <c r="G413" s="230"/>
      <c r="H413" s="230"/>
      <c r="I413" s="230"/>
      <c r="J413" s="230"/>
      <c r="K413" s="230"/>
      <c r="L413" s="230"/>
      <c r="M413" s="230"/>
      <c r="N413" s="230"/>
      <c r="O413" s="230"/>
      <c r="P413" s="230"/>
      <c r="Q413" s="230"/>
      <c r="R413" s="230"/>
      <c r="S413" s="230"/>
      <c r="T413" s="230"/>
      <c r="U413" s="230"/>
      <c r="V413" s="230"/>
      <c r="W413" s="230"/>
      <c r="X413" s="230"/>
      <c r="Y413" s="230"/>
      <c r="Z413" s="230"/>
    </row>
    <row r="414" spans="1:26" ht="15.75" customHeight="1">
      <c r="A414" s="230"/>
      <c r="B414" s="230"/>
      <c r="C414" s="230"/>
      <c r="D414" s="230"/>
      <c r="E414" s="230"/>
      <c r="F414" s="230"/>
      <c r="G414" s="230"/>
      <c r="H414" s="230"/>
      <c r="I414" s="230"/>
      <c r="J414" s="230"/>
      <c r="K414" s="230"/>
      <c r="L414" s="230"/>
      <c r="M414" s="230"/>
      <c r="N414" s="230"/>
      <c r="O414" s="230"/>
      <c r="P414" s="230"/>
      <c r="Q414" s="230"/>
      <c r="R414" s="230"/>
      <c r="S414" s="230"/>
      <c r="T414" s="230"/>
      <c r="U414" s="230"/>
      <c r="V414" s="230"/>
      <c r="W414" s="230"/>
      <c r="X414" s="230"/>
      <c r="Y414" s="230"/>
      <c r="Z414" s="230"/>
    </row>
    <row r="415" spans="1:26" ht="15.75" customHeight="1">
      <c r="A415" s="230"/>
      <c r="B415" s="230"/>
      <c r="C415" s="230"/>
      <c r="D415" s="230"/>
      <c r="E415" s="230"/>
      <c r="F415" s="230"/>
      <c r="G415" s="230"/>
      <c r="H415" s="230"/>
      <c r="I415" s="230"/>
      <c r="J415" s="230"/>
      <c r="K415" s="230"/>
      <c r="L415" s="230"/>
      <c r="M415" s="230"/>
      <c r="N415" s="230"/>
      <c r="O415" s="230"/>
      <c r="P415" s="230"/>
      <c r="Q415" s="230"/>
      <c r="R415" s="230"/>
      <c r="S415" s="230"/>
      <c r="T415" s="230"/>
      <c r="U415" s="230"/>
      <c r="V415" s="230"/>
      <c r="W415" s="230"/>
      <c r="X415" s="230"/>
      <c r="Y415" s="230"/>
      <c r="Z415" s="230"/>
    </row>
    <row r="416" spans="1:26" ht="15.75" customHeight="1">
      <c r="A416" s="230"/>
      <c r="B416" s="230"/>
      <c r="C416" s="230"/>
      <c r="D416" s="230"/>
      <c r="E416" s="230"/>
      <c r="F416" s="230"/>
      <c r="G416" s="230"/>
      <c r="H416" s="230"/>
      <c r="I416" s="230"/>
      <c r="J416" s="230"/>
      <c r="K416" s="230"/>
      <c r="L416" s="230"/>
      <c r="M416" s="230"/>
      <c r="N416" s="230"/>
      <c r="O416" s="230"/>
      <c r="P416" s="230"/>
      <c r="Q416" s="230"/>
      <c r="R416" s="230"/>
      <c r="S416" s="230"/>
      <c r="T416" s="230"/>
      <c r="U416" s="230"/>
      <c r="V416" s="230"/>
      <c r="W416" s="230"/>
      <c r="X416" s="230"/>
      <c r="Y416" s="230"/>
      <c r="Z416" s="230"/>
    </row>
    <row r="417" spans="1:26" ht="15.75" customHeight="1">
      <c r="A417" s="230"/>
      <c r="B417" s="230"/>
      <c r="C417" s="230"/>
      <c r="D417" s="230"/>
      <c r="E417" s="230"/>
      <c r="F417" s="230"/>
      <c r="G417" s="230"/>
      <c r="H417" s="230"/>
      <c r="I417" s="230"/>
      <c r="J417" s="230"/>
      <c r="K417" s="230"/>
      <c r="L417" s="230"/>
      <c r="M417" s="230"/>
      <c r="N417" s="230"/>
      <c r="O417" s="230"/>
      <c r="P417" s="230"/>
      <c r="Q417" s="230"/>
      <c r="R417" s="230"/>
      <c r="S417" s="230"/>
      <c r="T417" s="230"/>
      <c r="U417" s="230"/>
      <c r="V417" s="230"/>
      <c r="W417" s="230"/>
      <c r="X417" s="230"/>
      <c r="Y417" s="230"/>
      <c r="Z417" s="230"/>
    </row>
    <row r="418" spans="1:26" ht="15.75" customHeight="1">
      <c r="A418" s="230"/>
      <c r="B418" s="230"/>
      <c r="C418" s="230"/>
      <c r="D418" s="230"/>
      <c r="E418" s="230"/>
      <c r="F418" s="230"/>
      <c r="G418" s="230"/>
      <c r="H418" s="230"/>
      <c r="I418" s="230"/>
      <c r="J418" s="230"/>
      <c r="K418" s="230"/>
      <c r="L418" s="230"/>
      <c r="M418" s="230"/>
      <c r="N418" s="230"/>
      <c r="O418" s="230"/>
      <c r="P418" s="230"/>
      <c r="Q418" s="230"/>
      <c r="R418" s="230"/>
      <c r="S418" s="230"/>
      <c r="T418" s="230"/>
      <c r="U418" s="230"/>
      <c r="V418" s="230"/>
      <c r="W418" s="230"/>
      <c r="X418" s="230"/>
      <c r="Y418" s="230"/>
      <c r="Z418" s="230"/>
    </row>
    <row r="419" spans="1:26" ht="15.75" customHeight="1">
      <c r="A419" s="230"/>
      <c r="B419" s="230"/>
      <c r="C419" s="230"/>
      <c r="D419" s="230"/>
      <c r="E419" s="230"/>
      <c r="F419" s="230"/>
      <c r="G419" s="230"/>
      <c r="H419" s="230"/>
      <c r="I419" s="230"/>
      <c r="J419" s="230"/>
      <c r="K419" s="230"/>
      <c r="L419" s="230"/>
      <c r="M419" s="230"/>
      <c r="N419" s="230"/>
      <c r="O419" s="230"/>
      <c r="P419" s="230"/>
      <c r="Q419" s="230"/>
      <c r="R419" s="230"/>
      <c r="S419" s="230"/>
      <c r="T419" s="230"/>
      <c r="U419" s="230"/>
      <c r="V419" s="230"/>
      <c r="W419" s="230"/>
      <c r="X419" s="230"/>
      <c r="Y419" s="230"/>
      <c r="Z419" s="230"/>
    </row>
    <row r="420" spans="1:26" ht="15.75" customHeight="1">
      <c r="A420" s="230"/>
      <c r="B420" s="230"/>
      <c r="C420" s="230"/>
      <c r="D420" s="230"/>
      <c r="E420" s="230"/>
      <c r="F420" s="230"/>
      <c r="G420" s="230"/>
      <c r="H420" s="230"/>
      <c r="I420" s="230"/>
      <c r="J420" s="230"/>
      <c r="K420" s="230"/>
      <c r="L420" s="230"/>
      <c r="M420" s="230"/>
      <c r="N420" s="230"/>
      <c r="O420" s="230"/>
      <c r="P420" s="230"/>
      <c r="Q420" s="230"/>
      <c r="R420" s="230"/>
      <c r="S420" s="230"/>
      <c r="T420" s="230"/>
      <c r="U420" s="230"/>
      <c r="V420" s="230"/>
      <c r="W420" s="230"/>
      <c r="X420" s="230"/>
      <c r="Y420" s="230"/>
      <c r="Z420" s="230"/>
    </row>
    <row r="421" spans="1:26" ht="15.75" customHeight="1">
      <c r="A421" s="230"/>
      <c r="B421" s="230"/>
      <c r="C421" s="230"/>
      <c r="D421" s="230"/>
      <c r="E421" s="230"/>
      <c r="F421" s="230"/>
      <c r="G421" s="230"/>
      <c r="H421" s="230"/>
      <c r="I421" s="230"/>
      <c r="J421" s="230"/>
      <c r="K421" s="230"/>
      <c r="L421" s="230"/>
      <c r="M421" s="230"/>
      <c r="N421" s="230"/>
      <c r="O421" s="230"/>
      <c r="P421" s="230"/>
      <c r="Q421" s="230"/>
      <c r="R421" s="230"/>
      <c r="S421" s="230"/>
      <c r="T421" s="230"/>
      <c r="U421" s="230"/>
      <c r="V421" s="230"/>
      <c r="W421" s="230"/>
      <c r="X421" s="230"/>
      <c r="Y421" s="230"/>
      <c r="Z421" s="230"/>
    </row>
    <row r="422" spans="1:26" ht="15.75" customHeight="1">
      <c r="A422" s="230"/>
      <c r="B422" s="230"/>
      <c r="C422" s="230"/>
      <c r="D422" s="230"/>
      <c r="E422" s="230"/>
      <c r="F422" s="230"/>
      <c r="G422" s="230"/>
      <c r="H422" s="230"/>
      <c r="I422" s="230"/>
      <c r="J422" s="230"/>
      <c r="K422" s="230"/>
      <c r="L422" s="230"/>
      <c r="M422" s="230"/>
      <c r="N422" s="230"/>
      <c r="O422" s="230"/>
      <c r="P422" s="230"/>
      <c r="Q422" s="230"/>
      <c r="R422" s="230"/>
      <c r="S422" s="230"/>
      <c r="T422" s="230"/>
      <c r="U422" s="230"/>
      <c r="V422" s="230"/>
      <c r="W422" s="230"/>
      <c r="X422" s="230"/>
      <c r="Y422" s="230"/>
      <c r="Z422" s="230"/>
    </row>
    <row r="423" spans="1:26" ht="15.75" customHeight="1">
      <c r="A423" s="230"/>
      <c r="B423" s="230"/>
      <c r="C423" s="230"/>
      <c r="D423" s="230"/>
      <c r="E423" s="230"/>
      <c r="F423" s="230"/>
      <c r="G423" s="230"/>
      <c r="H423" s="230"/>
      <c r="I423" s="230"/>
      <c r="J423" s="230"/>
      <c r="K423" s="230"/>
      <c r="L423" s="230"/>
      <c r="M423" s="230"/>
      <c r="N423" s="230"/>
      <c r="O423" s="230"/>
      <c r="P423" s="230"/>
      <c r="Q423" s="230"/>
      <c r="R423" s="230"/>
      <c r="S423" s="230"/>
      <c r="T423" s="230"/>
      <c r="U423" s="230"/>
      <c r="V423" s="230"/>
      <c r="W423" s="230"/>
      <c r="X423" s="230"/>
      <c r="Y423" s="230"/>
      <c r="Z423" s="230"/>
    </row>
    <row r="424" spans="1:26" ht="15.75" customHeight="1">
      <c r="A424" s="230"/>
      <c r="B424" s="230"/>
      <c r="C424" s="230"/>
      <c r="D424" s="230"/>
      <c r="E424" s="230"/>
      <c r="F424" s="230"/>
      <c r="G424" s="230"/>
      <c r="H424" s="230"/>
      <c r="I424" s="230"/>
      <c r="J424" s="230"/>
      <c r="K424" s="230"/>
      <c r="L424" s="230"/>
      <c r="M424" s="230"/>
      <c r="N424" s="230"/>
      <c r="O424" s="230"/>
      <c r="P424" s="230"/>
      <c r="Q424" s="230"/>
      <c r="R424" s="230"/>
      <c r="S424" s="230"/>
      <c r="T424" s="230"/>
      <c r="U424" s="230"/>
      <c r="V424" s="230"/>
      <c r="W424" s="230"/>
      <c r="X424" s="230"/>
      <c r="Y424" s="230"/>
      <c r="Z424" s="230"/>
    </row>
    <row r="425" spans="1:26" ht="15.75" customHeight="1">
      <c r="A425" s="230"/>
      <c r="B425" s="230"/>
      <c r="C425" s="230"/>
      <c r="D425" s="230"/>
      <c r="E425" s="230"/>
      <c r="F425" s="230"/>
      <c r="G425" s="230"/>
      <c r="H425" s="230"/>
      <c r="I425" s="230"/>
      <c r="J425" s="230"/>
      <c r="K425" s="230"/>
      <c r="L425" s="230"/>
      <c r="M425" s="230"/>
      <c r="N425" s="230"/>
      <c r="O425" s="230"/>
      <c r="P425" s="230"/>
      <c r="Q425" s="230"/>
      <c r="R425" s="230"/>
      <c r="S425" s="230"/>
      <c r="T425" s="230"/>
      <c r="U425" s="230"/>
      <c r="V425" s="230"/>
      <c r="W425" s="230"/>
      <c r="X425" s="230"/>
      <c r="Y425" s="230"/>
      <c r="Z425" s="230"/>
    </row>
    <row r="426" spans="1:26" ht="15.75" customHeight="1">
      <c r="A426" s="230"/>
      <c r="B426" s="230"/>
      <c r="C426" s="230"/>
      <c r="D426" s="230"/>
      <c r="E426" s="230"/>
      <c r="F426" s="230"/>
      <c r="G426" s="230"/>
      <c r="H426" s="230"/>
      <c r="I426" s="230"/>
      <c r="J426" s="230"/>
      <c r="K426" s="230"/>
      <c r="L426" s="230"/>
      <c r="M426" s="230"/>
      <c r="N426" s="230"/>
      <c r="O426" s="230"/>
      <c r="P426" s="230"/>
      <c r="Q426" s="230"/>
      <c r="R426" s="230"/>
      <c r="S426" s="230"/>
      <c r="T426" s="230"/>
      <c r="U426" s="230"/>
      <c r="V426" s="230"/>
      <c r="W426" s="230"/>
      <c r="X426" s="230"/>
      <c r="Y426" s="230"/>
      <c r="Z426" s="230"/>
    </row>
    <row r="427" spans="1:26" ht="15.75" customHeight="1">
      <c r="A427" s="230"/>
      <c r="B427" s="230"/>
      <c r="C427" s="230"/>
      <c r="D427" s="230"/>
      <c r="E427" s="230"/>
      <c r="F427" s="230"/>
      <c r="G427" s="230"/>
      <c r="H427" s="230"/>
      <c r="I427" s="230"/>
      <c r="J427" s="230"/>
      <c r="K427" s="230"/>
      <c r="L427" s="230"/>
      <c r="M427" s="230"/>
      <c r="N427" s="230"/>
      <c r="O427" s="230"/>
      <c r="P427" s="230"/>
      <c r="Q427" s="230"/>
      <c r="R427" s="230"/>
      <c r="S427" s="230"/>
      <c r="T427" s="230"/>
      <c r="U427" s="230"/>
      <c r="V427" s="230"/>
      <c r="W427" s="230"/>
      <c r="X427" s="230"/>
      <c r="Y427" s="230"/>
      <c r="Z427" s="230"/>
    </row>
    <row r="428" spans="1:26" ht="15.75" customHeight="1">
      <c r="A428" s="230"/>
      <c r="B428" s="230"/>
      <c r="C428" s="230"/>
      <c r="D428" s="230"/>
      <c r="E428" s="230"/>
      <c r="F428" s="230"/>
      <c r="G428" s="230"/>
      <c r="H428" s="230"/>
      <c r="I428" s="230"/>
      <c r="J428" s="230"/>
      <c r="K428" s="230"/>
      <c r="L428" s="230"/>
      <c r="M428" s="230"/>
      <c r="N428" s="230"/>
      <c r="O428" s="230"/>
      <c r="P428" s="230"/>
      <c r="Q428" s="230"/>
      <c r="R428" s="230"/>
      <c r="S428" s="230"/>
      <c r="T428" s="230"/>
      <c r="U428" s="230"/>
      <c r="V428" s="230"/>
      <c r="W428" s="230"/>
      <c r="X428" s="230"/>
      <c r="Y428" s="230"/>
      <c r="Z428" s="230"/>
    </row>
    <row r="429" spans="1:26" ht="15.75" customHeight="1">
      <c r="A429" s="230"/>
      <c r="B429" s="230"/>
      <c r="C429" s="230"/>
      <c r="D429" s="230"/>
      <c r="E429" s="230"/>
      <c r="F429" s="230"/>
      <c r="G429" s="230"/>
      <c r="H429" s="230"/>
      <c r="I429" s="230"/>
      <c r="J429" s="230"/>
      <c r="K429" s="230"/>
      <c r="L429" s="230"/>
      <c r="M429" s="230"/>
      <c r="N429" s="230"/>
      <c r="O429" s="230"/>
      <c r="P429" s="230"/>
      <c r="Q429" s="230"/>
      <c r="R429" s="230"/>
      <c r="S429" s="230"/>
      <c r="T429" s="230"/>
      <c r="U429" s="230"/>
      <c r="V429" s="230"/>
      <c r="W429" s="230"/>
      <c r="X429" s="230"/>
      <c r="Y429" s="230"/>
      <c r="Z429" s="230"/>
    </row>
    <row r="430" spans="1:26" ht="15.75" customHeight="1">
      <c r="A430" s="230"/>
      <c r="B430" s="230"/>
      <c r="C430" s="230"/>
      <c r="D430" s="230"/>
      <c r="E430" s="230"/>
      <c r="F430" s="230"/>
      <c r="G430" s="230"/>
      <c r="H430" s="230"/>
      <c r="I430" s="230"/>
      <c r="J430" s="230"/>
      <c r="K430" s="230"/>
      <c r="L430" s="230"/>
      <c r="M430" s="230"/>
      <c r="N430" s="230"/>
      <c r="O430" s="230"/>
      <c r="P430" s="230"/>
      <c r="Q430" s="230"/>
      <c r="R430" s="230"/>
      <c r="S430" s="230"/>
      <c r="T430" s="230"/>
      <c r="U430" s="230"/>
      <c r="V430" s="230"/>
      <c r="W430" s="230"/>
      <c r="X430" s="230"/>
      <c r="Y430" s="230"/>
      <c r="Z430" s="230"/>
    </row>
    <row r="431" spans="1:26" ht="15.75" customHeight="1">
      <c r="A431" s="230"/>
      <c r="B431" s="230"/>
      <c r="C431" s="230"/>
      <c r="D431" s="230"/>
      <c r="E431" s="230"/>
      <c r="F431" s="230"/>
      <c r="G431" s="230"/>
      <c r="H431" s="230"/>
      <c r="I431" s="230"/>
      <c r="J431" s="230"/>
      <c r="K431" s="230"/>
      <c r="L431" s="230"/>
      <c r="M431" s="230"/>
      <c r="N431" s="230"/>
      <c r="O431" s="230"/>
      <c r="P431" s="230"/>
      <c r="Q431" s="230"/>
      <c r="R431" s="230"/>
      <c r="S431" s="230"/>
      <c r="T431" s="230"/>
      <c r="U431" s="230"/>
      <c r="V431" s="230"/>
      <c r="W431" s="230"/>
      <c r="X431" s="230"/>
      <c r="Y431" s="230"/>
      <c r="Z431" s="230"/>
    </row>
    <row r="432" spans="1:26" ht="15.75" customHeight="1">
      <c r="A432" s="230"/>
      <c r="B432" s="230"/>
      <c r="C432" s="230"/>
      <c r="D432" s="230"/>
      <c r="E432" s="230"/>
      <c r="F432" s="230"/>
      <c r="G432" s="230"/>
      <c r="H432" s="230"/>
      <c r="I432" s="230"/>
      <c r="J432" s="230"/>
      <c r="K432" s="230"/>
      <c r="L432" s="230"/>
      <c r="M432" s="230"/>
      <c r="N432" s="230"/>
      <c r="O432" s="230"/>
      <c r="P432" s="230"/>
      <c r="Q432" s="230"/>
      <c r="R432" s="230"/>
      <c r="S432" s="230"/>
      <c r="T432" s="230"/>
      <c r="U432" s="230"/>
      <c r="V432" s="230"/>
      <c r="W432" s="230"/>
      <c r="X432" s="230"/>
      <c r="Y432" s="230"/>
      <c r="Z432" s="230"/>
    </row>
    <row r="433" spans="1:26" ht="15.75" customHeight="1">
      <c r="A433" s="230"/>
      <c r="B433" s="230"/>
      <c r="C433" s="230"/>
      <c r="D433" s="230"/>
      <c r="E433" s="230"/>
      <c r="F433" s="230"/>
      <c r="G433" s="230"/>
      <c r="H433" s="230"/>
      <c r="I433" s="230"/>
      <c r="J433" s="230"/>
      <c r="K433" s="230"/>
      <c r="L433" s="230"/>
      <c r="M433" s="230"/>
      <c r="N433" s="230"/>
      <c r="O433" s="230"/>
      <c r="P433" s="230"/>
      <c r="Q433" s="230"/>
      <c r="R433" s="230"/>
      <c r="S433" s="230"/>
      <c r="T433" s="230"/>
      <c r="U433" s="230"/>
      <c r="V433" s="230"/>
      <c r="W433" s="230"/>
      <c r="X433" s="230"/>
      <c r="Y433" s="230"/>
      <c r="Z433" s="230"/>
    </row>
    <row r="434" spans="1:26" ht="15.75" customHeight="1">
      <c r="A434" s="230"/>
      <c r="B434" s="230"/>
      <c r="C434" s="230"/>
      <c r="D434" s="230"/>
      <c r="E434" s="230"/>
      <c r="F434" s="230"/>
      <c r="G434" s="230"/>
      <c r="H434" s="230"/>
      <c r="I434" s="230"/>
      <c r="J434" s="230"/>
      <c r="K434" s="230"/>
      <c r="L434" s="230"/>
      <c r="M434" s="230"/>
      <c r="N434" s="230"/>
      <c r="O434" s="230"/>
      <c r="P434" s="230"/>
      <c r="Q434" s="230"/>
      <c r="R434" s="230"/>
      <c r="S434" s="230"/>
      <c r="T434" s="230"/>
      <c r="U434" s="230"/>
      <c r="V434" s="230"/>
      <c r="W434" s="230"/>
      <c r="X434" s="230"/>
      <c r="Y434" s="230"/>
      <c r="Z434" s="230"/>
    </row>
    <row r="435" spans="1:26" ht="15.75" customHeight="1">
      <c r="A435" s="230"/>
      <c r="B435" s="230"/>
      <c r="C435" s="230"/>
      <c r="D435" s="230"/>
      <c r="E435" s="230"/>
      <c r="F435" s="230"/>
      <c r="G435" s="230"/>
      <c r="H435" s="230"/>
      <c r="I435" s="230"/>
      <c r="J435" s="230"/>
      <c r="K435" s="230"/>
      <c r="L435" s="230"/>
      <c r="M435" s="230"/>
      <c r="N435" s="230"/>
      <c r="O435" s="230"/>
      <c r="P435" s="230"/>
      <c r="Q435" s="230"/>
      <c r="R435" s="230"/>
      <c r="S435" s="230"/>
      <c r="T435" s="230"/>
      <c r="U435" s="230"/>
      <c r="V435" s="230"/>
      <c r="W435" s="230"/>
      <c r="X435" s="230"/>
      <c r="Y435" s="230"/>
      <c r="Z435" s="230"/>
    </row>
    <row r="436" spans="1:26" ht="15.75" customHeight="1">
      <c r="A436" s="230"/>
      <c r="B436" s="230"/>
      <c r="C436" s="230"/>
      <c r="D436" s="230"/>
      <c r="E436" s="230"/>
      <c r="F436" s="230"/>
      <c r="G436" s="230"/>
      <c r="H436" s="230"/>
      <c r="I436" s="230"/>
      <c r="J436" s="230"/>
      <c r="K436" s="230"/>
      <c r="L436" s="230"/>
      <c r="M436" s="230"/>
      <c r="N436" s="230"/>
      <c r="O436" s="230"/>
      <c r="P436" s="230"/>
      <c r="Q436" s="230"/>
      <c r="R436" s="230"/>
      <c r="S436" s="230"/>
      <c r="T436" s="230"/>
      <c r="U436" s="230"/>
      <c r="V436" s="230"/>
      <c r="W436" s="230"/>
      <c r="X436" s="230"/>
      <c r="Y436" s="230"/>
      <c r="Z436" s="230"/>
    </row>
    <row r="437" spans="1:26" ht="15.75" customHeight="1">
      <c r="A437" s="230"/>
      <c r="B437" s="230"/>
      <c r="C437" s="230"/>
      <c r="D437" s="230"/>
      <c r="E437" s="230"/>
      <c r="F437" s="230"/>
      <c r="G437" s="230"/>
      <c r="H437" s="230"/>
      <c r="I437" s="230"/>
      <c r="J437" s="230"/>
      <c r="K437" s="230"/>
      <c r="L437" s="230"/>
      <c r="M437" s="230"/>
      <c r="N437" s="230"/>
      <c r="O437" s="230"/>
      <c r="P437" s="230"/>
      <c r="Q437" s="230"/>
      <c r="R437" s="230"/>
      <c r="S437" s="230"/>
      <c r="T437" s="230"/>
      <c r="U437" s="230"/>
      <c r="V437" s="230"/>
      <c r="W437" s="230"/>
      <c r="X437" s="230"/>
      <c r="Y437" s="230"/>
      <c r="Z437" s="230"/>
    </row>
    <row r="438" spans="1:26" ht="15.75" customHeight="1">
      <c r="A438" s="230"/>
      <c r="B438" s="230"/>
      <c r="C438" s="230"/>
      <c r="D438" s="230"/>
      <c r="E438" s="230"/>
      <c r="F438" s="230"/>
      <c r="G438" s="230"/>
      <c r="H438" s="230"/>
      <c r="I438" s="230"/>
      <c r="J438" s="230"/>
      <c r="K438" s="230"/>
      <c r="L438" s="230"/>
      <c r="M438" s="230"/>
      <c r="N438" s="230"/>
      <c r="O438" s="230"/>
      <c r="P438" s="230"/>
      <c r="Q438" s="230"/>
      <c r="R438" s="230"/>
      <c r="S438" s="230"/>
      <c r="T438" s="230"/>
      <c r="U438" s="230"/>
      <c r="V438" s="230"/>
      <c r="W438" s="230"/>
      <c r="X438" s="230"/>
      <c r="Y438" s="230"/>
      <c r="Z438" s="230"/>
    </row>
    <row r="439" spans="1:26" ht="15.75" customHeight="1">
      <c r="A439" s="230"/>
      <c r="B439" s="230"/>
      <c r="C439" s="230"/>
      <c r="D439" s="230"/>
      <c r="E439" s="230"/>
      <c r="F439" s="230"/>
      <c r="G439" s="230"/>
      <c r="H439" s="230"/>
      <c r="I439" s="230"/>
      <c r="J439" s="230"/>
      <c r="K439" s="230"/>
      <c r="L439" s="230"/>
      <c r="M439" s="230"/>
      <c r="N439" s="230"/>
      <c r="O439" s="230"/>
      <c r="P439" s="230"/>
      <c r="Q439" s="230"/>
      <c r="R439" s="230"/>
      <c r="S439" s="230"/>
      <c r="T439" s="230"/>
      <c r="U439" s="230"/>
      <c r="V439" s="230"/>
      <c r="W439" s="230"/>
      <c r="X439" s="230"/>
      <c r="Y439" s="230"/>
      <c r="Z439" s="230"/>
    </row>
    <row r="440" spans="1:26" ht="15.75" customHeight="1">
      <c r="A440" s="230"/>
      <c r="B440" s="230"/>
      <c r="C440" s="230"/>
      <c r="D440" s="230"/>
      <c r="E440" s="230"/>
      <c r="F440" s="230"/>
      <c r="G440" s="230"/>
      <c r="H440" s="230"/>
      <c r="I440" s="230"/>
      <c r="J440" s="230"/>
      <c r="K440" s="230"/>
      <c r="L440" s="230"/>
      <c r="M440" s="230"/>
      <c r="N440" s="230"/>
      <c r="O440" s="230"/>
      <c r="P440" s="230"/>
      <c r="Q440" s="230"/>
      <c r="R440" s="230"/>
      <c r="S440" s="230"/>
      <c r="T440" s="230"/>
      <c r="U440" s="230"/>
      <c r="V440" s="230"/>
      <c r="W440" s="230"/>
      <c r="X440" s="230"/>
      <c r="Y440" s="230"/>
      <c r="Z440" s="230"/>
    </row>
    <row r="441" spans="1:26" ht="15.75" customHeight="1">
      <c r="A441" s="230"/>
      <c r="B441" s="230"/>
      <c r="C441" s="230"/>
      <c r="D441" s="230"/>
      <c r="E441" s="230"/>
      <c r="F441" s="230"/>
      <c r="G441" s="230"/>
      <c r="H441" s="230"/>
      <c r="I441" s="230"/>
      <c r="J441" s="230"/>
      <c r="K441" s="230"/>
      <c r="L441" s="230"/>
      <c r="M441" s="230"/>
      <c r="N441" s="230"/>
      <c r="O441" s="230"/>
      <c r="P441" s="230"/>
      <c r="Q441" s="230"/>
      <c r="R441" s="230"/>
      <c r="S441" s="230"/>
      <c r="T441" s="230"/>
      <c r="U441" s="230"/>
      <c r="V441" s="230"/>
      <c r="W441" s="230"/>
      <c r="X441" s="230"/>
      <c r="Y441" s="230"/>
      <c r="Z441" s="230"/>
    </row>
    <row r="442" spans="1:26" ht="15.75" customHeight="1">
      <c r="A442" s="230"/>
      <c r="B442" s="230"/>
      <c r="C442" s="230"/>
      <c r="D442" s="230"/>
      <c r="E442" s="230"/>
      <c r="F442" s="230"/>
      <c r="G442" s="230"/>
      <c r="H442" s="230"/>
      <c r="I442" s="230"/>
      <c r="J442" s="230"/>
      <c r="K442" s="230"/>
      <c r="L442" s="230"/>
      <c r="M442" s="230"/>
      <c r="N442" s="230"/>
      <c r="O442" s="230"/>
      <c r="P442" s="230"/>
      <c r="Q442" s="230"/>
      <c r="R442" s="230"/>
      <c r="S442" s="230"/>
      <c r="T442" s="230"/>
      <c r="U442" s="230"/>
      <c r="V442" s="230"/>
      <c r="W442" s="230"/>
      <c r="X442" s="230"/>
      <c r="Y442" s="230"/>
      <c r="Z442" s="230"/>
    </row>
    <row r="443" spans="1:26" ht="15.75" customHeight="1">
      <c r="A443" s="230"/>
      <c r="B443" s="230"/>
      <c r="C443" s="230"/>
      <c r="D443" s="230"/>
      <c r="E443" s="230"/>
      <c r="F443" s="230"/>
      <c r="G443" s="230"/>
      <c r="H443" s="230"/>
      <c r="I443" s="230"/>
      <c r="J443" s="230"/>
      <c r="K443" s="230"/>
      <c r="L443" s="230"/>
      <c r="M443" s="230"/>
      <c r="N443" s="230"/>
      <c r="O443" s="230"/>
      <c r="P443" s="230"/>
      <c r="Q443" s="230"/>
      <c r="R443" s="230"/>
      <c r="S443" s="230"/>
      <c r="T443" s="230"/>
      <c r="U443" s="230"/>
      <c r="V443" s="230"/>
      <c r="W443" s="230"/>
      <c r="X443" s="230"/>
      <c r="Y443" s="230"/>
      <c r="Z443" s="230"/>
    </row>
    <row r="444" spans="1:26" ht="15.75" customHeight="1">
      <c r="A444" s="230"/>
      <c r="B444" s="230"/>
      <c r="C444" s="230"/>
      <c r="D444" s="230"/>
      <c r="E444" s="230"/>
      <c r="F444" s="230"/>
      <c r="G444" s="230"/>
      <c r="H444" s="230"/>
      <c r="I444" s="230"/>
      <c r="J444" s="230"/>
      <c r="K444" s="230"/>
      <c r="L444" s="230"/>
      <c r="M444" s="230"/>
      <c r="N444" s="230"/>
      <c r="O444" s="230"/>
      <c r="P444" s="230"/>
      <c r="Q444" s="230"/>
      <c r="R444" s="230"/>
      <c r="S444" s="230"/>
      <c r="T444" s="230"/>
      <c r="U444" s="230"/>
      <c r="V444" s="230"/>
      <c r="W444" s="230"/>
      <c r="X444" s="230"/>
      <c r="Y444" s="230"/>
      <c r="Z444" s="230"/>
    </row>
    <row r="445" spans="1:26" ht="15.75" customHeight="1">
      <c r="A445" s="230"/>
      <c r="B445" s="230"/>
      <c r="C445" s="230"/>
      <c r="D445" s="230"/>
      <c r="E445" s="230"/>
      <c r="F445" s="230"/>
      <c r="G445" s="230"/>
      <c r="H445" s="230"/>
      <c r="I445" s="230"/>
      <c r="J445" s="230"/>
      <c r="K445" s="230"/>
      <c r="L445" s="230"/>
      <c r="M445" s="230"/>
      <c r="N445" s="230"/>
      <c r="O445" s="230"/>
      <c r="P445" s="230"/>
      <c r="Q445" s="230"/>
      <c r="R445" s="230"/>
      <c r="S445" s="230"/>
      <c r="T445" s="230"/>
      <c r="U445" s="230"/>
      <c r="V445" s="230"/>
      <c r="W445" s="230"/>
      <c r="X445" s="230"/>
      <c r="Y445" s="230"/>
      <c r="Z445" s="230"/>
    </row>
    <row r="446" spans="1:26" ht="15.75" customHeight="1">
      <c r="A446" s="230"/>
      <c r="B446" s="230"/>
      <c r="C446" s="230"/>
      <c r="D446" s="230"/>
      <c r="E446" s="230"/>
      <c r="F446" s="230"/>
      <c r="G446" s="230"/>
      <c r="H446" s="230"/>
      <c r="I446" s="230"/>
      <c r="J446" s="230"/>
      <c r="K446" s="230"/>
      <c r="L446" s="230"/>
      <c r="M446" s="230"/>
      <c r="N446" s="230"/>
      <c r="O446" s="230"/>
      <c r="P446" s="230"/>
      <c r="Q446" s="230"/>
      <c r="R446" s="230"/>
      <c r="S446" s="230"/>
      <c r="T446" s="230"/>
      <c r="U446" s="230"/>
      <c r="V446" s="230"/>
      <c r="W446" s="230"/>
      <c r="X446" s="230"/>
      <c r="Y446" s="230"/>
      <c r="Z446" s="230"/>
    </row>
    <row r="447" spans="1:26" ht="15.75" customHeight="1">
      <c r="A447" s="230"/>
      <c r="B447" s="230"/>
      <c r="C447" s="230"/>
      <c r="D447" s="230"/>
      <c r="E447" s="230"/>
      <c r="F447" s="230"/>
      <c r="G447" s="230"/>
      <c r="H447" s="230"/>
      <c r="I447" s="230"/>
      <c r="J447" s="230"/>
      <c r="K447" s="230"/>
      <c r="L447" s="230"/>
      <c r="M447" s="230"/>
      <c r="N447" s="230"/>
      <c r="O447" s="230"/>
      <c r="P447" s="230"/>
      <c r="Q447" s="230"/>
      <c r="R447" s="230"/>
      <c r="S447" s="230"/>
      <c r="T447" s="230"/>
      <c r="U447" s="230"/>
      <c r="V447" s="230"/>
      <c r="W447" s="230"/>
      <c r="X447" s="230"/>
      <c r="Y447" s="230"/>
      <c r="Z447" s="230"/>
    </row>
    <row r="448" spans="1:26" ht="15.75" customHeight="1">
      <c r="A448" s="230"/>
      <c r="B448" s="230"/>
      <c r="C448" s="230"/>
      <c r="D448" s="230"/>
      <c r="E448" s="230"/>
      <c r="F448" s="230"/>
      <c r="G448" s="230"/>
      <c r="H448" s="230"/>
      <c r="I448" s="230"/>
      <c r="J448" s="230"/>
      <c r="K448" s="230"/>
      <c r="L448" s="230"/>
      <c r="M448" s="230"/>
      <c r="N448" s="230"/>
      <c r="O448" s="230"/>
      <c r="P448" s="230"/>
      <c r="Q448" s="230"/>
      <c r="R448" s="230"/>
      <c r="S448" s="230"/>
      <c r="T448" s="230"/>
      <c r="U448" s="230"/>
      <c r="V448" s="230"/>
      <c r="W448" s="230"/>
      <c r="X448" s="230"/>
      <c r="Y448" s="230"/>
      <c r="Z448" s="230"/>
    </row>
    <row r="449" spans="1:26" ht="15.75" customHeight="1">
      <c r="A449" s="230"/>
      <c r="B449" s="230"/>
      <c r="C449" s="230"/>
      <c r="D449" s="230"/>
      <c r="E449" s="230"/>
      <c r="F449" s="230"/>
      <c r="G449" s="230"/>
      <c r="H449" s="230"/>
      <c r="I449" s="230"/>
      <c r="J449" s="230"/>
      <c r="K449" s="230"/>
      <c r="L449" s="230"/>
      <c r="M449" s="230"/>
      <c r="N449" s="230"/>
      <c r="O449" s="230"/>
      <c r="P449" s="230"/>
      <c r="Q449" s="230"/>
      <c r="R449" s="230"/>
      <c r="S449" s="230"/>
      <c r="T449" s="230"/>
      <c r="U449" s="230"/>
      <c r="V449" s="230"/>
      <c r="W449" s="230"/>
      <c r="X449" s="230"/>
      <c r="Y449" s="230"/>
      <c r="Z449" s="230"/>
    </row>
    <row r="450" spans="1:26" ht="15.75" customHeight="1">
      <c r="A450" s="230"/>
      <c r="B450" s="230"/>
      <c r="C450" s="230"/>
      <c r="D450" s="230"/>
      <c r="E450" s="230"/>
      <c r="F450" s="230"/>
      <c r="G450" s="230"/>
      <c r="H450" s="230"/>
      <c r="I450" s="230"/>
      <c r="J450" s="230"/>
      <c r="K450" s="230"/>
      <c r="L450" s="230"/>
      <c r="M450" s="230"/>
      <c r="N450" s="230"/>
      <c r="O450" s="230"/>
      <c r="P450" s="230"/>
      <c r="Q450" s="230"/>
      <c r="R450" s="230"/>
      <c r="S450" s="230"/>
      <c r="T450" s="230"/>
      <c r="U450" s="230"/>
      <c r="V450" s="230"/>
      <c r="W450" s="230"/>
      <c r="X450" s="230"/>
      <c r="Y450" s="230"/>
      <c r="Z450" s="230"/>
    </row>
    <row r="451" spans="1:26" ht="15.75" customHeight="1">
      <c r="A451" s="230"/>
      <c r="B451" s="230"/>
      <c r="C451" s="230"/>
      <c r="D451" s="230"/>
      <c r="E451" s="230"/>
      <c r="F451" s="230"/>
      <c r="G451" s="230"/>
      <c r="H451" s="230"/>
      <c r="I451" s="230"/>
      <c r="J451" s="230"/>
      <c r="K451" s="230"/>
      <c r="L451" s="230"/>
      <c r="M451" s="230"/>
      <c r="N451" s="230"/>
      <c r="O451" s="230"/>
      <c r="P451" s="230"/>
      <c r="Q451" s="230"/>
      <c r="R451" s="230"/>
      <c r="S451" s="230"/>
      <c r="T451" s="230"/>
      <c r="U451" s="230"/>
      <c r="V451" s="230"/>
      <c r="W451" s="230"/>
      <c r="X451" s="230"/>
      <c r="Y451" s="230"/>
      <c r="Z451" s="230"/>
    </row>
    <row r="452" spans="1:26" ht="15.75" customHeight="1">
      <c r="A452" s="230"/>
      <c r="B452" s="230"/>
      <c r="C452" s="230"/>
      <c r="D452" s="230"/>
      <c r="E452" s="230"/>
      <c r="F452" s="230"/>
      <c r="G452" s="230"/>
      <c r="H452" s="230"/>
      <c r="I452" s="230"/>
      <c r="J452" s="230"/>
      <c r="K452" s="230"/>
      <c r="L452" s="230"/>
      <c r="M452" s="230"/>
      <c r="N452" s="230"/>
      <c r="O452" s="230"/>
      <c r="P452" s="230"/>
      <c r="Q452" s="230"/>
      <c r="R452" s="230"/>
      <c r="S452" s="230"/>
      <c r="T452" s="230"/>
      <c r="U452" s="230"/>
      <c r="V452" s="230"/>
      <c r="W452" s="230"/>
      <c r="X452" s="230"/>
      <c r="Y452" s="230"/>
      <c r="Z452" s="230"/>
    </row>
    <row r="453" spans="1:26" ht="15.75" customHeight="1">
      <c r="A453" s="230"/>
      <c r="B453" s="230"/>
      <c r="C453" s="230"/>
      <c r="D453" s="230"/>
      <c r="E453" s="230"/>
      <c r="F453" s="230"/>
      <c r="G453" s="230"/>
      <c r="H453" s="230"/>
      <c r="I453" s="230"/>
      <c r="J453" s="230"/>
      <c r="K453" s="230"/>
      <c r="L453" s="230"/>
      <c r="M453" s="230"/>
      <c r="N453" s="230"/>
      <c r="O453" s="230"/>
      <c r="P453" s="230"/>
      <c r="Q453" s="230"/>
      <c r="R453" s="230"/>
      <c r="S453" s="230"/>
      <c r="T453" s="230"/>
      <c r="U453" s="230"/>
      <c r="V453" s="230"/>
      <c r="W453" s="230"/>
      <c r="X453" s="230"/>
      <c r="Y453" s="230"/>
      <c r="Z453" s="230"/>
    </row>
    <row r="454" spans="1:26" ht="15.75" customHeight="1">
      <c r="A454" s="230"/>
      <c r="B454" s="230"/>
      <c r="C454" s="230"/>
      <c r="D454" s="230"/>
      <c r="E454" s="230"/>
      <c r="F454" s="230"/>
      <c r="G454" s="230"/>
      <c r="H454" s="230"/>
      <c r="I454" s="230"/>
      <c r="J454" s="230"/>
      <c r="K454" s="230"/>
      <c r="L454" s="230"/>
      <c r="M454" s="230"/>
      <c r="N454" s="230"/>
      <c r="O454" s="230"/>
      <c r="P454" s="230"/>
      <c r="Q454" s="230"/>
      <c r="R454" s="230"/>
      <c r="S454" s="230"/>
      <c r="T454" s="230"/>
      <c r="U454" s="230"/>
      <c r="V454" s="230"/>
      <c r="W454" s="230"/>
      <c r="X454" s="230"/>
      <c r="Y454" s="230"/>
      <c r="Z454" s="230"/>
    </row>
    <row r="455" spans="1:26" ht="15.75" customHeight="1">
      <c r="A455" s="230"/>
      <c r="B455" s="230"/>
      <c r="C455" s="230"/>
      <c r="D455" s="230"/>
      <c r="E455" s="230"/>
      <c r="F455" s="230"/>
      <c r="G455" s="230"/>
      <c r="H455" s="230"/>
      <c r="I455" s="230"/>
      <c r="J455" s="230"/>
      <c r="K455" s="230"/>
      <c r="L455" s="230"/>
      <c r="M455" s="230"/>
      <c r="N455" s="230"/>
      <c r="O455" s="230"/>
      <c r="P455" s="230"/>
      <c r="Q455" s="230"/>
      <c r="R455" s="230"/>
      <c r="S455" s="230"/>
      <c r="T455" s="230"/>
      <c r="U455" s="230"/>
      <c r="V455" s="230"/>
      <c r="W455" s="230"/>
      <c r="X455" s="230"/>
      <c r="Y455" s="230"/>
      <c r="Z455" s="230"/>
    </row>
    <row r="456" spans="1:26" ht="15.75" customHeight="1">
      <c r="A456" s="230"/>
      <c r="B456" s="230"/>
      <c r="C456" s="230"/>
      <c r="D456" s="230"/>
      <c r="E456" s="230"/>
      <c r="F456" s="230"/>
      <c r="G456" s="230"/>
      <c r="H456" s="230"/>
      <c r="I456" s="230"/>
      <c r="J456" s="230"/>
      <c r="K456" s="230"/>
      <c r="L456" s="230"/>
      <c r="M456" s="230"/>
      <c r="N456" s="230"/>
      <c r="O456" s="230"/>
      <c r="P456" s="230"/>
      <c r="Q456" s="230"/>
      <c r="R456" s="230"/>
      <c r="S456" s="230"/>
      <c r="T456" s="230"/>
      <c r="U456" s="230"/>
      <c r="V456" s="230"/>
      <c r="W456" s="230"/>
      <c r="X456" s="230"/>
      <c r="Y456" s="230"/>
      <c r="Z456" s="230"/>
    </row>
    <row r="457" spans="1:26" ht="15.75" customHeight="1">
      <c r="A457" s="230"/>
      <c r="B457" s="230"/>
      <c r="C457" s="230"/>
      <c r="D457" s="230"/>
      <c r="E457" s="230"/>
      <c r="F457" s="230"/>
      <c r="G457" s="230"/>
      <c r="H457" s="230"/>
      <c r="I457" s="230"/>
      <c r="J457" s="230"/>
      <c r="K457" s="230"/>
      <c r="L457" s="230"/>
      <c r="M457" s="230"/>
      <c r="N457" s="230"/>
      <c r="O457" s="230"/>
      <c r="P457" s="230"/>
      <c r="Q457" s="230"/>
      <c r="R457" s="230"/>
      <c r="S457" s="230"/>
      <c r="T457" s="230"/>
      <c r="U457" s="230"/>
      <c r="V457" s="230"/>
      <c r="W457" s="230"/>
      <c r="X457" s="230"/>
      <c r="Y457" s="230"/>
      <c r="Z457" s="230"/>
    </row>
    <row r="458" spans="1:26" ht="15.75" customHeight="1">
      <c r="A458" s="230"/>
      <c r="B458" s="230"/>
      <c r="C458" s="230"/>
      <c r="D458" s="230"/>
      <c r="E458" s="230"/>
      <c r="F458" s="230"/>
      <c r="G458" s="230"/>
      <c r="H458" s="230"/>
      <c r="I458" s="230"/>
      <c r="J458" s="230"/>
      <c r="K458" s="230"/>
      <c r="L458" s="230"/>
      <c r="M458" s="230"/>
      <c r="N458" s="230"/>
      <c r="O458" s="230"/>
      <c r="P458" s="230"/>
      <c r="Q458" s="230"/>
      <c r="R458" s="230"/>
      <c r="S458" s="230"/>
      <c r="T458" s="230"/>
      <c r="U458" s="230"/>
      <c r="V458" s="230"/>
      <c r="W458" s="230"/>
      <c r="X458" s="230"/>
      <c r="Y458" s="230"/>
      <c r="Z458" s="230"/>
    </row>
    <row r="459" spans="1:26" ht="15.75" customHeight="1">
      <c r="A459" s="230"/>
      <c r="B459" s="230"/>
      <c r="C459" s="230"/>
      <c r="D459" s="230"/>
      <c r="E459" s="230"/>
      <c r="F459" s="230"/>
      <c r="G459" s="230"/>
      <c r="H459" s="230"/>
      <c r="I459" s="230"/>
      <c r="J459" s="230"/>
      <c r="K459" s="230"/>
      <c r="L459" s="230"/>
      <c r="M459" s="230"/>
      <c r="N459" s="230"/>
      <c r="O459" s="230"/>
      <c r="P459" s="230"/>
      <c r="Q459" s="230"/>
      <c r="R459" s="230"/>
      <c r="S459" s="230"/>
      <c r="T459" s="230"/>
      <c r="U459" s="230"/>
      <c r="V459" s="230"/>
      <c r="W459" s="230"/>
      <c r="X459" s="230"/>
      <c r="Y459" s="230"/>
      <c r="Z459" s="230"/>
    </row>
    <row r="460" spans="1:26" ht="15.75" customHeight="1">
      <c r="A460" s="230"/>
      <c r="B460" s="230"/>
      <c r="C460" s="230"/>
      <c r="D460" s="230"/>
      <c r="E460" s="230"/>
      <c r="F460" s="230"/>
      <c r="G460" s="230"/>
      <c r="H460" s="230"/>
      <c r="I460" s="230"/>
      <c r="J460" s="230"/>
      <c r="K460" s="230"/>
      <c r="L460" s="230"/>
      <c r="M460" s="230"/>
      <c r="N460" s="230"/>
      <c r="O460" s="230"/>
      <c r="P460" s="230"/>
      <c r="Q460" s="230"/>
      <c r="R460" s="230"/>
      <c r="S460" s="230"/>
      <c r="T460" s="230"/>
      <c r="U460" s="230"/>
      <c r="V460" s="230"/>
      <c r="W460" s="230"/>
      <c r="X460" s="230"/>
      <c r="Y460" s="230"/>
      <c r="Z460" s="230"/>
    </row>
    <row r="461" spans="1:26" ht="15.75" customHeight="1">
      <c r="A461" s="230"/>
      <c r="B461" s="230"/>
      <c r="C461" s="230"/>
      <c r="D461" s="230"/>
      <c r="E461" s="230"/>
      <c r="F461" s="230"/>
      <c r="G461" s="230"/>
      <c r="H461" s="230"/>
      <c r="I461" s="230"/>
      <c r="J461" s="230"/>
      <c r="K461" s="230"/>
      <c r="L461" s="230"/>
      <c r="M461" s="230"/>
      <c r="N461" s="230"/>
      <c r="O461" s="230"/>
      <c r="P461" s="230"/>
      <c r="Q461" s="230"/>
      <c r="R461" s="230"/>
      <c r="S461" s="230"/>
      <c r="T461" s="230"/>
      <c r="U461" s="230"/>
      <c r="V461" s="230"/>
      <c r="W461" s="230"/>
      <c r="X461" s="230"/>
      <c r="Y461" s="230"/>
      <c r="Z461" s="230"/>
    </row>
    <row r="462" spans="1:26" ht="15.75" customHeight="1">
      <c r="A462" s="230"/>
      <c r="B462" s="230"/>
      <c r="C462" s="230"/>
      <c r="D462" s="230"/>
      <c r="E462" s="230"/>
      <c r="F462" s="230"/>
      <c r="G462" s="230"/>
      <c r="H462" s="230"/>
      <c r="I462" s="230"/>
      <c r="J462" s="230"/>
      <c r="K462" s="230"/>
      <c r="L462" s="230"/>
      <c r="M462" s="230"/>
      <c r="N462" s="230"/>
      <c r="O462" s="230"/>
      <c r="P462" s="230"/>
      <c r="Q462" s="230"/>
      <c r="R462" s="230"/>
      <c r="S462" s="230"/>
      <c r="T462" s="230"/>
      <c r="U462" s="230"/>
      <c r="V462" s="230"/>
      <c r="W462" s="230"/>
      <c r="X462" s="230"/>
      <c r="Y462" s="230"/>
      <c r="Z462" s="230"/>
    </row>
    <row r="463" spans="1:26" ht="15.75" customHeight="1">
      <c r="A463" s="230"/>
      <c r="B463" s="230"/>
      <c r="C463" s="230"/>
      <c r="D463" s="230"/>
      <c r="E463" s="230"/>
      <c r="F463" s="230"/>
      <c r="G463" s="230"/>
      <c r="H463" s="230"/>
      <c r="I463" s="230"/>
      <c r="J463" s="230"/>
      <c r="K463" s="230"/>
      <c r="L463" s="230"/>
      <c r="M463" s="230"/>
      <c r="N463" s="230"/>
      <c r="O463" s="230"/>
      <c r="P463" s="230"/>
      <c r="Q463" s="230"/>
      <c r="R463" s="230"/>
      <c r="S463" s="230"/>
      <c r="T463" s="230"/>
      <c r="U463" s="230"/>
      <c r="V463" s="230"/>
      <c r="W463" s="230"/>
      <c r="X463" s="230"/>
      <c r="Y463" s="230"/>
      <c r="Z463" s="230"/>
    </row>
    <row r="464" spans="1:26" ht="15.75" customHeight="1">
      <c r="A464" s="230"/>
      <c r="B464" s="230"/>
      <c r="C464" s="230"/>
      <c r="D464" s="230"/>
      <c r="E464" s="230"/>
      <c r="F464" s="230"/>
      <c r="G464" s="230"/>
      <c r="H464" s="230"/>
      <c r="I464" s="230"/>
      <c r="J464" s="230"/>
      <c r="K464" s="230"/>
      <c r="L464" s="230"/>
      <c r="M464" s="230"/>
      <c r="N464" s="230"/>
      <c r="O464" s="230"/>
      <c r="P464" s="230"/>
      <c r="Q464" s="230"/>
      <c r="R464" s="230"/>
      <c r="S464" s="230"/>
      <c r="T464" s="230"/>
      <c r="U464" s="230"/>
      <c r="V464" s="230"/>
      <c r="W464" s="230"/>
      <c r="X464" s="230"/>
      <c r="Y464" s="230"/>
      <c r="Z464" s="230"/>
    </row>
    <row r="465" spans="1:26" ht="15.75" customHeight="1">
      <c r="A465" s="230"/>
      <c r="B465" s="230"/>
      <c r="C465" s="230"/>
      <c r="D465" s="230"/>
      <c r="E465" s="230"/>
      <c r="F465" s="230"/>
      <c r="G465" s="230"/>
      <c r="H465" s="230"/>
      <c r="I465" s="230"/>
      <c r="J465" s="230"/>
      <c r="K465" s="230"/>
      <c r="L465" s="230"/>
      <c r="M465" s="230"/>
      <c r="N465" s="230"/>
      <c r="O465" s="230"/>
      <c r="P465" s="230"/>
      <c r="Q465" s="230"/>
      <c r="R465" s="230"/>
      <c r="S465" s="230"/>
      <c r="T465" s="230"/>
      <c r="U465" s="230"/>
      <c r="V465" s="230"/>
      <c r="W465" s="230"/>
      <c r="X465" s="230"/>
      <c r="Y465" s="230"/>
      <c r="Z465" s="230"/>
    </row>
    <row r="466" spans="1:26" ht="15.75" customHeight="1">
      <c r="A466" s="230"/>
      <c r="B466" s="230"/>
      <c r="C466" s="230"/>
      <c r="D466" s="230"/>
      <c r="E466" s="230"/>
      <c r="F466" s="230"/>
      <c r="G466" s="230"/>
      <c r="H466" s="230"/>
      <c r="I466" s="230"/>
      <c r="J466" s="230"/>
      <c r="K466" s="230"/>
      <c r="L466" s="230"/>
      <c r="M466" s="230"/>
      <c r="N466" s="230"/>
      <c r="O466" s="230"/>
      <c r="P466" s="230"/>
      <c r="Q466" s="230"/>
      <c r="R466" s="230"/>
      <c r="S466" s="230"/>
      <c r="T466" s="230"/>
      <c r="U466" s="230"/>
      <c r="V466" s="230"/>
      <c r="W466" s="230"/>
      <c r="X466" s="230"/>
      <c r="Y466" s="230"/>
      <c r="Z466" s="230"/>
    </row>
    <row r="467" spans="1:26" ht="15.75" customHeight="1">
      <c r="A467" s="230"/>
      <c r="B467" s="230"/>
      <c r="C467" s="230"/>
      <c r="D467" s="230"/>
      <c r="E467" s="230"/>
      <c r="F467" s="230"/>
      <c r="G467" s="230"/>
      <c r="H467" s="230"/>
      <c r="I467" s="230"/>
      <c r="J467" s="230"/>
      <c r="K467" s="230"/>
      <c r="L467" s="230"/>
      <c r="M467" s="230"/>
      <c r="N467" s="230"/>
      <c r="O467" s="230"/>
      <c r="P467" s="230"/>
      <c r="Q467" s="230"/>
      <c r="R467" s="230"/>
      <c r="S467" s="230"/>
      <c r="T467" s="230"/>
      <c r="U467" s="230"/>
      <c r="V467" s="230"/>
      <c r="W467" s="230"/>
      <c r="X467" s="230"/>
      <c r="Y467" s="230"/>
      <c r="Z467" s="230"/>
    </row>
    <row r="468" spans="1:26" ht="15.75" customHeight="1">
      <c r="A468" s="230"/>
      <c r="B468" s="230"/>
      <c r="C468" s="230"/>
      <c r="D468" s="230"/>
      <c r="E468" s="230"/>
      <c r="F468" s="230"/>
      <c r="G468" s="230"/>
      <c r="H468" s="230"/>
      <c r="I468" s="230"/>
      <c r="J468" s="230"/>
      <c r="K468" s="230"/>
      <c r="L468" s="230"/>
      <c r="M468" s="230"/>
      <c r="N468" s="230"/>
      <c r="O468" s="230"/>
      <c r="P468" s="230"/>
      <c r="Q468" s="230"/>
      <c r="R468" s="230"/>
      <c r="S468" s="230"/>
      <c r="T468" s="230"/>
      <c r="U468" s="230"/>
      <c r="V468" s="230"/>
      <c r="W468" s="230"/>
      <c r="X468" s="230"/>
      <c r="Y468" s="230"/>
      <c r="Z468" s="230"/>
    </row>
    <row r="469" spans="1:26" ht="15.75" customHeight="1">
      <c r="A469" s="230"/>
      <c r="B469" s="230"/>
      <c r="C469" s="230"/>
      <c r="D469" s="230"/>
      <c r="E469" s="230"/>
      <c r="F469" s="230"/>
      <c r="G469" s="230"/>
      <c r="H469" s="230"/>
      <c r="I469" s="230"/>
      <c r="J469" s="230"/>
      <c r="K469" s="230"/>
      <c r="L469" s="230"/>
      <c r="M469" s="230"/>
      <c r="N469" s="230"/>
      <c r="O469" s="230"/>
      <c r="P469" s="230"/>
      <c r="Q469" s="230"/>
      <c r="R469" s="230"/>
      <c r="S469" s="230"/>
      <c r="T469" s="230"/>
      <c r="U469" s="230"/>
      <c r="V469" s="230"/>
      <c r="W469" s="230"/>
      <c r="X469" s="230"/>
      <c r="Y469" s="230"/>
      <c r="Z469" s="230"/>
    </row>
    <row r="470" spans="1:26" ht="15.75" customHeight="1">
      <c r="A470" s="230"/>
      <c r="B470" s="230"/>
      <c r="C470" s="230"/>
      <c r="D470" s="230"/>
      <c r="E470" s="230"/>
      <c r="F470" s="230"/>
      <c r="G470" s="230"/>
      <c r="H470" s="230"/>
      <c r="I470" s="230"/>
      <c r="J470" s="230"/>
      <c r="K470" s="230"/>
      <c r="L470" s="230"/>
      <c r="M470" s="230"/>
      <c r="N470" s="230"/>
      <c r="O470" s="230"/>
      <c r="P470" s="230"/>
      <c r="Q470" s="230"/>
      <c r="R470" s="230"/>
      <c r="S470" s="230"/>
      <c r="T470" s="230"/>
      <c r="U470" s="230"/>
      <c r="V470" s="230"/>
      <c r="W470" s="230"/>
      <c r="X470" s="230"/>
      <c r="Y470" s="230"/>
      <c r="Z470" s="230"/>
    </row>
    <row r="471" spans="1:26" ht="15.75" customHeight="1">
      <c r="A471" s="230"/>
      <c r="B471" s="230"/>
      <c r="C471" s="230"/>
      <c r="D471" s="230"/>
      <c r="E471" s="230"/>
      <c r="F471" s="230"/>
      <c r="G471" s="230"/>
      <c r="H471" s="230"/>
      <c r="I471" s="230"/>
      <c r="J471" s="230"/>
      <c r="K471" s="230"/>
      <c r="L471" s="230"/>
      <c r="M471" s="230"/>
      <c r="N471" s="230"/>
      <c r="O471" s="230"/>
      <c r="P471" s="230"/>
      <c r="Q471" s="230"/>
      <c r="R471" s="230"/>
      <c r="S471" s="230"/>
      <c r="T471" s="230"/>
      <c r="U471" s="230"/>
      <c r="V471" s="230"/>
      <c r="W471" s="230"/>
      <c r="X471" s="230"/>
      <c r="Y471" s="230"/>
      <c r="Z471" s="230"/>
    </row>
    <row r="472" spans="1:26" ht="15.75" customHeight="1">
      <c r="A472" s="230"/>
      <c r="B472" s="230"/>
      <c r="C472" s="230"/>
      <c r="D472" s="230"/>
      <c r="E472" s="230"/>
      <c r="F472" s="230"/>
      <c r="G472" s="230"/>
      <c r="H472" s="230"/>
      <c r="I472" s="230"/>
      <c r="J472" s="230"/>
      <c r="K472" s="230"/>
      <c r="L472" s="230"/>
      <c r="M472" s="230"/>
      <c r="N472" s="230"/>
      <c r="O472" s="230"/>
      <c r="P472" s="230"/>
      <c r="Q472" s="230"/>
      <c r="R472" s="230"/>
      <c r="S472" s="230"/>
      <c r="T472" s="230"/>
      <c r="U472" s="230"/>
      <c r="V472" s="230"/>
      <c r="W472" s="230"/>
      <c r="X472" s="230"/>
      <c r="Y472" s="230"/>
      <c r="Z472" s="230"/>
    </row>
    <row r="473" spans="1:26" ht="15.75" customHeight="1">
      <c r="A473" s="230"/>
      <c r="B473" s="230"/>
      <c r="C473" s="230"/>
      <c r="D473" s="230"/>
      <c r="E473" s="230"/>
      <c r="F473" s="230"/>
      <c r="G473" s="230"/>
      <c r="H473" s="230"/>
      <c r="I473" s="230"/>
      <c r="J473" s="230"/>
      <c r="K473" s="230"/>
      <c r="L473" s="230"/>
      <c r="M473" s="230"/>
      <c r="N473" s="230"/>
      <c r="O473" s="230"/>
      <c r="P473" s="230"/>
      <c r="Q473" s="230"/>
      <c r="R473" s="230"/>
      <c r="S473" s="230"/>
      <c r="T473" s="230"/>
      <c r="U473" s="230"/>
      <c r="V473" s="230"/>
      <c r="W473" s="230"/>
      <c r="X473" s="230"/>
      <c r="Y473" s="230"/>
      <c r="Z473" s="230"/>
    </row>
    <row r="474" spans="1:26" ht="15.75" customHeight="1">
      <c r="A474" s="230"/>
      <c r="B474" s="230"/>
      <c r="C474" s="230"/>
      <c r="D474" s="230"/>
      <c r="E474" s="230"/>
      <c r="F474" s="230"/>
      <c r="G474" s="230"/>
      <c r="H474" s="230"/>
      <c r="I474" s="230"/>
      <c r="J474" s="230"/>
      <c r="K474" s="230"/>
      <c r="L474" s="230"/>
      <c r="M474" s="230"/>
      <c r="N474" s="230"/>
      <c r="O474" s="230"/>
      <c r="P474" s="230"/>
      <c r="Q474" s="230"/>
      <c r="R474" s="230"/>
      <c r="S474" s="230"/>
      <c r="T474" s="230"/>
      <c r="U474" s="230"/>
      <c r="V474" s="230"/>
      <c r="W474" s="230"/>
      <c r="X474" s="230"/>
      <c r="Y474" s="230"/>
      <c r="Z474" s="230"/>
    </row>
    <row r="475" spans="1:26" ht="15.75" customHeight="1">
      <c r="A475" s="230"/>
      <c r="B475" s="230"/>
      <c r="C475" s="230"/>
      <c r="D475" s="230"/>
      <c r="E475" s="230"/>
      <c r="F475" s="230"/>
      <c r="G475" s="230"/>
      <c r="H475" s="230"/>
      <c r="I475" s="230"/>
      <c r="J475" s="230"/>
      <c r="K475" s="230"/>
      <c r="L475" s="230"/>
      <c r="M475" s="230"/>
      <c r="N475" s="230"/>
      <c r="O475" s="230"/>
      <c r="P475" s="230"/>
      <c r="Q475" s="230"/>
      <c r="R475" s="230"/>
      <c r="S475" s="230"/>
      <c r="T475" s="230"/>
      <c r="U475" s="230"/>
      <c r="V475" s="230"/>
      <c r="W475" s="230"/>
      <c r="X475" s="230"/>
      <c r="Y475" s="230"/>
      <c r="Z475" s="230"/>
    </row>
    <row r="476" spans="1:26" ht="15.75" customHeight="1">
      <c r="A476" s="230"/>
      <c r="B476" s="230"/>
      <c r="C476" s="230"/>
      <c r="D476" s="230"/>
      <c r="E476" s="230"/>
      <c r="F476" s="230"/>
      <c r="G476" s="230"/>
      <c r="H476" s="230"/>
      <c r="I476" s="230"/>
      <c r="J476" s="230"/>
      <c r="K476" s="230"/>
      <c r="L476" s="230"/>
      <c r="M476" s="230"/>
      <c r="N476" s="230"/>
      <c r="O476" s="230"/>
      <c r="P476" s="230"/>
      <c r="Q476" s="230"/>
      <c r="R476" s="230"/>
      <c r="S476" s="230"/>
      <c r="T476" s="230"/>
      <c r="U476" s="230"/>
      <c r="V476" s="230"/>
      <c r="W476" s="230"/>
      <c r="X476" s="230"/>
      <c r="Y476" s="230"/>
      <c r="Z476" s="230"/>
    </row>
    <row r="477" spans="1:26" ht="15.75" customHeight="1">
      <c r="A477" s="230"/>
      <c r="B477" s="230"/>
      <c r="C477" s="230"/>
      <c r="D477" s="230"/>
      <c r="E477" s="230"/>
      <c r="F477" s="230"/>
      <c r="G477" s="230"/>
      <c r="H477" s="230"/>
      <c r="I477" s="230"/>
      <c r="J477" s="230"/>
      <c r="K477" s="230"/>
      <c r="L477" s="230"/>
      <c r="M477" s="230"/>
      <c r="N477" s="230"/>
      <c r="O477" s="230"/>
      <c r="P477" s="230"/>
      <c r="Q477" s="230"/>
      <c r="R477" s="230"/>
      <c r="S477" s="230"/>
      <c r="T477" s="230"/>
      <c r="U477" s="230"/>
      <c r="V477" s="230"/>
      <c r="W477" s="230"/>
      <c r="X477" s="230"/>
      <c r="Y477" s="230"/>
      <c r="Z477" s="230"/>
    </row>
    <row r="478" spans="1:26" ht="15.75" customHeight="1">
      <c r="A478" s="230"/>
      <c r="B478" s="230"/>
      <c r="C478" s="230"/>
      <c r="D478" s="230"/>
      <c r="E478" s="230"/>
      <c r="F478" s="230"/>
      <c r="G478" s="230"/>
      <c r="H478" s="230"/>
      <c r="I478" s="230"/>
      <c r="J478" s="230"/>
      <c r="K478" s="230"/>
      <c r="L478" s="230"/>
      <c r="M478" s="230"/>
      <c r="N478" s="230"/>
      <c r="O478" s="230"/>
      <c r="P478" s="230"/>
      <c r="Q478" s="230"/>
      <c r="R478" s="230"/>
      <c r="S478" s="230"/>
      <c r="T478" s="230"/>
      <c r="U478" s="230"/>
      <c r="V478" s="230"/>
      <c r="W478" s="230"/>
      <c r="X478" s="230"/>
      <c r="Y478" s="230"/>
      <c r="Z478" s="230"/>
    </row>
    <row r="479" spans="1:26" ht="15.75" customHeight="1">
      <c r="A479" s="230"/>
      <c r="B479" s="230"/>
      <c r="C479" s="230"/>
      <c r="D479" s="230"/>
      <c r="E479" s="230"/>
      <c r="F479" s="230"/>
      <c r="G479" s="230"/>
      <c r="H479" s="230"/>
      <c r="I479" s="230"/>
      <c r="J479" s="230"/>
      <c r="K479" s="230"/>
      <c r="L479" s="230"/>
      <c r="M479" s="230"/>
      <c r="N479" s="230"/>
      <c r="O479" s="230"/>
      <c r="P479" s="230"/>
      <c r="Q479" s="230"/>
      <c r="R479" s="230"/>
      <c r="S479" s="230"/>
      <c r="T479" s="230"/>
      <c r="U479" s="230"/>
      <c r="V479" s="230"/>
      <c r="W479" s="230"/>
      <c r="X479" s="230"/>
      <c r="Y479" s="230"/>
      <c r="Z479" s="230"/>
    </row>
    <row r="480" spans="1:26" ht="15.75" customHeight="1">
      <c r="A480" s="230"/>
      <c r="B480" s="230"/>
      <c r="C480" s="230"/>
      <c r="D480" s="230"/>
      <c r="E480" s="230"/>
      <c r="F480" s="230"/>
      <c r="G480" s="230"/>
      <c r="H480" s="230"/>
      <c r="I480" s="230"/>
      <c r="J480" s="230"/>
      <c r="K480" s="230"/>
      <c r="L480" s="230"/>
      <c r="M480" s="230"/>
      <c r="N480" s="230"/>
      <c r="O480" s="230"/>
      <c r="P480" s="230"/>
      <c r="Q480" s="230"/>
      <c r="R480" s="230"/>
      <c r="S480" s="230"/>
      <c r="T480" s="230"/>
      <c r="U480" s="230"/>
      <c r="V480" s="230"/>
      <c r="W480" s="230"/>
      <c r="X480" s="230"/>
      <c r="Y480" s="230"/>
      <c r="Z480" s="230"/>
    </row>
    <row r="481" spans="1:26" ht="15.75" customHeight="1">
      <c r="A481" s="230"/>
      <c r="B481" s="230"/>
      <c r="C481" s="230"/>
      <c r="D481" s="230"/>
      <c r="E481" s="230"/>
      <c r="F481" s="230"/>
      <c r="G481" s="230"/>
      <c r="H481" s="230"/>
      <c r="I481" s="230"/>
      <c r="J481" s="230"/>
      <c r="K481" s="230"/>
      <c r="L481" s="230"/>
      <c r="M481" s="230"/>
      <c r="N481" s="230"/>
      <c r="O481" s="230"/>
      <c r="P481" s="230"/>
      <c r="Q481" s="230"/>
      <c r="R481" s="230"/>
      <c r="S481" s="230"/>
      <c r="T481" s="230"/>
      <c r="U481" s="230"/>
      <c r="V481" s="230"/>
      <c r="W481" s="230"/>
      <c r="X481" s="230"/>
      <c r="Y481" s="230"/>
      <c r="Z481" s="230"/>
    </row>
    <row r="482" spans="1:26" ht="15.75" customHeight="1">
      <c r="A482" s="230"/>
      <c r="B482" s="230"/>
      <c r="C482" s="230"/>
      <c r="D482" s="230"/>
      <c r="E482" s="230"/>
      <c r="F482" s="230"/>
      <c r="G482" s="230"/>
      <c r="H482" s="230"/>
      <c r="I482" s="230"/>
      <c r="J482" s="230"/>
      <c r="K482" s="230"/>
      <c r="L482" s="230"/>
      <c r="M482" s="230"/>
      <c r="N482" s="230"/>
      <c r="O482" s="230"/>
      <c r="P482" s="230"/>
      <c r="Q482" s="230"/>
      <c r="R482" s="230"/>
      <c r="S482" s="230"/>
      <c r="T482" s="230"/>
      <c r="U482" s="230"/>
      <c r="V482" s="230"/>
      <c r="W482" s="230"/>
      <c r="X482" s="230"/>
      <c r="Y482" s="230"/>
      <c r="Z482" s="230"/>
    </row>
    <row r="483" spans="1:26" ht="15.75" customHeight="1">
      <c r="A483" s="230"/>
      <c r="B483" s="230"/>
      <c r="C483" s="230"/>
      <c r="D483" s="230"/>
      <c r="E483" s="230"/>
      <c r="F483" s="230"/>
      <c r="G483" s="230"/>
      <c r="H483" s="230"/>
      <c r="I483" s="230"/>
      <c r="J483" s="230"/>
      <c r="K483" s="230"/>
      <c r="L483" s="230"/>
      <c r="M483" s="230"/>
      <c r="N483" s="230"/>
      <c r="O483" s="230"/>
      <c r="P483" s="230"/>
      <c r="Q483" s="230"/>
      <c r="R483" s="230"/>
      <c r="S483" s="230"/>
      <c r="T483" s="230"/>
      <c r="U483" s="230"/>
      <c r="V483" s="230"/>
      <c r="W483" s="230"/>
      <c r="X483" s="230"/>
      <c r="Y483" s="230"/>
      <c r="Z483" s="230"/>
    </row>
    <row r="484" spans="1:26" ht="15.75" customHeight="1">
      <c r="A484" s="230"/>
      <c r="B484" s="230"/>
      <c r="C484" s="230"/>
      <c r="D484" s="230"/>
      <c r="E484" s="230"/>
      <c r="F484" s="230"/>
      <c r="G484" s="230"/>
      <c r="H484" s="230"/>
      <c r="I484" s="230"/>
      <c r="J484" s="230"/>
      <c r="K484" s="230"/>
      <c r="L484" s="230"/>
      <c r="M484" s="230"/>
      <c r="N484" s="230"/>
      <c r="O484" s="230"/>
      <c r="P484" s="230"/>
      <c r="Q484" s="230"/>
      <c r="R484" s="230"/>
      <c r="S484" s="230"/>
      <c r="T484" s="230"/>
      <c r="U484" s="230"/>
      <c r="V484" s="230"/>
      <c r="W484" s="230"/>
      <c r="X484" s="230"/>
      <c r="Y484" s="230"/>
      <c r="Z484" s="230"/>
    </row>
    <row r="485" spans="1:26" ht="15.75" customHeight="1">
      <c r="A485" s="230"/>
      <c r="B485" s="230"/>
      <c r="C485" s="230"/>
      <c r="D485" s="230"/>
      <c r="E485" s="230"/>
      <c r="F485" s="230"/>
      <c r="G485" s="230"/>
      <c r="H485" s="230"/>
      <c r="I485" s="230"/>
      <c r="J485" s="230"/>
      <c r="K485" s="230"/>
      <c r="L485" s="230"/>
      <c r="M485" s="230"/>
      <c r="N485" s="230"/>
      <c r="O485" s="230"/>
      <c r="P485" s="230"/>
      <c r="Q485" s="230"/>
      <c r="R485" s="230"/>
      <c r="S485" s="230"/>
      <c r="T485" s="230"/>
      <c r="U485" s="230"/>
      <c r="V485" s="230"/>
      <c r="W485" s="230"/>
      <c r="X485" s="230"/>
      <c r="Y485" s="230"/>
      <c r="Z485" s="230"/>
    </row>
    <row r="486" spans="1:26" ht="15.75" customHeight="1">
      <c r="A486" s="230"/>
      <c r="B486" s="230"/>
      <c r="C486" s="230"/>
      <c r="D486" s="230"/>
      <c r="E486" s="230"/>
      <c r="F486" s="230"/>
      <c r="G486" s="230"/>
      <c r="H486" s="230"/>
      <c r="I486" s="230"/>
      <c r="J486" s="230"/>
      <c r="K486" s="230"/>
      <c r="L486" s="230"/>
      <c r="M486" s="230"/>
      <c r="N486" s="230"/>
      <c r="O486" s="230"/>
      <c r="P486" s="230"/>
      <c r="Q486" s="230"/>
      <c r="R486" s="230"/>
      <c r="S486" s="230"/>
      <c r="T486" s="230"/>
      <c r="U486" s="230"/>
      <c r="V486" s="230"/>
      <c r="W486" s="230"/>
      <c r="X486" s="230"/>
      <c r="Y486" s="230"/>
      <c r="Z486" s="230"/>
    </row>
    <row r="487" spans="1:26" ht="15.75" customHeight="1">
      <c r="A487" s="230"/>
      <c r="B487" s="230"/>
      <c r="C487" s="230"/>
      <c r="D487" s="230"/>
      <c r="E487" s="230"/>
      <c r="F487" s="230"/>
      <c r="G487" s="230"/>
      <c r="H487" s="230"/>
      <c r="I487" s="230"/>
      <c r="J487" s="230"/>
      <c r="K487" s="230"/>
      <c r="L487" s="230"/>
      <c r="M487" s="230"/>
      <c r="N487" s="230"/>
      <c r="O487" s="230"/>
      <c r="P487" s="230"/>
      <c r="Q487" s="230"/>
      <c r="R487" s="230"/>
      <c r="S487" s="230"/>
      <c r="T487" s="230"/>
      <c r="U487" s="230"/>
      <c r="V487" s="230"/>
      <c r="W487" s="230"/>
      <c r="X487" s="230"/>
      <c r="Y487" s="230"/>
      <c r="Z487" s="230"/>
    </row>
    <row r="488" spans="1:26" ht="15.75" customHeight="1">
      <c r="A488" s="230"/>
      <c r="B488" s="230"/>
      <c r="C488" s="230"/>
      <c r="D488" s="230"/>
      <c r="E488" s="230"/>
      <c r="F488" s="230"/>
      <c r="G488" s="230"/>
      <c r="H488" s="230"/>
      <c r="I488" s="230"/>
      <c r="J488" s="230"/>
      <c r="K488" s="230"/>
      <c r="L488" s="230"/>
      <c r="M488" s="230"/>
      <c r="N488" s="230"/>
      <c r="O488" s="230"/>
      <c r="P488" s="230"/>
      <c r="Q488" s="230"/>
      <c r="R488" s="230"/>
      <c r="S488" s="230"/>
      <c r="T488" s="230"/>
      <c r="U488" s="230"/>
      <c r="V488" s="230"/>
      <c r="W488" s="230"/>
      <c r="X488" s="230"/>
      <c r="Y488" s="230"/>
      <c r="Z488" s="230"/>
    </row>
    <row r="489" spans="1:26" ht="15.75" customHeight="1">
      <c r="A489" s="230"/>
      <c r="B489" s="230"/>
      <c r="C489" s="230"/>
      <c r="D489" s="230"/>
      <c r="E489" s="230"/>
      <c r="F489" s="230"/>
      <c r="G489" s="230"/>
      <c r="H489" s="230"/>
      <c r="I489" s="230"/>
      <c r="J489" s="230"/>
      <c r="K489" s="230"/>
      <c r="L489" s="230"/>
      <c r="M489" s="230"/>
      <c r="N489" s="230"/>
      <c r="O489" s="230"/>
      <c r="P489" s="230"/>
      <c r="Q489" s="230"/>
      <c r="R489" s="230"/>
      <c r="S489" s="230"/>
      <c r="T489" s="230"/>
      <c r="U489" s="230"/>
      <c r="V489" s="230"/>
      <c r="W489" s="230"/>
      <c r="X489" s="230"/>
      <c r="Y489" s="230"/>
      <c r="Z489" s="230"/>
    </row>
    <row r="490" spans="1:26" ht="15.75" customHeight="1">
      <c r="A490" s="230"/>
      <c r="B490" s="230"/>
      <c r="C490" s="230"/>
      <c r="D490" s="230"/>
      <c r="E490" s="230"/>
      <c r="F490" s="230"/>
      <c r="G490" s="230"/>
      <c r="H490" s="230"/>
      <c r="I490" s="230"/>
      <c r="J490" s="230"/>
      <c r="K490" s="230"/>
      <c r="L490" s="230"/>
      <c r="M490" s="230"/>
      <c r="N490" s="230"/>
      <c r="O490" s="230"/>
      <c r="P490" s="230"/>
      <c r="Q490" s="230"/>
      <c r="R490" s="230"/>
      <c r="S490" s="230"/>
      <c r="T490" s="230"/>
      <c r="U490" s="230"/>
      <c r="V490" s="230"/>
      <c r="W490" s="230"/>
      <c r="X490" s="230"/>
      <c r="Y490" s="230"/>
      <c r="Z490" s="230"/>
    </row>
    <row r="491" spans="1:26" ht="15.75" customHeight="1">
      <c r="A491" s="230"/>
      <c r="B491" s="230"/>
      <c r="C491" s="230"/>
      <c r="D491" s="230"/>
      <c r="E491" s="230"/>
      <c r="F491" s="230"/>
      <c r="G491" s="230"/>
      <c r="H491" s="230"/>
      <c r="I491" s="230"/>
      <c r="J491" s="230"/>
      <c r="K491" s="230"/>
      <c r="L491" s="230"/>
      <c r="M491" s="230"/>
      <c r="N491" s="230"/>
      <c r="O491" s="230"/>
      <c r="P491" s="230"/>
      <c r="Q491" s="230"/>
      <c r="R491" s="230"/>
      <c r="S491" s="230"/>
      <c r="T491" s="230"/>
      <c r="U491" s="230"/>
      <c r="V491" s="230"/>
      <c r="W491" s="230"/>
      <c r="X491" s="230"/>
      <c r="Y491" s="230"/>
      <c r="Z491" s="230"/>
    </row>
    <row r="492" spans="1:26" ht="15.75" customHeight="1">
      <c r="A492" s="230"/>
      <c r="B492" s="230"/>
      <c r="C492" s="230"/>
      <c r="D492" s="230"/>
      <c r="E492" s="230"/>
      <c r="F492" s="230"/>
      <c r="G492" s="230"/>
      <c r="H492" s="230"/>
      <c r="I492" s="230"/>
      <c r="J492" s="230"/>
      <c r="K492" s="230"/>
      <c r="L492" s="230"/>
      <c r="M492" s="230"/>
      <c r="N492" s="230"/>
      <c r="O492" s="230"/>
      <c r="P492" s="230"/>
      <c r="Q492" s="230"/>
      <c r="R492" s="230"/>
      <c r="S492" s="230"/>
      <c r="T492" s="230"/>
      <c r="U492" s="230"/>
      <c r="V492" s="230"/>
      <c r="W492" s="230"/>
      <c r="X492" s="230"/>
      <c r="Y492" s="230"/>
      <c r="Z492" s="230"/>
    </row>
    <row r="493" spans="1:26" ht="15.75" customHeight="1">
      <c r="A493" s="230"/>
      <c r="B493" s="230"/>
      <c r="C493" s="230"/>
      <c r="D493" s="230"/>
      <c r="E493" s="230"/>
      <c r="F493" s="230"/>
      <c r="G493" s="230"/>
      <c r="H493" s="230"/>
      <c r="I493" s="230"/>
      <c r="J493" s="230"/>
      <c r="K493" s="230"/>
      <c r="L493" s="230"/>
      <c r="M493" s="230"/>
      <c r="N493" s="230"/>
      <c r="O493" s="230"/>
      <c r="P493" s="230"/>
      <c r="Q493" s="230"/>
      <c r="R493" s="230"/>
      <c r="S493" s="230"/>
      <c r="T493" s="230"/>
      <c r="U493" s="230"/>
      <c r="V493" s="230"/>
      <c r="W493" s="230"/>
      <c r="X493" s="230"/>
      <c r="Y493" s="230"/>
      <c r="Z493" s="230"/>
    </row>
    <row r="494" spans="1:26" ht="15.75" customHeight="1">
      <c r="A494" s="230"/>
      <c r="B494" s="230"/>
      <c r="C494" s="230"/>
      <c r="D494" s="230"/>
      <c r="E494" s="230"/>
      <c r="F494" s="230"/>
      <c r="G494" s="230"/>
      <c r="H494" s="230"/>
      <c r="I494" s="230"/>
      <c r="J494" s="230"/>
      <c r="K494" s="230"/>
      <c r="L494" s="230"/>
      <c r="M494" s="230"/>
      <c r="N494" s="230"/>
      <c r="O494" s="230"/>
      <c r="P494" s="230"/>
      <c r="Q494" s="230"/>
      <c r="R494" s="230"/>
      <c r="S494" s="230"/>
      <c r="T494" s="230"/>
      <c r="U494" s="230"/>
      <c r="V494" s="230"/>
      <c r="W494" s="230"/>
      <c r="X494" s="230"/>
      <c r="Y494" s="230"/>
      <c r="Z494" s="230"/>
    </row>
    <row r="495" spans="1:26" ht="15.75" customHeight="1">
      <c r="A495" s="230"/>
      <c r="B495" s="230"/>
      <c r="C495" s="230"/>
      <c r="D495" s="230"/>
      <c r="E495" s="230"/>
      <c r="F495" s="230"/>
      <c r="G495" s="230"/>
      <c r="H495" s="230"/>
      <c r="I495" s="230"/>
      <c r="J495" s="230"/>
      <c r="K495" s="230"/>
      <c r="L495" s="230"/>
      <c r="M495" s="230"/>
      <c r="N495" s="230"/>
      <c r="O495" s="230"/>
      <c r="P495" s="230"/>
      <c r="Q495" s="230"/>
      <c r="R495" s="230"/>
      <c r="S495" s="230"/>
      <c r="T495" s="230"/>
      <c r="U495" s="230"/>
      <c r="V495" s="230"/>
      <c r="W495" s="230"/>
      <c r="X495" s="230"/>
      <c r="Y495" s="230"/>
      <c r="Z495" s="230"/>
    </row>
    <row r="496" spans="1:26" ht="15.75" customHeight="1">
      <c r="A496" s="230"/>
      <c r="B496" s="230"/>
      <c r="C496" s="230"/>
      <c r="D496" s="230"/>
      <c r="E496" s="230"/>
      <c r="F496" s="230"/>
      <c r="G496" s="230"/>
      <c r="H496" s="230"/>
      <c r="I496" s="230"/>
      <c r="J496" s="230"/>
      <c r="K496" s="230"/>
      <c r="L496" s="230"/>
      <c r="M496" s="230"/>
      <c r="N496" s="230"/>
      <c r="O496" s="230"/>
      <c r="P496" s="230"/>
      <c r="Q496" s="230"/>
      <c r="R496" s="230"/>
      <c r="S496" s="230"/>
      <c r="T496" s="230"/>
      <c r="U496" s="230"/>
      <c r="V496" s="230"/>
      <c r="W496" s="230"/>
      <c r="X496" s="230"/>
      <c r="Y496" s="230"/>
      <c r="Z496" s="230"/>
    </row>
    <row r="497" spans="1:26" ht="15.75" customHeight="1">
      <c r="A497" s="230"/>
      <c r="B497" s="230"/>
      <c r="C497" s="230"/>
      <c r="D497" s="230"/>
      <c r="E497" s="230"/>
      <c r="F497" s="230"/>
      <c r="G497" s="230"/>
      <c r="H497" s="230"/>
      <c r="I497" s="230"/>
      <c r="J497" s="230"/>
      <c r="K497" s="230"/>
      <c r="L497" s="230"/>
      <c r="M497" s="230"/>
      <c r="N497" s="230"/>
      <c r="O497" s="230"/>
      <c r="P497" s="230"/>
      <c r="Q497" s="230"/>
      <c r="R497" s="230"/>
      <c r="S497" s="230"/>
      <c r="T497" s="230"/>
      <c r="U497" s="230"/>
      <c r="V497" s="230"/>
      <c r="W497" s="230"/>
      <c r="X497" s="230"/>
      <c r="Y497" s="230"/>
      <c r="Z497" s="230"/>
    </row>
    <row r="498" spans="1:26" ht="15.75" customHeight="1">
      <c r="A498" s="230"/>
      <c r="B498" s="230"/>
      <c r="C498" s="230"/>
      <c r="D498" s="230"/>
      <c r="E498" s="230"/>
      <c r="F498" s="230"/>
      <c r="G498" s="230"/>
      <c r="H498" s="230"/>
      <c r="I498" s="230"/>
      <c r="J498" s="230"/>
      <c r="K498" s="230"/>
      <c r="L498" s="230"/>
      <c r="M498" s="230"/>
      <c r="N498" s="230"/>
      <c r="O498" s="230"/>
      <c r="P498" s="230"/>
      <c r="Q498" s="230"/>
      <c r="R498" s="230"/>
      <c r="S498" s="230"/>
      <c r="T498" s="230"/>
      <c r="U498" s="230"/>
      <c r="V498" s="230"/>
      <c r="W498" s="230"/>
      <c r="X498" s="230"/>
      <c r="Y498" s="230"/>
      <c r="Z498" s="230"/>
    </row>
    <row r="499" spans="1:26" ht="15.75" customHeight="1">
      <c r="A499" s="230"/>
      <c r="B499" s="230"/>
      <c r="C499" s="230"/>
      <c r="D499" s="230"/>
      <c r="E499" s="230"/>
      <c r="F499" s="230"/>
      <c r="G499" s="230"/>
      <c r="H499" s="230"/>
      <c r="I499" s="230"/>
      <c r="J499" s="230"/>
      <c r="K499" s="230"/>
      <c r="L499" s="230"/>
      <c r="M499" s="230"/>
      <c r="N499" s="230"/>
      <c r="O499" s="230"/>
      <c r="P499" s="230"/>
      <c r="Q499" s="230"/>
      <c r="R499" s="230"/>
      <c r="S499" s="230"/>
      <c r="T499" s="230"/>
      <c r="U499" s="230"/>
      <c r="V499" s="230"/>
      <c r="W499" s="230"/>
      <c r="X499" s="230"/>
      <c r="Y499" s="230"/>
      <c r="Z499" s="230"/>
    </row>
    <row r="500" spans="1:26" ht="15.75" customHeight="1">
      <c r="A500" s="230"/>
      <c r="B500" s="230"/>
      <c r="C500" s="230"/>
      <c r="D500" s="230"/>
      <c r="E500" s="230"/>
      <c r="F500" s="230"/>
      <c r="G500" s="230"/>
      <c r="H500" s="230"/>
      <c r="I500" s="230"/>
      <c r="J500" s="230"/>
      <c r="K500" s="230"/>
      <c r="L500" s="230"/>
      <c r="M500" s="230"/>
      <c r="N500" s="230"/>
      <c r="O500" s="230"/>
      <c r="P500" s="230"/>
      <c r="Q500" s="230"/>
      <c r="R500" s="230"/>
      <c r="S500" s="230"/>
      <c r="T500" s="230"/>
      <c r="U500" s="230"/>
      <c r="V500" s="230"/>
      <c r="W500" s="230"/>
      <c r="X500" s="230"/>
      <c r="Y500" s="230"/>
      <c r="Z500" s="230"/>
    </row>
    <row r="501" spans="1:26" ht="15.75" customHeight="1">
      <c r="A501" s="230"/>
      <c r="B501" s="230"/>
      <c r="C501" s="230"/>
      <c r="D501" s="230"/>
      <c r="E501" s="230"/>
      <c r="F501" s="230"/>
      <c r="G501" s="230"/>
      <c r="H501" s="230"/>
      <c r="I501" s="230"/>
      <c r="J501" s="230"/>
      <c r="K501" s="230"/>
      <c r="L501" s="230"/>
      <c r="M501" s="230"/>
      <c r="N501" s="230"/>
      <c r="O501" s="230"/>
      <c r="P501" s="230"/>
      <c r="Q501" s="230"/>
      <c r="R501" s="230"/>
      <c r="S501" s="230"/>
      <c r="T501" s="230"/>
      <c r="U501" s="230"/>
      <c r="V501" s="230"/>
      <c r="W501" s="230"/>
      <c r="X501" s="230"/>
      <c r="Y501" s="230"/>
      <c r="Z501" s="230"/>
    </row>
    <row r="502" spans="1:26" ht="15.75" customHeight="1">
      <c r="A502" s="230"/>
      <c r="B502" s="230"/>
      <c r="C502" s="230"/>
      <c r="D502" s="230"/>
      <c r="E502" s="230"/>
      <c r="F502" s="230"/>
      <c r="G502" s="230"/>
      <c r="H502" s="230"/>
      <c r="I502" s="230"/>
      <c r="J502" s="230"/>
      <c r="K502" s="230"/>
      <c r="L502" s="230"/>
      <c r="M502" s="230"/>
      <c r="N502" s="230"/>
      <c r="O502" s="230"/>
      <c r="P502" s="230"/>
      <c r="Q502" s="230"/>
      <c r="R502" s="230"/>
      <c r="S502" s="230"/>
      <c r="T502" s="230"/>
      <c r="U502" s="230"/>
      <c r="V502" s="230"/>
      <c r="W502" s="230"/>
      <c r="X502" s="230"/>
      <c r="Y502" s="230"/>
      <c r="Z502" s="230"/>
    </row>
    <row r="503" spans="1:26" ht="15.75" customHeight="1">
      <c r="A503" s="230"/>
      <c r="B503" s="230"/>
      <c r="C503" s="230"/>
      <c r="D503" s="230"/>
      <c r="E503" s="230"/>
      <c r="F503" s="230"/>
      <c r="G503" s="230"/>
      <c r="H503" s="230"/>
      <c r="I503" s="230"/>
      <c r="J503" s="230"/>
      <c r="K503" s="230"/>
      <c r="L503" s="230"/>
      <c r="M503" s="230"/>
      <c r="N503" s="230"/>
      <c r="O503" s="230"/>
      <c r="P503" s="230"/>
      <c r="Q503" s="230"/>
      <c r="R503" s="230"/>
      <c r="S503" s="230"/>
      <c r="T503" s="230"/>
      <c r="U503" s="230"/>
      <c r="V503" s="230"/>
      <c r="W503" s="230"/>
      <c r="X503" s="230"/>
      <c r="Y503" s="230"/>
      <c r="Z503" s="230"/>
    </row>
    <row r="504" spans="1:26" ht="15.75" customHeight="1">
      <c r="A504" s="230"/>
      <c r="B504" s="230"/>
      <c r="C504" s="230"/>
      <c r="D504" s="230"/>
      <c r="E504" s="230"/>
      <c r="F504" s="230"/>
      <c r="G504" s="230"/>
      <c r="H504" s="230"/>
      <c r="I504" s="230"/>
      <c r="J504" s="230"/>
      <c r="K504" s="230"/>
      <c r="L504" s="230"/>
      <c r="M504" s="230"/>
      <c r="N504" s="230"/>
      <c r="O504" s="230"/>
      <c r="P504" s="230"/>
      <c r="Q504" s="230"/>
      <c r="R504" s="230"/>
      <c r="S504" s="230"/>
      <c r="T504" s="230"/>
      <c r="U504" s="230"/>
      <c r="V504" s="230"/>
      <c r="W504" s="230"/>
      <c r="X504" s="230"/>
      <c r="Y504" s="230"/>
      <c r="Z504" s="230"/>
    </row>
    <row r="505" spans="1:26" ht="15.75" customHeight="1">
      <c r="A505" s="230"/>
      <c r="B505" s="230"/>
      <c r="C505" s="230"/>
      <c r="D505" s="230"/>
      <c r="E505" s="230"/>
      <c r="F505" s="230"/>
      <c r="G505" s="230"/>
      <c r="H505" s="230"/>
      <c r="I505" s="230"/>
      <c r="J505" s="230"/>
      <c r="K505" s="230"/>
      <c r="L505" s="230"/>
      <c r="M505" s="230"/>
      <c r="N505" s="230"/>
      <c r="O505" s="230"/>
      <c r="P505" s="230"/>
      <c r="Q505" s="230"/>
      <c r="R505" s="230"/>
      <c r="S505" s="230"/>
      <c r="T505" s="230"/>
      <c r="U505" s="230"/>
      <c r="V505" s="230"/>
      <c r="W505" s="230"/>
      <c r="X505" s="230"/>
      <c r="Y505" s="230"/>
      <c r="Z505" s="230"/>
    </row>
    <row r="506" spans="1:26" ht="15.75" customHeight="1">
      <c r="A506" s="230"/>
      <c r="B506" s="230"/>
      <c r="C506" s="230"/>
      <c r="D506" s="230"/>
      <c r="E506" s="230"/>
      <c r="F506" s="230"/>
      <c r="G506" s="230"/>
      <c r="H506" s="230"/>
      <c r="I506" s="230"/>
      <c r="J506" s="230"/>
      <c r="K506" s="230"/>
      <c r="L506" s="230"/>
      <c r="M506" s="230"/>
      <c r="N506" s="230"/>
      <c r="O506" s="230"/>
      <c r="P506" s="230"/>
      <c r="Q506" s="230"/>
      <c r="R506" s="230"/>
      <c r="S506" s="230"/>
      <c r="T506" s="230"/>
      <c r="U506" s="230"/>
      <c r="V506" s="230"/>
      <c r="W506" s="230"/>
      <c r="X506" s="230"/>
      <c r="Y506" s="230"/>
      <c r="Z506" s="230"/>
    </row>
    <row r="507" spans="1:26" ht="15.75" customHeight="1">
      <c r="A507" s="230"/>
      <c r="B507" s="230"/>
      <c r="C507" s="230"/>
      <c r="D507" s="230"/>
      <c r="E507" s="230"/>
      <c r="F507" s="230"/>
      <c r="G507" s="230"/>
      <c r="H507" s="230"/>
      <c r="I507" s="230"/>
      <c r="J507" s="230"/>
      <c r="K507" s="230"/>
      <c r="L507" s="230"/>
      <c r="M507" s="230"/>
      <c r="N507" s="230"/>
      <c r="O507" s="230"/>
      <c r="P507" s="230"/>
      <c r="Q507" s="230"/>
      <c r="R507" s="230"/>
      <c r="S507" s="230"/>
      <c r="T507" s="230"/>
      <c r="U507" s="230"/>
      <c r="V507" s="230"/>
      <c r="W507" s="230"/>
      <c r="X507" s="230"/>
      <c r="Y507" s="230"/>
      <c r="Z507" s="230"/>
    </row>
    <row r="508" spans="1:26" ht="15.75" customHeight="1">
      <c r="A508" s="230"/>
      <c r="B508" s="230"/>
      <c r="C508" s="230"/>
      <c r="D508" s="230"/>
      <c r="E508" s="230"/>
      <c r="F508" s="230"/>
      <c r="G508" s="230"/>
      <c r="H508" s="230"/>
      <c r="I508" s="230"/>
      <c r="J508" s="230"/>
      <c r="K508" s="230"/>
      <c r="L508" s="230"/>
      <c r="M508" s="230"/>
      <c r="N508" s="230"/>
      <c r="O508" s="230"/>
      <c r="P508" s="230"/>
      <c r="Q508" s="230"/>
      <c r="R508" s="230"/>
      <c r="S508" s="230"/>
      <c r="T508" s="230"/>
      <c r="U508" s="230"/>
      <c r="V508" s="230"/>
      <c r="W508" s="230"/>
      <c r="X508" s="230"/>
      <c r="Y508" s="230"/>
      <c r="Z508" s="230"/>
    </row>
    <row r="509" spans="1:26" ht="15.75" customHeight="1">
      <c r="A509" s="230"/>
      <c r="B509" s="230"/>
      <c r="C509" s="230"/>
      <c r="D509" s="230"/>
      <c r="E509" s="230"/>
      <c r="F509" s="230"/>
      <c r="G509" s="230"/>
      <c r="H509" s="230"/>
      <c r="I509" s="230"/>
      <c r="J509" s="230"/>
      <c r="K509" s="230"/>
      <c r="L509" s="230"/>
      <c r="M509" s="230"/>
      <c r="N509" s="230"/>
      <c r="O509" s="230"/>
      <c r="P509" s="230"/>
      <c r="Q509" s="230"/>
      <c r="R509" s="230"/>
      <c r="S509" s="230"/>
      <c r="T509" s="230"/>
      <c r="U509" s="230"/>
      <c r="V509" s="230"/>
      <c r="W509" s="230"/>
      <c r="X509" s="230"/>
      <c r="Y509" s="230"/>
      <c r="Z509" s="230"/>
    </row>
    <row r="510" spans="1:26" ht="15.75" customHeight="1">
      <c r="A510" s="230"/>
      <c r="B510" s="230"/>
      <c r="C510" s="230"/>
      <c r="D510" s="230"/>
      <c r="E510" s="230"/>
      <c r="F510" s="230"/>
      <c r="G510" s="230"/>
      <c r="H510" s="230"/>
      <c r="I510" s="230"/>
      <c r="J510" s="230"/>
      <c r="K510" s="230"/>
      <c r="L510" s="230"/>
      <c r="M510" s="230"/>
      <c r="N510" s="230"/>
      <c r="O510" s="230"/>
      <c r="P510" s="230"/>
      <c r="Q510" s="230"/>
      <c r="R510" s="230"/>
      <c r="S510" s="230"/>
      <c r="T510" s="230"/>
      <c r="U510" s="230"/>
      <c r="V510" s="230"/>
      <c r="W510" s="230"/>
      <c r="X510" s="230"/>
      <c r="Y510" s="230"/>
      <c r="Z510" s="230"/>
    </row>
    <row r="511" spans="1:26" ht="15.75" customHeight="1">
      <c r="A511" s="230"/>
      <c r="B511" s="230"/>
      <c r="C511" s="230"/>
      <c r="D511" s="230"/>
      <c r="E511" s="230"/>
      <c r="F511" s="230"/>
      <c r="G511" s="230"/>
      <c r="H511" s="230"/>
      <c r="I511" s="230"/>
      <c r="J511" s="230"/>
      <c r="K511" s="230"/>
      <c r="L511" s="230"/>
      <c r="M511" s="230"/>
      <c r="N511" s="230"/>
      <c r="O511" s="230"/>
      <c r="P511" s="230"/>
      <c r="Q511" s="230"/>
      <c r="R511" s="230"/>
      <c r="S511" s="230"/>
      <c r="T511" s="230"/>
      <c r="U511" s="230"/>
      <c r="V511" s="230"/>
      <c r="W511" s="230"/>
      <c r="X511" s="230"/>
      <c r="Y511" s="230"/>
      <c r="Z511" s="230"/>
    </row>
    <row r="512" spans="1:26" ht="15.75" customHeight="1">
      <c r="A512" s="230"/>
      <c r="B512" s="230"/>
      <c r="C512" s="230"/>
      <c r="D512" s="230"/>
      <c r="E512" s="230"/>
      <c r="F512" s="230"/>
      <c r="G512" s="230"/>
      <c r="H512" s="230"/>
      <c r="I512" s="230"/>
      <c r="J512" s="230"/>
      <c r="K512" s="230"/>
      <c r="L512" s="230"/>
      <c r="M512" s="230"/>
      <c r="N512" s="230"/>
      <c r="O512" s="230"/>
      <c r="P512" s="230"/>
      <c r="Q512" s="230"/>
      <c r="R512" s="230"/>
      <c r="S512" s="230"/>
      <c r="T512" s="230"/>
      <c r="U512" s="230"/>
      <c r="V512" s="230"/>
      <c r="W512" s="230"/>
      <c r="X512" s="230"/>
      <c r="Y512" s="230"/>
      <c r="Z512" s="230"/>
    </row>
    <row r="513" spans="1:26" ht="15.75" customHeight="1">
      <c r="A513" s="230"/>
      <c r="B513" s="230"/>
      <c r="C513" s="230"/>
      <c r="D513" s="230"/>
      <c r="E513" s="230"/>
      <c r="F513" s="230"/>
      <c r="G513" s="230"/>
      <c r="H513" s="230"/>
      <c r="I513" s="230"/>
      <c r="J513" s="230"/>
      <c r="K513" s="230"/>
      <c r="L513" s="230"/>
      <c r="M513" s="230"/>
      <c r="N513" s="230"/>
      <c r="O513" s="230"/>
      <c r="P513" s="230"/>
      <c r="Q513" s="230"/>
      <c r="R513" s="230"/>
      <c r="S513" s="230"/>
      <c r="T513" s="230"/>
      <c r="U513" s="230"/>
      <c r="V513" s="230"/>
      <c r="W513" s="230"/>
      <c r="X513" s="230"/>
      <c r="Y513" s="230"/>
      <c r="Z513" s="230"/>
    </row>
    <row r="514" spans="1:26" ht="15.75" customHeight="1">
      <c r="A514" s="230"/>
      <c r="B514" s="230"/>
      <c r="C514" s="230"/>
      <c r="D514" s="230"/>
      <c r="E514" s="230"/>
      <c r="F514" s="230"/>
      <c r="G514" s="230"/>
      <c r="H514" s="230"/>
      <c r="I514" s="230"/>
      <c r="J514" s="230"/>
      <c r="K514" s="230"/>
      <c r="L514" s="230"/>
      <c r="M514" s="230"/>
      <c r="N514" s="230"/>
      <c r="O514" s="230"/>
      <c r="P514" s="230"/>
      <c r="Q514" s="230"/>
      <c r="R514" s="230"/>
      <c r="S514" s="230"/>
      <c r="T514" s="230"/>
      <c r="U514" s="230"/>
      <c r="V514" s="230"/>
      <c r="W514" s="230"/>
      <c r="X514" s="230"/>
      <c r="Y514" s="230"/>
      <c r="Z514" s="230"/>
    </row>
    <row r="515" spans="1:26" ht="15.75" customHeight="1">
      <c r="A515" s="230"/>
      <c r="B515" s="230"/>
      <c r="C515" s="230"/>
      <c r="D515" s="230"/>
      <c r="E515" s="230"/>
      <c r="F515" s="230"/>
      <c r="G515" s="230"/>
      <c r="H515" s="230"/>
      <c r="I515" s="230"/>
      <c r="J515" s="230"/>
      <c r="K515" s="230"/>
      <c r="L515" s="230"/>
      <c r="M515" s="230"/>
      <c r="N515" s="230"/>
      <c r="O515" s="230"/>
      <c r="P515" s="230"/>
      <c r="Q515" s="230"/>
      <c r="R515" s="230"/>
      <c r="S515" s="230"/>
      <c r="T515" s="230"/>
      <c r="U515" s="230"/>
      <c r="V515" s="230"/>
      <c r="W515" s="230"/>
      <c r="X515" s="230"/>
      <c r="Y515" s="230"/>
      <c r="Z515" s="230"/>
    </row>
    <row r="516" spans="1:26" ht="15.75" customHeight="1">
      <c r="A516" s="230"/>
      <c r="B516" s="230"/>
      <c r="C516" s="230"/>
      <c r="D516" s="230"/>
      <c r="E516" s="230"/>
      <c r="F516" s="230"/>
      <c r="G516" s="230"/>
      <c r="H516" s="230"/>
      <c r="I516" s="230"/>
      <c r="J516" s="230"/>
      <c r="K516" s="230"/>
      <c r="L516" s="230"/>
      <c r="M516" s="230"/>
      <c r="N516" s="230"/>
      <c r="O516" s="230"/>
      <c r="P516" s="230"/>
      <c r="Q516" s="230"/>
      <c r="R516" s="230"/>
      <c r="S516" s="230"/>
      <c r="T516" s="230"/>
      <c r="U516" s="230"/>
      <c r="V516" s="230"/>
      <c r="W516" s="230"/>
      <c r="X516" s="230"/>
      <c r="Y516" s="230"/>
      <c r="Z516" s="230"/>
    </row>
    <row r="517" spans="1:26" ht="15.75" customHeight="1">
      <c r="A517" s="230"/>
      <c r="B517" s="230"/>
      <c r="C517" s="230"/>
      <c r="D517" s="230"/>
      <c r="E517" s="230"/>
      <c r="F517" s="230"/>
      <c r="G517" s="230"/>
      <c r="H517" s="230"/>
      <c r="I517" s="230"/>
      <c r="J517" s="230"/>
      <c r="K517" s="230"/>
      <c r="L517" s="230"/>
      <c r="M517" s="230"/>
      <c r="N517" s="230"/>
      <c r="O517" s="230"/>
      <c r="P517" s="230"/>
      <c r="Q517" s="230"/>
      <c r="R517" s="230"/>
      <c r="S517" s="230"/>
      <c r="T517" s="230"/>
      <c r="U517" s="230"/>
      <c r="V517" s="230"/>
      <c r="W517" s="230"/>
      <c r="X517" s="230"/>
      <c r="Y517" s="230"/>
      <c r="Z517" s="230"/>
    </row>
    <row r="518" spans="1:26" ht="15.75" customHeight="1">
      <c r="A518" s="230"/>
      <c r="B518" s="230"/>
      <c r="C518" s="230"/>
      <c r="D518" s="230"/>
      <c r="E518" s="230"/>
      <c r="F518" s="230"/>
      <c r="G518" s="230"/>
      <c r="H518" s="230"/>
      <c r="I518" s="230"/>
      <c r="J518" s="230"/>
      <c r="K518" s="230"/>
      <c r="L518" s="230"/>
      <c r="M518" s="230"/>
      <c r="N518" s="230"/>
      <c r="O518" s="230"/>
      <c r="P518" s="230"/>
      <c r="Q518" s="230"/>
      <c r="R518" s="230"/>
      <c r="S518" s="230"/>
      <c r="T518" s="230"/>
      <c r="U518" s="230"/>
      <c r="V518" s="230"/>
      <c r="W518" s="230"/>
      <c r="X518" s="230"/>
      <c r="Y518" s="230"/>
      <c r="Z518" s="230"/>
    </row>
    <row r="519" spans="1:26" ht="15.75" customHeight="1">
      <c r="A519" s="230"/>
      <c r="B519" s="230"/>
      <c r="C519" s="230"/>
      <c r="D519" s="230"/>
      <c r="E519" s="230"/>
      <c r="F519" s="230"/>
      <c r="G519" s="230"/>
      <c r="H519" s="230"/>
      <c r="I519" s="230"/>
      <c r="J519" s="230"/>
      <c r="K519" s="230"/>
      <c r="L519" s="230"/>
      <c r="M519" s="230"/>
      <c r="N519" s="230"/>
      <c r="O519" s="230"/>
      <c r="P519" s="230"/>
      <c r="Q519" s="230"/>
      <c r="R519" s="230"/>
      <c r="S519" s="230"/>
      <c r="T519" s="230"/>
      <c r="U519" s="230"/>
      <c r="V519" s="230"/>
      <c r="W519" s="230"/>
      <c r="X519" s="230"/>
      <c r="Y519" s="230"/>
      <c r="Z519" s="230"/>
    </row>
    <row r="520" spans="1:26" ht="15.75" customHeight="1">
      <c r="A520" s="230"/>
      <c r="B520" s="230"/>
      <c r="C520" s="230"/>
      <c r="D520" s="230"/>
      <c r="E520" s="230"/>
      <c r="F520" s="230"/>
      <c r="G520" s="230"/>
      <c r="H520" s="230"/>
      <c r="I520" s="230"/>
      <c r="J520" s="230"/>
      <c r="K520" s="230"/>
      <c r="L520" s="230"/>
      <c r="M520" s="230"/>
      <c r="N520" s="230"/>
      <c r="O520" s="230"/>
      <c r="P520" s="230"/>
      <c r="Q520" s="230"/>
      <c r="R520" s="230"/>
      <c r="S520" s="230"/>
      <c r="T520" s="230"/>
      <c r="U520" s="230"/>
      <c r="V520" s="230"/>
      <c r="W520" s="230"/>
      <c r="X520" s="230"/>
      <c r="Y520" s="230"/>
      <c r="Z520" s="230"/>
    </row>
    <row r="521" spans="1:26" ht="15.75" customHeight="1">
      <c r="A521" s="230"/>
      <c r="B521" s="230"/>
      <c r="C521" s="230"/>
      <c r="D521" s="230"/>
      <c r="E521" s="230"/>
      <c r="F521" s="230"/>
      <c r="G521" s="230"/>
      <c r="H521" s="230"/>
      <c r="I521" s="230"/>
      <c r="J521" s="230"/>
      <c r="K521" s="230"/>
      <c r="L521" s="230"/>
      <c r="M521" s="230"/>
      <c r="N521" s="230"/>
      <c r="O521" s="230"/>
      <c r="P521" s="230"/>
      <c r="Q521" s="230"/>
      <c r="R521" s="230"/>
      <c r="S521" s="230"/>
      <c r="T521" s="230"/>
      <c r="U521" s="230"/>
      <c r="V521" s="230"/>
      <c r="W521" s="230"/>
      <c r="X521" s="230"/>
      <c r="Y521" s="230"/>
      <c r="Z521" s="230"/>
    </row>
    <row r="522" spans="1:26" ht="15.75" customHeight="1">
      <c r="A522" s="230"/>
      <c r="B522" s="230"/>
      <c r="C522" s="230"/>
      <c r="D522" s="230"/>
      <c r="E522" s="230"/>
      <c r="F522" s="230"/>
      <c r="G522" s="230"/>
      <c r="H522" s="230"/>
      <c r="I522" s="230"/>
      <c r="J522" s="230"/>
      <c r="K522" s="230"/>
      <c r="L522" s="230"/>
      <c r="M522" s="230"/>
      <c r="N522" s="230"/>
      <c r="O522" s="230"/>
      <c r="P522" s="230"/>
      <c r="Q522" s="230"/>
      <c r="R522" s="230"/>
      <c r="S522" s="230"/>
      <c r="T522" s="230"/>
      <c r="U522" s="230"/>
      <c r="V522" s="230"/>
      <c r="W522" s="230"/>
      <c r="X522" s="230"/>
      <c r="Y522" s="230"/>
      <c r="Z522" s="230"/>
    </row>
    <row r="523" spans="1:26" ht="15.75" customHeight="1">
      <c r="A523" s="230"/>
      <c r="B523" s="230"/>
      <c r="C523" s="230"/>
      <c r="D523" s="230"/>
      <c r="E523" s="230"/>
      <c r="F523" s="230"/>
      <c r="G523" s="230"/>
      <c r="H523" s="230"/>
      <c r="I523" s="230"/>
      <c r="J523" s="230"/>
      <c r="K523" s="230"/>
      <c r="L523" s="230"/>
      <c r="M523" s="230"/>
      <c r="N523" s="230"/>
      <c r="O523" s="230"/>
      <c r="P523" s="230"/>
      <c r="Q523" s="230"/>
      <c r="R523" s="230"/>
      <c r="S523" s="230"/>
      <c r="T523" s="230"/>
      <c r="U523" s="230"/>
      <c r="V523" s="230"/>
      <c r="W523" s="230"/>
      <c r="X523" s="230"/>
      <c r="Y523" s="230"/>
      <c r="Z523" s="230"/>
    </row>
    <row r="524" spans="1:26" ht="15.75" customHeight="1">
      <c r="A524" s="230"/>
      <c r="B524" s="230"/>
      <c r="C524" s="230"/>
      <c r="D524" s="230"/>
      <c r="E524" s="230"/>
      <c r="F524" s="230"/>
      <c r="G524" s="230"/>
      <c r="H524" s="230"/>
      <c r="I524" s="230"/>
      <c r="J524" s="230"/>
      <c r="K524" s="230"/>
      <c r="L524" s="230"/>
      <c r="M524" s="230"/>
      <c r="N524" s="230"/>
      <c r="O524" s="230"/>
      <c r="P524" s="230"/>
      <c r="Q524" s="230"/>
      <c r="R524" s="230"/>
      <c r="S524" s="230"/>
      <c r="T524" s="230"/>
      <c r="U524" s="230"/>
      <c r="V524" s="230"/>
      <c r="W524" s="230"/>
      <c r="X524" s="230"/>
      <c r="Y524" s="230"/>
      <c r="Z524" s="230"/>
    </row>
    <row r="525" spans="1:26" ht="15.75" customHeight="1">
      <c r="A525" s="230"/>
      <c r="B525" s="230"/>
      <c r="C525" s="230"/>
      <c r="D525" s="230"/>
      <c r="E525" s="230"/>
      <c r="F525" s="230"/>
      <c r="G525" s="230"/>
      <c r="H525" s="230"/>
      <c r="I525" s="230"/>
      <c r="J525" s="230"/>
      <c r="K525" s="230"/>
      <c r="L525" s="230"/>
      <c r="M525" s="230"/>
      <c r="N525" s="230"/>
      <c r="O525" s="230"/>
      <c r="P525" s="230"/>
      <c r="Q525" s="230"/>
      <c r="R525" s="230"/>
      <c r="S525" s="230"/>
      <c r="T525" s="230"/>
      <c r="U525" s="230"/>
      <c r="V525" s="230"/>
      <c r="W525" s="230"/>
      <c r="X525" s="230"/>
      <c r="Y525" s="230"/>
      <c r="Z525" s="230"/>
    </row>
    <row r="526" spans="1:26" ht="15.75" customHeight="1">
      <c r="A526" s="230"/>
      <c r="B526" s="230"/>
      <c r="C526" s="230"/>
      <c r="D526" s="230"/>
      <c r="E526" s="230"/>
      <c r="F526" s="230"/>
      <c r="G526" s="230"/>
      <c r="H526" s="230"/>
      <c r="I526" s="230"/>
      <c r="J526" s="230"/>
      <c r="K526" s="230"/>
      <c r="L526" s="230"/>
      <c r="M526" s="230"/>
      <c r="N526" s="230"/>
      <c r="O526" s="230"/>
      <c r="P526" s="230"/>
      <c r="Q526" s="230"/>
      <c r="R526" s="230"/>
      <c r="S526" s="230"/>
      <c r="T526" s="230"/>
      <c r="U526" s="230"/>
      <c r="V526" s="230"/>
      <c r="W526" s="230"/>
      <c r="X526" s="230"/>
      <c r="Y526" s="230"/>
      <c r="Z526" s="230"/>
    </row>
    <row r="527" spans="1:26" ht="15.75" customHeight="1">
      <c r="A527" s="230"/>
      <c r="B527" s="230"/>
      <c r="C527" s="230"/>
      <c r="D527" s="230"/>
      <c r="E527" s="230"/>
      <c r="F527" s="230"/>
      <c r="G527" s="230"/>
      <c r="H527" s="230"/>
      <c r="I527" s="230"/>
      <c r="J527" s="230"/>
      <c r="K527" s="230"/>
      <c r="L527" s="230"/>
      <c r="M527" s="230"/>
      <c r="N527" s="230"/>
      <c r="O527" s="230"/>
      <c r="P527" s="230"/>
      <c r="Q527" s="230"/>
      <c r="R527" s="230"/>
      <c r="S527" s="230"/>
      <c r="T527" s="230"/>
      <c r="U527" s="230"/>
      <c r="V527" s="230"/>
      <c r="W527" s="230"/>
      <c r="X527" s="230"/>
      <c r="Y527" s="230"/>
      <c r="Z527" s="230"/>
    </row>
    <row r="528" spans="1:26" ht="15.75" customHeight="1">
      <c r="A528" s="230"/>
      <c r="B528" s="230"/>
      <c r="C528" s="230"/>
      <c r="D528" s="230"/>
      <c r="E528" s="230"/>
      <c r="F528" s="230"/>
      <c r="G528" s="230"/>
      <c r="H528" s="230"/>
      <c r="I528" s="230"/>
      <c r="J528" s="230"/>
      <c r="K528" s="230"/>
      <c r="L528" s="230"/>
      <c r="M528" s="230"/>
      <c r="N528" s="230"/>
      <c r="O528" s="230"/>
      <c r="P528" s="230"/>
      <c r="Q528" s="230"/>
      <c r="R528" s="230"/>
      <c r="S528" s="230"/>
      <c r="T528" s="230"/>
      <c r="U528" s="230"/>
      <c r="V528" s="230"/>
      <c r="W528" s="230"/>
      <c r="X528" s="230"/>
      <c r="Y528" s="230"/>
      <c r="Z528" s="230"/>
    </row>
    <row r="529" spans="1:26" ht="15.75" customHeight="1">
      <c r="A529" s="230"/>
      <c r="B529" s="230"/>
      <c r="C529" s="230"/>
      <c r="D529" s="230"/>
      <c r="E529" s="230"/>
      <c r="F529" s="230"/>
      <c r="G529" s="230"/>
      <c r="H529" s="230"/>
      <c r="I529" s="230"/>
      <c r="J529" s="230"/>
      <c r="K529" s="230"/>
      <c r="L529" s="230"/>
      <c r="M529" s="230"/>
      <c r="N529" s="230"/>
      <c r="O529" s="230"/>
      <c r="P529" s="230"/>
      <c r="Q529" s="230"/>
      <c r="R529" s="230"/>
      <c r="S529" s="230"/>
      <c r="T529" s="230"/>
      <c r="U529" s="230"/>
      <c r="V529" s="230"/>
      <c r="W529" s="230"/>
      <c r="X529" s="230"/>
      <c r="Y529" s="230"/>
      <c r="Z529" s="230"/>
    </row>
    <row r="530" spans="1:26" ht="15.75" customHeight="1">
      <c r="A530" s="230"/>
      <c r="B530" s="230"/>
      <c r="C530" s="230"/>
      <c r="D530" s="230"/>
      <c r="E530" s="230"/>
      <c r="F530" s="230"/>
      <c r="G530" s="230"/>
      <c r="H530" s="230"/>
      <c r="I530" s="230"/>
      <c r="J530" s="230"/>
      <c r="K530" s="230"/>
      <c r="L530" s="230"/>
      <c r="M530" s="230"/>
      <c r="N530" s="230"/>
      <c r="O530" s="230"/>
      <c r="P530" s="230"/>
      <c r="Q530" s="230"/>
      <c r="R530" s="230"/>
      <c r="S530" s="230"/>
      <c r="T530" s="230"/>
      <c r="U530" s="230"/>
      <c r="V530" s="230"/>
      <c r="W530" s="230"/>
      <c r="X530" s="230"/>
      <c r="Y530" s="230"/>
      <c r="Z530" s="230"/>
    </row>
    <row r="531" spans="1:26" ht="15.75" customHeight="1">
      <c r="A531" s="230"/>
      <c r="B531" s="230"/>
      <c r="C531" s="230"/>
      <c r="D531" s="230"/>
      <c r="E531" s="230"/>
      <c r="F531" s="230"/>
      <c r="G531" s="230"/>
      <c r="H531" s="230"/>
      <c r="I531" s="230"/>
      <c r="J531" s="230"/>
      <c r="K531" s="230"/>
      <c r="L531" s="230"/>
      <c r="M531" s="230"/>
      <c r="N531" s="230"/>
      <c r="O531" s="230"/>
      <c r="P531" s="230"/>
      <c r="Q531" s="230"/>
      <c r="R531" s="230"/>
      <c r="S531" s="230"/>
      <c r="T531" s="230"/>
      <c r="U531" s="230"/>
      <c r="V531" s="230"/>
      <c r="W531" s="230"/>
      <c r="X531" s="230"/>
      <c r="Y531" s="230"/>
      <c r="Z531" s="230"/>
    </row>
    <row r="532" spans="1:26" ht="15.75" customHeight="1">
      <c r="A532" s="230"/>
      <c r="B532" s="230"/>
      <c r="C532" s="230"/>
      <c r="D532" s="230"/>
      <c r="E532" s="230"/>
      <c r="F532" s="230"/>
      <c r="G532" s="230"/>
      <c r="H532" s="230"/>
      <c r="I532" s="230"/>
      <c r="J532" s="230"/>
      <c r="K532" s="230"/>
      <c r="L532" s="230"/>
      <c r="M532" s="230"/>
      <c r="N532" s="230"/>
      <c r="O532" s="230"/>
      <c r="P532" s="230"/>
      <c r="Q532" s="230"/>
      <c r="R532" s="230"/>
      <c r="S532" s="230"/>
      <c r="T532" s="230"/>
      <c r="U532" s="230"/>
      <c r="V532" s="230"/>
      <c r="W532" s="230"/>
      <c r="X532" s="230"/>
      <c r="Y532" s="230"/>
      <c r="Z532" s="230"/>
    </row>
    <row r="533" spans="1:26" ht="15.75" customHeight="1">
      <c r="A533" s="230"/>
      <c r="B533" s="230"/>
      <c r="C533" s="230"/>
      <c r="D533" s="230"/>
      <c r="E533" s="230"/>
      <c r="F533" s="230"/>
      <c r="G533" s="230"/>
      <c r="H533" s="230"/>
      <c r="I533" s="230"/>
      <c r="J533" s="230"/>
      <c r="K533" s="230"/>
      <c r="L533" s="230"/>
      <c r="M533" s="230"/>
      <c r="N533" s="230"/>
      <c r="O533" s="230"/>
      <c r="P533" s="230"/>
      <c r="Q533" s="230"/>
      <c r="R533" s="230"/>
      <c r="S533" s="230"/>
      <c r="T533" s="230"/>
      <c r="U533" s="230"/>
      <c r="V533" s="230"/>
      <c r="W533" s="230"/>
      <c r="X533" s="230"/>
      <c r="Y533" s="230"/>
      <c r="Z533" s="230"/>
    </row>
    <row r="534" spans="1:26" ht="15.75" customHeight="1">
      <c r="A534" s="230"/>
      <c r="B534" s="230"/>
      <c r="C534" s="230"/>
      <c r="D534" s="230"/>
      <c r="E534" s="230"/>
      <c r="F534" s="230"/>
      <c r="G534" s="230"/>
      <c r="H534" s="230"/>
      <c r="I534" s="230"/>
      <c r="J534" s="230"/>
      <c r="K534" s="230"/>
      <c r="L534" s="230"/>
      <c r="M534" s="230"/>
      <c r="N534" s="230"/>
      <c r="O534" s="230"/>
      <c r="P534" s="230"/>
      <c r="Q534" s="230"/>
      <c r="R534" s="230"/>
      <c r="S534" s="230"/>
      <c r="T534" s="230"/>
      <c r="U534" s="230"/>
      <c r="V534" s="230"/>
      <c r="W534" s="230"/>
      <c r="X534" s="230"/>
      <c r="Y534" s="230"/>
      <c r="Z534" s="230"/>
    </row>
    <row r="535" spans="1:26" ht="15.75" customHeight="1">
      <c r="A535" s="230"/>
      <c r="B535" s="230"/>
      <c r="C535" s="230"/>
      <c r="D535" s="230"/>
      <c r="E535" s="230"/>
      <c r="F535" s="230"/>
      <c r="G535" s="230"/>
      <c r="H535" s="230"/>
      <c r="I535" s="230"/>
      <c r="J535" s="230"/>
      <c r="K535" s="230"/>
      <c r="L535" s="230"/>
      <c r="M535" s="230"/>
      <c r="N535" s="230"/>
      <c r="O535" s="230"/>
      <c r="P535" s="230"/>
      <c r="Q535" s="230"/>
      <c r="R535" s="230"/>
      <c r="S535" s="230"/>
      <c r="T535" s="230"/>
      <c r="U535" s="230"/>
      <c r="V535" s="230"/>
      <c r="W535" s="230"/>
      <c r="X535" s="230"/>
      <c r="Y535" s="230"/>
      <c r="Z535" s="230"/>
    </row>
    <row r="536" spans="1:26" ht="15.75" customHeight="1">
      <c r="A536" s="230"/>
      <c r="B536" s="230"/>
      <c r="C536" s="230"/>
      <c r="D536" s="230"/>
      <c r="E536" s="230"/>
      <c r="F536" s="230"/>
      <c r="G536" s="230"/>
      <c r="H536" s="230"/>
      <c r="I536" s="230"/>
      <c r="J536" s="230"/>
      <c r="K536" s="230"/>
      <c r="L536" s="230"/>
      <c r="M536" s="230"/>
      <c r="N536" s="230"/>
      <c r="O536" s="230"/>
      <c r="P536" s="230"/>
      <c r="Q536" s="230"/>
      <c r="R536" s="230"/>
      <c r="S536" s="230"/>
      <c r="T536" s="230"/>
      <c r="U536" s="230"/>
      <c r="V536" s="230"/>
      <c r="W536" s="230"/>
      <c r="X536" s="230"/>
      <c r="Y536" s="230"/>
      <c r="Z536" s="230"/>
    </row>
    <row r="537" spans="1:26" ht="15.75" customHeight="1">
      <c r="A537" s="230"/>
      <c r="B537" s="230"/>
      <c r="C537" s="230"/>
      <c r="D537" s="230"/>
      <c r="E537" s="230"/>
      <c r="F537" s="230"/>
      <c r="G537" s="230"/>
      <c r="H537" s="230"/>
      <c r="I537" s="230"/>
      <c r="J537" s="230"/>
      <c r="K537" s="230"/>
      <c r="L537" s="230"/>
      <c r="M537" s="230"/>
      <c r="N537" s="230"/>
      <c r="O537" s="230"/>
      <c r="P537" s="230"/>
      <c r="Q537" s="230"/>
      <c r="R537" s="230"/>
      <c r="S537" s="230"/>
      <c r="T537" s="230"/>
      <c r="U537" s="230"/>
      <c r="V537" s="230"/>
      <c r="W537" s="230"/>
      <c r="X537" s="230"/>
      <c r="Y537" s="230"/>
      <c r="Z537" s="230"/>
    </row>
    <row r="538" spans="1:26" ht="15.75" customHeight="1">
      <c r="A538" s="230"/>
      <c r="B538" s="230"/>
      <c r="C538" s="230"/>
      <c r="D538" s="230"/>
      <c r="E538" s="230"/>
      <c r="F538" s="230"/>
      <c r="G538" s="230"/>
      <c r="H538" s="230"/>
      <c r="I538" s="230"/>
      <c r="J538" s="230"/>
      <c r="K538" s="230"/>
      <c r="L538" s="230"/>
      <c r="M538" s="230"/>
      <c r="N538" s="230"/>
      <c r="O538" s="230"/>
      <c r="P538" s="230"/>
      <c r="Q538" s="230"/>
      <c r="R538" s="230"/>
      <c r="S538" s="230"/>
      <c r="T538" s="230"/>
      <c r="U538" s="230"/>
      <c r="V538" s="230"/>
      <c r="W538" s="230"/>
      <c r="X538" s="230"/>
      <c r="Y538" s="230"/>
      <c r="Z538" s="230"/>
    </row>
    <row r="539" spans="1:26" ht="15.75" customHeight="1">
      <c r="A539" s="230"/>
      <c r="B539" s="230"/>
      <c r="C539" s="230"/>
      <c r="D539" s="230"/>
      <c r="E539" s="230"/>
      <c r="F539" s="230"/>
      <c r="G539" s="230"/>
      <c r="H539" s="230"/>
      <c r="I539" s="230"/>
      <c r="J539" s="230"/>
      <c r="K539" s="230"/>
      <c r="L539" s="230"/>
      <c r="M539" s="230"/>
      <c r="N539" s="230"/>
      <c r="O539" s="230"/>
      <c r="P539" s="230"/>
      <c r="Q539" s="230"/>
      <c r="R539" s="230"/>
      <c r="S539" s="230"/>
      <c r="T539" s="230"/>
      <c r="U539" s="230"/>
      <c r="V539" s="230"/>
      <c r="W539" s="230"/>
      <c r="X539" s="230"/>
      <c r="Y539" s="230"/>
      <c r="Z539" s="230"/>
    </row>
    <row r="540" spans="1:26" ht="15.75" customHeight="1">
      <c r="A540" s="230"/>
      <c r="B540" s="230"/>
      <c r="C540" s="230"/>
      <c r="D540" s="230"/>
      <c r="E540" s="230"/>
      <c r="F540" s="230"/>
      <c r="G540" s="230"/>
      <c r="H540" s="230"/>
      <c r="I540" s="230"/>
      <c r="J540" s="230"/>
      <c r="K540" s="230"/>
      <c r="L540" s="230"/>
      <c r="M540" s="230"/>
      <c r="N540" s="230"/>
      <c r="O540" s="230"/>
      <c r="P540" s="230"/>
      <c r="Q540" s="230"/>
      <c r="R540" s="230"/>
      <c r="S540" s="230"/>
      <c r="T540" s="230"/>
      <c r="U540" s="230"/>
      <c r="V540" s="230"/>
      <c r="W540" s="230"/>
      <c r="X540" s="230"/>
      <c r="Y540" s="230"/>
      <c r="Z540" s="230"/>
    </row>
    <row r="541" spans="1:26" ht="15.75" customHeight="1">
      <c r="A541" s="230"/>
      <c r="B541" s="230"/>
      <c r="C541" s="230"/>
      <c r="D541" s="230"/>
      <c r="E541" s="230"/>
      <c r="F541" s="230"/>
      <c r="G541" s="230"/>
      <c r="H541" s="230"/>
      <c r="I541" s="230"/>
      <c r="J541" s="230"/>
      <c r="K541" s="230"/>
      <c r="L541" s="230"/>
      <c r="M541" s="230"/>
      <c r="N541" s="230"/>
      <c r="O541" s="230"/>
      <c r="P541" s="230"/>
      <c r="Q541" s="230"/>
      <c r="R541" s="230"/>
      <c r="S541" s="230"/>
      <c r="T541" s="230"/>
      <c r="U541" s="230"/>
      <c r="V541" s="230"/>
      <c r="W541" s="230"/>
      <c r="X541" s="230"/>
      <c r="Y541" s="230"/>
      <c r="Z541" s="230"/>
    </row>
    <row r="542" spans="1:26" ht="15.75" customHeight="1">
      <c r="A542" s="230"/>
      <c r="B542" s="230"/>
      <c r="C542" s="230"/>
      <c r="D542" s="230"/>
      <c r="E542" s="230"/>
      <c r="F542" s="230"/>
      <c r="G542" s="230"/>
      <c r="H542" s="230"/>
      <c r="I542" s="230"/>
      <c r="J542" s="230"/>
      <c r="K542" s="230"/>
      <c r="L542" s="230"/>
      <c r="M542" s="230"/>
      <c r="N542" s="230"/>
      <c r="O542" s="230"/>
      <c r="P542" s="230"/>
      <c r="Q542" s="230"/>
      <c r="R542" s="230"/>
      <c r="S542" s="230"/>
      <c r="T542" s="230"/>
      <c r="U542" s="230"/>
      <c r="V542" s="230"/>
      <c r="W542" s="230"/>
      <c r="X542" s="230"/>
      <c r="Y542" s="230"/>
      <c r="Z542" s="230"/>
    </row>
    <row r="543" spans="1:26" ht="15.75" customHeight="1">
      <c r="A543" s="230"/>
      <c r="B543" s="230"/>
      <c r="C543" s="230"/>
      <c r="D543" s="230"/>
      <c r="E543" s="230"/>
      <c r="F543" s="230"/>
      <c r="G543" s="230"/>
      <c r="H543" s="230"/>
      <c r="I543" s="230"/>
      <c r="J543" s="230"/>
      <c r="K543" s="230"/>
      <c r="L543" s="230"/>
      <c r="M543" s="230"/>
      <c r="N543" s="230"/>
      <c r="O543" s="230"/>
      <c r="P543" s="230"/>
      <c r="Q543" s="230"/>
      <c r="R543" s="230"/>
      <c r="S543" s="230"/>
      <c r="T543" s="230"/>
      <c r="U543" s="230"/>
      <c r="V543" s="230"/>
      <c r="W543" s="230"/>
      <c r="X543" s="230"/>
      <c r="Y543" s="230"/>
      <c r="Z543" s="230"/>
    </row>
    <row r="544" spans="1:26" ht="15.75" customHeight="1">
      <c r="A544" s="230"/>
      <c r="B544" s="230"/>
      <c r="C544" s="230"/>
      <c r="D544" s="230"/>
      <c r="E544" s="230"/>
      <c r="F544" s="230"/>
      <c r="G544" s="230"/>
      <c r="H544" s="230"/>
      <c r="I544" s="230"/>
      <c r="J544" s="230"/>
      <c r="K544" s="230"/>
      <c r="L544" s="230"/>
      <c r="M544" s="230"/>
      <c r="N544" s="230"/>
      <c r="O544" s="230"/>
      <c r="P544" s="230"/>
      <c r="Q544" s="230"/>
      <c r="R544" s="230"/>
      <c r="S544" s="230"/>
      <c r="T544" s="230"/>
      <c r="U544" s="230"/>
      <c r="V544" s="230"/>
      <c r="W544" s="230"/>
      <c r="X544" s="230"/>
      <c r="Y544" s="230"/>
      <c r="Z544" s="230"/>
    </row>
    <row r="545" spans="1:26" ht="15.75" customHeight="1">
      <c r="A545" s="230"/>
      <c r="B545" s="230"/>
      <c r="C545" s="230"/>
      <c r="D545" s="230"/>
      <c r="E545" s="230"/>
      <c r="F545" s="230"/>
      <c r="G545" s="230"/>
      <c r="H545" s="230"/>
      <c r="I545" s="230"/>
      <c r="J545" s="230"/>
      <c r="K545" s="230"/>
      <c r="L545" s="230"/>
      <c r="M545" s="230"/>
      <c r="N545" s="230"/>
      <c r="O545" s="230"/>
      <c r="P545" s="230"/>
      <c r="Q545" s="230"/>
      <c r="R545" s="230"/>
      <c r="S545" s="230"/>
      <c r="T545" s="230"/>
      <c r="U545" s="230"/>
      <c r="V545" s="230"/>
      <c r="W545" s="230"/>
      <c r="X545" s="230"/>
      <c r="Y545" s="230"/>
      <c r="Z545" s="230"/>
    </row>
    <row r="546" spans="1:26" ht="15.75" customHeight="1">
      <c r="A546" s="230"/>
      <c r="B546" s="230"/>
      <c r="C546" s="230"/>
      <c r="D546" s="230"/>
      <c r="E546" s="230"/>
      <c r="F546" s="230"/>
      <c r="G546" s="230"/>
      <c r="H546" s="230"/>
      <c r="I546" s="230"/>
      <c r="J546" s="230"/>
      <c r="K546" s="230"/>
      <c r="L546" s="230"/>
      <c r="M546" s="230"/>
      <c r="N546" s="230"/>
      <c r="O546" s="230"/>
      <c r="P546" s="230"/>
      <c r="Q546" s="230"/>
      <c r="R546" s="230"/>
      <c r="S546" s="230"/>
      <c r="T546" s="230"/>
      <c r="U546" s="230"/>
      <c r="V546" s="230"/>
      <c r="W546" s="230"/>
      <c r="X546" s="230"/>
      <c r="Y546" s="230"/>
      <c r="Z546" s="230"/>
    </row>
    <row r="547" spans="1:26" ht="15.75" customHeight="1">
      <c r="A547" s="230"/>
      <c r="B547" s="230"/>
      <c r="C547" s="230"/>
      <c r="D547" s="230"/>
      <c r="E547" s="230"/>
      <c r="F547" s="230"/>
      <c r="G547" s="230"/>
      <c r="H547" s="230"/>
      <c r="I547" s="230"/>
      <c r="J547" s="230"/>
      <c r="K547" s="230"/>
      <c r="L547" s="230"/>
      <c r="M547" s="230"/>
      <c r="N547" s="230"/>
      <c r="O547" s="230"/>
      <c r="P547" s="230"/>
      <c r="Q547" s="230"/>
      <c r="R547" s="230"/>
      <c r="S547" s="230"/>
      <c r="T547" s="230"/>
      <c r="U547" s="230"/>
      <c r="V547" s="230"/>
      <c r="W547" s="230"/>
      <c r="X547" s="230"/>
      <c r="Y547" s="230"/>
      <c r="Z547" s="230"/>
    </row>
    <row r="548" spans="1:26" ht="15.75" customHeight="1">
      <c r="A548" s="230"/>
      <c r="B548" s="230"/>
      <c r="C548" s="230"/>
      <c r="D548" s="230"/>
      <c r="E548" s="230"/>
      <c r="F548" s="230"/>
      <c r="G548" s="230"/>
      <c r="H548" s="230"/>
      <c r="I548" s="230"/>
      <c r="J548" s="230"/>
      <c r="K548" s="230"/>
      <c r="L548" s="230"/>
      <c r="M548" s="230"/>
      <c r="N548" s="230"/>
      <c r="O548" s="230"/>
      <c r="P548" s="230"/>
      <c r="Q548" s="230"/>
      <c r="R548" s="230"/>
      <c r="S548" s="230"/>
      <c r="T548" s="230"/>
      <c r="U548" s="230"/>
      <c r="V548" s="230"/>
      <c r="W548" s="230"/>
      <c r="X548" s="230"/>
      <c r="Y548" s="230"/>
      <c r="Z548" s="230"/>
    </row>
    <row r="549" spans="1:26" ht="15.75" customHeight="1">
      <c r="A549" s="230"/>
      <c r="B549" s="230"/>
      <c r="C549" s="230"/>
      <c r="D549" s="230"/>
      <c r="E549" s="230"/>
      <c r="F549" s="230"/>
      <c r="G549" s="230"/>
      <c r="H549" s="230"/>
      <c r="I549" s="230"/>
      <c r="J549" s="230"/>
      <c r="K549" s="230"/>
      <c r="L549" s="230"/>
      <c r="M549" s="230"/>
      <c r="N549" s="230"/>
      <c r="O549" s="230"/>
      <c r="P549" s="230"/>
      <c r="Q549" s="230"/>
      <c r="R549" s="230"/>
      <c r="S549" s="230"/>
      <c r="T549" s="230"/>
      <c r="U549" s="230"/>
      <c r="V549" s="230"/>
      <c r="W549" s="230"/>
      <c r="X549" s="230"/>
      <c r="Y549" s="230"/>
      <c r="Z549" s="230"/>
    </row>
    <row r="550" spans="1:26" ht="15.75" customHeight="1">
      <c r="A550" s="230"/>
      <c r="B550" s="230"/>
      <c r="C550" s="230"/>
      <c r="D550" s="230"/>
      <c r="E550" s="230"/>
      <c r="F550" s="230"/>
      <c r="G550" s="230"/>
      <c r="H550" s="230"/>
      <c r="I550" s="230"/>
      <c r="J550" s="230"/>
      <c r="K550" s="230"/>
      <c r="L550" s="230"/>
      <c r="M550" s="230"/>
      <c r="N550" s="230"/>
      <c r="O550" s="230"/>
      <c r="P550" s="230"/>
      <c r="Q550" s="230"/>
      <c r="R550" s="230"/>
      <c r="S550" s="230"/>
      <c r="T550" s="230"/>
      <c r="U550" s="230"/>
      <c r="V550" s="230"/>
      <c r="W550" s="230"/>
      <c r="X550" s="230"/>
      <c r="Y550" s="230"/>
      <c r="Z550" s="230"/>
    </row>
    <row r="551" spans="1:26" ht="15.75" customHeight="1">
      <c r="A551" s="230"/>
      <c r="B551" s="230"/>
      <c r="C551" s="230"/>
      <c r="D551" s="230"/>
      <c r="E551" s="230"/>
      <c r="F551" s="230"/>
      <c r="G551" s="230"/>
      <c r="H551" s="230"/>
      <c r="I551" s="230"/>
      <c r="J551" s="230"/>
      <c r="K551" s="230"/>
      <c r="L551" s="230"/>
      <c r="M551" s="230"/>
      <c r="N551" s="230"/>
      <c r="O551" s="230"/>
      <c r="P551" s="230"/>
      <c r="Q551" s="230"/>
      <c r="R551" s="230"/>
      <c r="S551" s="230"/>
      <c r="T551" s="230"/>
      <c r="U551" s="230"/>
      <c r="V551" s="230"/>
      <c r="W551" s="230"/>
      <c r="X551" s="230"/>
      <c r="Y551" s="230"/>
      <c r="Z551" s="230"/>
    </row>
    <row r="552" spans="1:26" ht="15.75" customHeight="1">
      <c r="A552" s="230"/>
      <c r="B552" s="230"/>
      <c r="C552" s="230"/>
      <c r="D552" s="230"/>
      <c r="E552" s="230"/>
      <c r="F552" s="230"/>
      <c r="G552" s="230"/>
      <c r="H552" s="230"/>
      <c r="I552" s="230"/>
      <c r="J552" s="230"/>
      <c r="K552" s="230"/>
      <c r="L552" s="230"/>
      <c r="M552" s="230"/>
      <c r="N552" s="230"/>
      <c r="O552" s="230"/>
      <c r="P552" s="230"/>
      <c r="Q552" s="230"/>
      <c r="R552" s="230"/>
      <c r="S552" s="230"/>
      <c r="T552" s="230"/>
      <c r="U552" s="230"/>
      <c r="V552" s="230"/>
      <c r="W552" s="230"/>
      <c r="X552" s="230"/>
      <c r="Y552" s="230"/>
      <c r="Z552" s="230"/>
    </row>
    <row r="553" spans="1:26" ht="15.75" customHeight="1">
      <c r="A553" s="230"/>
      <c r="B553" s="230"/>
      <c r="C553" s="230"/>
      <c r="D553" s="230"/>
      <c r="E553" s="230"/>
      <c r="F553" s="230"/>
      <c r="G553" s="230"/>
      <c r="H553" s="230"/>
      <c r="I553" s="230"/>
      <c r="J553" s="230"/>
      <c r="K553" s="230"/>
      <c r="L553" s="230"/>
      <c r="M553" s="230"/>
      <c r="N553" s="230"/>
      <c r="O553" s="230"/>
      <c r="P553" s="230"/>
      <c r="Q553" s="230"/>
      <c r="R553" s="230"/>
      <c r="S553" s="230"/>
      <c r="T553" s="230"/>
      <c r="U553" s="230"/>
      <c r="V553" s="230"/>
      <c r="W553" s="230"/>
      <c r="X553" s="230"/>
      <c r="Y553" s="230"/>
      <c r="Z553" s="230"/>
    </row>
    <row r="554" spans="1:26" ht="15.75" customHeight="1">
      <c r="A554" s="230"/>
      <c r="B554" s="230"/>
      <c r="C554" s="230"/>
      <c r="D554" s="230"/>
      <c r="E554" s="230"/>
      <c r="F554" s="230"/>
      <c r="G554" s="230"/>
      <c r="H554" s="230"/>
      <c r="I554" s="230"/>
      <c r="J554" s="230"/>
      <c r="K554" s="230"/>
      <c r="L554" s="230"/>
      <c r="M554" s="230"/>
      <c r="N554" s="230"/>
      <c r="O554" s="230"/>
      <c r="P554" s="230"/>
      <c r="Q554" s="230"/>
      <c r="R554" s="230"/>
      <c r="S554" s="230"/>
      <c r="T554" s="230"/>
      <c r="U554" s="230"/>
      <c r="V554" s="230"/>
      <c r="W554" s="230"/>
      <c r="X554" s="230"/>
      <c r="Y554" s="230"/>
      <c r="Z554" s="230"/>
    </row>
    <row r="555" spans="1:26" ht="15.75" customHeight="1">
      <c r="A555" s="230"/>
      <c r="B555" s="230"/>
      <c r="C555" s="230"/>
      <c r="D555" s="230"/>
      <c r="E555" s="230"/>
      <c r="F555" s="230"/>
      <c r="G555" s="230"/>
      <c r="H555" s="230"/>
      <c r="I555" s="230"/>
      <c r="J555" s="230"/>
      <c r="K555" s="230"/>
      <c r="L555" s="230"/>
      <c r="M555" s="230"/>
      <c r="N555" s="230"/>
      <c r="O555" s="230"/>
      <c r="P555" s="230"/>
      <c r="Q555" s="230"/>
      <c r="R555" s="230"/>
      <c r="S555" s="230"/>
      <c r="T555" s="230"/>
      <c r="U555" s="230"/>
      <c r="V555" s="230"/>
      <c r="W555" s="230"/>
      <c r="X555" s="230"/>
      <c r="Y555" s="230"/>
      <c r="Z555" s="230"/>
    </row>
    <row r="556" spans="1:26" ht="15.75" customHeight="1">
      <c r="A556" s="230"/>
      <c r="B556" s="230"/>
      <c r="C556" s="230"/>
      <c r="D556" s="230"/>
      <c r="E556" s="230"/>
      <c r="F556" s="230"/>
      <c r="G556" s="230"/>
      <c r="H556" s="230"/>
      <c r="I556" s="230"/>
      <c r="J556" s="230"/>
      <c r="K556" s="230"/>
      <c r="L556" s="230"/>
      <c r="M556" s="230"/>
      <c r="N556" s="230"/>
      <c r="O556" s="230"/>
      <c r="P556" s="230"/>
      <c r="Q556" s="230"/>
      <c r="R556" s="230"/>
      <c r="S556" s="230"/>
      <c r="T556" s="230"/>
      <c r="U556" s="230"/>
      <c r="V556" s="230"/>
      <c r="W556" s="230"/>
      <c r="X556" s="230"/>
      <c r="Y556" s="230"/>
      <c r="Z556" s="230"/>
    </row>
    <row r="557" spans="1:26" ht="15.75" customHeight="1">
      <c r="A557" s="230"/>
      <c r="B557" s="230"/>
      <c r="C557" s="230"/>
      <c r="D557" s="230"/>
      <c r="E557" s="230"/>
      <c r="F557" s="230"/>
      <c r="G557" s="230"/>
      <c r="H557" s="230"/>
      <c r="I557" s="230"/>
      <c r="J557" s="230"/>
      <c r="K557" s="230"/>
      <c r="L557" s="230"/>
      <c r="M557" s="230"/>
      <c r="N557" s="230"/>
      <c r="O557" s="230"/>
      <c r="P557" s="230"/>
      <c r="Q557" s="230"/>
      <c r="R557" s="230"/>
      <c r="S557" s="230"/>
      <c r="T557" s="230"/>
      <c r="U557" s="230"/>
      <c r="V557" s="230"/>
      <c r="W557" s="230"/>
      <c r="X557" s="230"/>
      <c r="Y557" s="230"/>
      <c r="Z557" s="230"/>
    </row>
    <row r="558" spans="1:26" ht="15.75" customHeight="1">
      <c r="A558" s="230"/>
      <c r="B558" s="230"/>
      <c r="C558" s="230"/>
      <c r="D558" s="230"/>
      <c r="E558" s="230"/>
      <c r="F558" s="230"/>
      <c r="G558" s="230"/>
      <c r="H558" s="230"/>
      <c r="I558" s="230"/>
      <c r="J558" s="230"/>
      <c r="K558" s="230"/>
      <c r="L558" s="230"/>
      <c r="M558" s="230"/>
      <c r="N558" s="230"/>
      <c r="O558" s="230"/>
      <c r="P558" s="230"/>
      <c r="Q558" s="230"/>
      <c r="R558" s="230"/>
      <c r="S558" s="230"/>
      <c r="T558" s="230"/>
      <c r="U558" s="230"/>
      <c r="V558" s="230"/>
      <c r="W558" s="230"/>
      <c r="X558" s="230"/>
      <c r="Y558" s="230"/>
      <c r="Z558" s="230"/>
    </row>
    <row r="559" spans="1:26" ht="15.75" customHeight="1">
      <c r="A559" s="230"/>
      <c r="B559" s="230"/>
      <c r="C559" s="230"/>
      <c r="D559" s="230"/>
      <c r="E559" s="230"/>
      <c r="F559" s="230"/>
      <c r="G559" s="230"/>
      <c r="H559" s="230"/>
      <c r="I559" s="230"/>
      <c r="J559" s="230"/>
      <c r="K559" s="230"/>
      <c r="L559" s="230"/>
      <c r="M559" s="230"/>
      <c r="N559" s="230"/>
      <c r="O559" s="230"/>
      <c r="P559" s="230"/>
      <c r="Q559" s="230"/>
      <c r="R559" s="230"/>
      <c r="S559" s="230"/>
      <c r="T559" s="230"/>
      <c r="U559" s="230"/>
      <c r="V559" s="230"/>
      <c r="W559" s="230"/>
      <c r="X559" s="230"/>
      <c r="Y559" s="230"/>
      <c r="Z559" s="230"/>
    </row>
    <row r="560" spans="1:26" ht="15.75" customHeight="1">
      <c r="A560" s="230"/>
      <c r="B560" s="230"/>
      <c r="C560" s="230"/>
      <c r="D560" s="230"/>
      <c r="E560" s="230"/>
      <c r="F560" s="230"/>
      <c r="G560" s="230"/>
      <c r="H560" s="230"/>
      <c r="I560" s="230"/>
      <c r="J560" s="230"/>
      <c r="K560" s="230"/>
      <c r="L560" s="230"/>
      <c r="M560" s="230"/>
      <c r="N560" s="230"/>
      <c r="O560" s="230"/>
      <c r="P560" s="230"/>
      <c r="Q560" s="230"/>
      <c r="R560" s="230"/>
      <c r="S560" s="230"/>
      <c r="T560" s="230"/>
      <c r="U560" s="230"/>
      <c r="V560" s="230"/>
      <c r="W560" s="230"/>
      <c r="X560" s="230"/>
      <c r="Y560" s="230"/>
      <c r="Z560" s="230"/>
    </row>
    <row r="561" spans="1:26" ht="15.75" customHeight="1">
      <c r="A561" s="230"/>
      <c r="B561" s="230"/>
      <c r="C561" s="230"/>
      <c r="D561" s="230"/>
      <c r="E561" s="230"/>
      <c r="F561" s="230"/>
      <c r="G561" s="230"/>
      <c r="H561" s="230"/>
      <c r="I561" s="230"/>
      <c r="J561" s="230"/>
      <c r="K561" s="230"/>
      <c r="L561" s="230"/>
      <c r="M561" s="230"/>
      <c r="N561" s="230"/>
      <c r="O561" s="230"/>
      <c r="P561" s="230"/>
      <c r="Q561" s="230"/>
      <c r="R561" s="230"/>
      <c r="S561" s="230"/>
      <c r="T561" s="230"/>
      <c r="U561" s="230"/>
      <c r="V561" s="230"/>
      <c r="W561" s="230"/>
      <c r="X561" s="230"/>
      <c r="Y561" s="230"/>
      <c r="Z561" s="230"/>
    </row>
    <row r="562" spans="1:26" ht="15.75" customHeight="1">
      <c r="A562" s="230"/>
      <c r="B562" s="230"/>
      <c r="C562" s="230"/>
      <c r="D562" s="230"/>
      <c r="E562" s="230"/>
      <c r="F562" s="230"/>
      <c r="G562" s="230"/>
      <c r="H562" s="230"/>
      <c r="I562" s="230"/>
      <c r="J562" s="230"/>
      <c r="K562" s="230"/>
      <c r="L562" s="230"/>
      <c r="M562" s="230"/>
      <c r="N562" s="230"/>
      <c r="O562" s="230"/>
      <c r="P562" s="230"/>
      <c r="Q562" s="230"/>
      <c r="R562" s="230"/>
      <c r="S562" s="230"/>
      <c r="T562" s="230"/>
      <c r="U562" s="230"/>
      <c r="V562" s="230"/>
      <c r="W562" s="230"/>
      <c r="X562" s="230"/>
      <c r="Y562" s="230"/>
      <c r="Z562" s="230"/>
    </row>
    <row r="563" spans="1:26" ht="15.75" customHeight="1">
      <c r="A563" s="230"/>
      <c r="B563" s="230"/>
      <c r="C563" s="230"/>
      <c r="D563" s="230"/>
      <c r="E563" s="230"/>
      <c r="F563" s="230"/>
      <c r="G563" s="230"/>
      <c r="H563" s="230"/>
      <c r="I563" s="230"/>
      <c r="J563" s="230"/>
      <c r="K563" s="230"/>
      <c r="L563" s="230"/>
      <c r="M563" s="230"/>
      <c r="N563" s="230"/>
      <c r="O563" s="230"/>
      <c r="P563" s="230"/>
      <c r="Q563" s="230"/>
      <c r="R563" s="230"/>
      <c r="S563" s="230"/>
      <c r="T563" s="230"/>
      <c r="U563" s="230"/>
      <c r="V563" s="230"/>
      <c r="W563" s="230"/>
      <c r="X563" s="230"/>
      <c r="Y563" s="230"/>
      <c r="Z563" s="230"/>
    </row>
    <row r="564" spans="1:26" ht="15.75" customHeight="1">
      <c r="A564" s="230"/>
      <c r="B564" s="230"/>
      <c r="C564" s="230"/>
      <c r="D564" s="230"/>
      <c r="E564" s="230"/>
      <c r="F564" s="230"/>
      <c r="G564" s="230"/>
      <c r="H564" s="230"/>
      <c r="I564" s="230"/>
      <c r="J564" s="230"/>
      <c r="K564" s="230"/>
      <c r="L564" s="230"/>
      <c r="M564" s="230"/>
      <c r="N564" s="230"/>
      <c r="O564" s="230"/>
      <c r="P564" s="230"/>
      <c r="Q564" s="230"/>
      <c r="R564" s="230"/>
      <c r="S564" s="230"/>
      <c r="T564" s="230"/>
      <c r="U564" s="230"/>
      <c r="V564" s="230"/>
      <c r="W564" s="230"/>
      <c r="X564" s="230"/>
      <c r="Y564" s="230"/>
      <c r="Z564" s="230"/>
    </row>
    <row r="565" spans="1:26" ht="15.75" customHeight="1">
      <c r="A565" s="230"/>
      <c r="B565" s="230"/>
      <c r="C565" s="230"/>
      <c r="D565" s="230"/>
      <c r="E565" s="230"/>
      <c r="F565" s="230"/>
      <c r="G565" s="230"/>
      <c r="H565" s="230"/>
      <c r="I565" s="230"/>
      <c r="J565" s="230"/>
      <c r="K565" s="230"/>
      <c r="L565" s="230"/>
      <c r="M565" s="230"/>
      <c r="N565" s="230"/>
      <c r="O565" s="230"/>
      <c r="P565" s="230"/>
      <c r="Q565" s="230"/>
      <c r="R565" s="230"/>
      <c r="S565" s="230"/>
      <c r="T565" s="230"/>
      <c r="U565" s="230"/>
      <c r="V565" s="230"/>
      <c r="W565" s="230"/>
      <c r="X565" s="230"/>
      <c r="Y565" s="230"/>
      <c r="Z565" s="230"/>
    </row>
    <row r="566" spans="1:26" ht="15.75" customHeight="1">
      <c r="A566" s="230"/>
      <c r="B566" s="230"/>
      <c r="C566" s="230"/>
      <c r="D566" s="230"/>
      <c r="E566" s="230"/>
      <c r="F566" s="230"/>
      <c r="G566" s="230"/>
      <c r="H566" s="230"/>
      <c r="I566" s="230"/>
      <c r="J566" s="230"/>
      <c r="K566" s="230"/>
      <c r="L566" s="230"/>
      <c r="M566" s="230"/>
      <c r="N566" s="230"/>
      <c r="O566" s="230"/>
      <c r="P566" s="230"/>
      <c r="Q566" s="230"/>
      <c r="R566" s="230"/>
      <c r="S566" s="230"/>
      <c r="T566" s="230"/>
      <c r="U566" s="230"/>
      <c r="V566" s="230"/>
      <c r="W566" s="230"/>
      <c r="X566" s="230"/>
      <c r="Y566" s="230"/>
      <c r="Z566" s="230"/>
    </row>
    <row r="567" spans="1:26" ht="15.75" customHeight="1">
      <c r="A567" s="230"/>
      <c r="B567" s="230"/>
      <c r="C567" s="230"/>
      <c r="D567" s="230"/>
      <c r="E567" s="230"/>
      <c r="F567" s="230"/>
      <c r="G567" s="230"/>
      <c r="H567" s="230"/>
      <c r="I567" s="230"/>
      <c r="J567" s="230"/>
      <c r="K567" s="230"/>
      <c r="L567" s="230"/>
      <c r="M567" s="230"/>
      <c r="N567" s="230"/>
      <c r="O567" s="230"/>
      <c r="P567" s="230"/>
      <c r="Q567" s="230"/>
      <c r="R567" s="230"/>
      <c r="S567" s="230"/>
      <c r="T567" s="230"/>
      <c r="U567" s="230"/>
      <c r="V567" s="230"/>
      <c r="W567" s="230"/>
      <c r="X567" s="230"/>
      <c r="Y567" s="230"/>
      <c r="Z567" s="230"/>
    </row>
    <row r="568" spans="1:26" ht="15.75" customHeight="1">
      <c r="A568" s="230"/>
      <c r="B568" s="230"/>
      <c r="C568" s="230"/>
      <c r="D568" s="230"/>
      <c r="E568" s="230"/>
      <c r="F568" s="230"/>
      <c r="G568" s="230"/>
      <c r="H568" s="230"/>
      <c r="I568" s="230"/>
      <c r="J568" s="230"/>
      <c r="K568" s="230"/>
      <c r="L568" s="230"/>
      <c r="M568" s="230"/>
      <c r="N568" s="230"/>
      <c r="O568" s="230"/>
      <c r="P568" s="230"/>
      <c r="Q568" s="230"/>
      <c r="R568" s="230"/>
      <c r="S568" s="230"/>
      <c r="T568" s="230"/>
      <c r="U568" s="230"/>
      <c r="V568" s="230"/>
      <c r="W568" s="230"/>
      <c r="X568" s="230"/>
      <c r="Y568" s="230"/>
      <c r="Z568" s="230"/>
    </row>
    <row r="569" spans="1:26" ht="15.75" customHeight="1">
      <c r="A569" s="230"/>
      <c r="B569" s="230"/>
      <c r="C569" s="230"/>
      <c r="D569" s="230"/>
      <c r="E569" s="230"/>
      <c r="F569" s="230"/>
      <c r="G569" s="230"/>
      <c r="H569" s="230"/>
      <c r="I569" s="230"/>
      <c r="J569" s="230"/>
      <c r="K569" s="230"/>
      <c r="L569" s="230"/>
      <c r="M569" s="230"/>
      <c r="N569" s="230"/>
      <c r="O569" s="230"/>
      <c r="P569" s="230"/>
      <c r="Q569" s="230"/>
      <c r="R569" s="230"/>
      <c r="S569" s="230"/>
      <c r="T569" s="230"/>
      <c r="U569" s="230"/>
      <c r="V569" s="230"/>
      <c r="W569" s="230"/>
      <c r="X569" s="230"/>
      <c r="Y569" s="230"/>
      <c r="Z569" s="230"/>
    </row>
    <row r="570" spans="1:26" ht="15.75" customHeight="1">
      <c r="A570" s="230"/>
      <c r="B570" s="230"/>
      <c r="C570" s="230"/>
      <c r="D570" s="230"/>
      <c r="E570" s="230"/>
      <c r="F570" s="230"/>
      <c r="G570" s="230"/>
      <c r="H570" s="230"/>
      <c r="I570" s="230"/>
      <c r="J570" s="230"/>
      <c r="K570" s="230"/>
      <c r="L570" s="230"/>
      <c r="M570" s="230"/>
      <c r="N570" s="230"/>
      <c r="O570" s="230"/>
      <c r="P570" s="230"/>
      <c r="Q570" s="230"/>
      <c r="R570" s="230"/>
      <c r="S570" s="230"/>
      <c r="T570" s="230"/>
      <c r="U570" s="230"/>
      <c r="V570" s="230"/>
      <c r="W570" s="230"/>
      <c r="X570" s="230"/>
      <c r="Y570" s="230"/>
      <c r="Z570" s="230"/>
    </row>
    <row r="571" spans="1:26" ht="15.75" customHeight="1">
      <c r="A571" s="230"/>
      <c r="B571" s="230"/>
      <c r="C571" s="230"/>
      <c r="D571" s="230"/>
      <c r="E571" s="230"/>
      <c r="F571" s="230"/>
      <c r="G571" s="230"/>
      <c r="H571" s="230"/>
      <c r="I571" s="230"/>
      <c r="J571" s="230"/>
      <c r="K571" s="230"/>
      <c r="L571" s="230"/>
      <c r="M571" s="230"/>
      <c r="N571" s="230"/>
      <c r="O571" s="230"/>
      <c r="P571" s="230"/>
      <c r="Q571" s="230"/>
      <c r="R571" s="230"/>
      <c r="S571" s="230"/>
      <c r="T571" s="230"/>
      <c r="U571" s="230"/>
      <c r="V571" s="230"/>
      <c r="W571" s="230"/>
      <c r="X571" s="230"/>
      <c r="Y571" s="230"/>
      <c r="Z571" s="230"/>
    </row>
    <row r="572" spans="1:26" ht="15.75" customHeight="1">
      <c r="A572" s="230"/>
      <c r="B572" s="230"/>
      <c r="C572" s="230"/>
      <c r="D572" s="230"/>
      <c r="E572" s="230"/>
      <c r="F572" s="230"/>
      <c r="G572" s="230"/>
      <c r="H572" s="230"/>
      <c r="I572" s="230"/>
      <c r="J572" s="230"/>
      <c r="K572" s="230"/>
      <c r="L572" s="230"/>
      <c r="M572" s="230"/>
      <c r="N572" s="230"/>
      <c r="O572" s="230"/>
      <c r="P572" s="230"/>
      <c r="Q572" s="230"/>
      <c r="R572" s="230"/>
      <c r="S572" s="230"/>
      <c r="T572" s="230"/>
      <c r="U572" s="230"/>
      <c r="V572" s="230"/>
      <c r="W572" s="230"/>
      <c r="X572" s="230"/>
      <c r="Y572" s="230"/>
      <c r="Z572" s="230"/>
    </row>
    <row r="573" spans="1:26" ht="15.75" customHeight="1">
      <c r="A573" s="230"/>
      <c r="B573" s="230"/>
      <c r="C573" s="230"/>
      <c r="D573" s="230"/>
      <c r="E573" s="230"/>
      <c r="F573" s="230"/>
      <c r="G573" s="230"/>
      <c r="H573" s="230"/>
      <c r="I573" s="230"/>
      <c r="J573" s="230"/>
      <c r="K573" s="230"/>
      <c r="L573" s="230"/>
      <c r="M573" s="230"/>
      <c r="N573" s="230"/>
      <c r="O573" s="230"/>
      <c r="P573" s="230"/>
      <c r="Q573" s="230"/>
      <c r="R573" s="230"/>
      <c r="S573" s="230"/>
      <c r="T573" s="230"/>
      <c r="U573" s="230"/>
      <c r="V573" s="230"/>
      <c r="W573" s="230"/>
      <c r="X573" s="230"/>
      <c r="Y573" s="230"/>
      <c r="Z573" s="230"/>
    </row>
    <row r="574" spans="1:26" ht="15.75" customHeight="1">
      <c r="A574" s="230"/>
      <c r="B574" s="230"/>
      <c r="C574" s="230"/>
      <c r="D574" s="230"/>
      <c r="E574" s="230"/>
      <c r="F574" s="230"/>
      <c r="G574" s="230"/>
      <c r="H574" s="230"/>
      <c r="I574" s="230"/>
      <c r="J574" s="230"/>
      <c r="K574" s="230"/>
      <c r="L574" s="230"/>
      <c r="M574" s="230"/>
      <c r="N574" s="230"/>
      <c r="O574" s="230"/>
      <c r="P574" s="230"/>
      <c r="Q574" s="230"/>
      <c r="R574" s="230"/>
      <c r="S574" s="230"/>
      <c r="T574" s="230"/>
      <c r="U574" s="230"/>
      <c r="V574" s="230"/>
      <c r="W574" s="230"/>
      <c r="X574" s="230"/>
      <c r="Y574" s="230"/>
      <c r="Z574" s="230"/>
    </row>
    <row r="575" spans="1:26" ht="15.75" customHeight="1">
      <c r="A575" s="230"/>
      <c r="B575" s="230"/>
      <c r="C575" s="230"/>
      <c r="D575" s="230"/>
      <c r="E575" s="230"/>
      <c r="F575" s="230"/>
      <c r="G575" s="230"/>
      <c r="H575" s="230"/>
      <c r="I575" s="230"/>
      <c r="J575" s="230"/>
      <c r="K575" s="230"/>
      <c r="L575" s="230"/>
      <c r="M575" s="230"/>
      <c r="N575" s="230"/>
      <c r="O575" s="230"/>
      <c r="P575" s="230"/>
      <c r="Q575" s="230"/>
      <c r="R575" s="230"/>
      <c r="S575" s="230"/>
      <c r="T575" s="230"/>
      <c r="U575" s="230"/>
      <c r="V575" s="230"/>
      <c r="W575" s="230"/>
      <c r="X575" s="230"/>
      <c r="Y575" s="230"/>
      <c r="Z575" s="230"/>
    </row>
    <row r="576" spans="1:26" ht="15.75" customHeight="1">
      <c r="A576" s="230"/>
      <c r="B576" s="230"/>
      <c r="C576" s="230"/>
      <c r="D576" s="230"/>
      <c r="E576" s="230"/>
      <c r="F576" s="230"/>
      <c r="G576" s="230"/>
      <c r="H576" s="230"/>
      <c r="I576" s="230"/>
      <c r="J576" s="230"/>
      <c r="K576" s="230"/>
      <c r="L576" s="230"/>
      <c r="M576" s="230"/>
      <c r="N576" s="230"/>
      <c r="O576" s="230"/>
      <c r="P576" s="230"/>
      <c r="Q576" s="230"/>
      <c r="R576" s="230"/>
      <c r="S576" s="230"/>
      <c r="T576" s="230"/>
      <c r="U576" s="230"/>
      <c r="V576" s="230"/>
      <c r="W576" s="230"/>
      <c r="X576" s="230"/>
      <c r="Y576" s="230"/>
      <c r="Z576" s="230"/>
    </row>
    <row r="577" spans="1:26" ht="15.75" customHeight="1">
      <c r="A577" s="230"/>
      <c r="B577" s="230"/>
      <c r="C577" s="230"/>
      <c r="D577" s="230"/>
      <c r="E577" s="230"/>
      <c r="F577" s="230"/>
      <c r="G577" s="230"/>
      <c r="H577" s="230"/>
      <c r="I577" s="230"/>
      <c r="J577" s="230"/>
      <c r="K577" s="230"/>
      <c r="L577" s="230"/>
      <c r="M577" s="230"/>
      <c r="N577" s="230"/>
      <c r="O577" s="230"/>
      <c r="P577" s="230"/>
      <c r="Q577" s="230"/>
      <c r="R577" s="230"/>
      <c r="S577" s="230"/>
      <c r="T577" s="230"/>
      <c r="U577" s="230"/>
      <c r="V577" s="230"/>
      <c r="W577" s="230"/>
      <c r="X577" s="230"/>
      <c r="Y577" s="230"/>
      <c r="Z577" s="230"/>
    </row>
    <row r="578" spans="1:26" ht="15.75" customHeight="1">
      <c r="A578" s="230"/>
      <c r="B578" s="230"/>
      <c r="C578" s="230"/>
      <c r="D578" s="230"/>
      <c r="E578" s="230"/>
      <c r="F578" s="230"/>
      <c r="G578" s="230"/>
      <c r="H578" s="230"/>
      <c r="I578" s="230"/>
      <c r="J578" s="230"/>
      <c r="K578" s="230"/>
      <c r="L578" s="230"/>
      <c r="M578" s="230"/>
      <c r="N578" s="230"/>
      <c r="O578" s="230"/>
      <c r="P578" s="230"/>
      <c r="Q578" s="230"/>
      <c r="R578" s="230"/>
      <c r="S578" s="230"/>
      <c r="T578" s="230"/>
      <c r="U578" s="230"/>
      <c r="V578" s="230"/>
      <c r="W578" s="230"/>
      <c r="X578" s="230"/>
      <c r="Y578" s="230"/>
      <c r="Z578" s="230"/>
    </row>
    <row r="579" spans="1:26" ht="15.75" customHeight="1">
      <c r="A579" s="230"/>
      <c r="B579" s="230"/>
      <c r="C579" s="230"/>
      <c r="D579" s="230"/>
      <c r="E579" s="230"/>
      <c r="F579" s="230"/>
      <c r="G579" s="230"/>
      <c r="H579" s="230"/>
      <c r="I579" s="230"/>
      <c r="J579" s="230"/>
      <c r="K579" s="230"/>
      <c r="L579" s="230"/>
      <c r="M579" s="230"/>
      <c r="N579" s="230"/>
      <c r="O579" s="230"/>
      <c r="P579" s="230"/>
      <c r="Q579" s="230"/>
      <c r="R579" s="230"/>
      <c r="S579" s="230"/>
      <c r="T579" s="230"/>
      <c r="U579" s="230"/>
      <c r="V579" s="230"/>
      <c r="W579" s="230"/>
      <c r="X579" s="230"/>
      <c r="Y579" s="230"/>
      <c r="Z579" s="230"/>
    </row>
    <row r="580" spans="1:26" ht="15.75" customHeight="1">
      <c r="A580" s="230"/>
      <c r="B580" s="230"/>
      <c r="C580" s="230"/>
      <c r="D580" s="230"/>
      <c r="E580" s="230"/>
      <c r="F580" s="230"/>
      <c r="G580" s="230"/>
      <c r="H580" s="230"/>
      <c r="I580" s="230"/>
      <c r="J580" s="230"/>
      <c r="K580" s="230"/>
      <c r="L580" s="230"/>
      <c r="M580" s="230"/>
      <c r="N580" s="230"/>
      <c r="O580" s="230"/>
      <c r="P580" s="230"/>
      <c r="Q580" s="230"/>
      <c r="R580" s="230"/>
      <c r="S580" s="230"/>
      <c r="T580" s="230"/>
      <c r="U580" s="230"/>
      <c r="V580" s="230"/>
      <c r="W580" s="230"/>
      <c r="X580" s="230"/>
      <c r="Y580" s="230"/>
      <c r="Z580" s="230"/>
    </row>
    <row r="581" spans="1:26" ht="15.75" customHeight="1">
      <c r="A581" s="230"/>
      <c r="B581" s="230"/>
      <c r="C581" s="230"/>
      <c r="D581" s="230"/>
      <c r="E581" s="230"/>
      <c r="F581" s="230"/>
      <c r="G581" s="230"/>
      <c r="H581" s="230"/>
      <c r="I581" s="230"/>
      <c r="J581" s="230"/>
      <c r="K581" s="230"/>
      <c r="L581" s="230"/>
      <c r="M581" s="230"/>
      <c r="N581" s="230"/>
      <c r="O581" s="230"/>
      <c r="P581" s="230"/>
      <c r="Q581" s="230"/>
      <c r="R581" s="230"/>
      <c r="S581" s="230"/>
      <c r="T581" s="230"/>
      <c r="U581" s="230"/>
      <c r="V581" s="230"/>
      <c r="W581" s="230"/>
      <c r="X581" s="230"/>
      <c r="Y581" s="230"/>
      <c r="Z581" s="230"/>
    </row>
    <row r="582" spans="1:26" ht="15.75" customHeight="1">
      <c r="A582" s="230"/>
      <c r="B582" s="230"/>
      <c r="C582" s="230"/>
      <c r="D582" s="230"/>
      <c r="E582" s="230"/>
      <c r="F582" s="230"/>
      <c r="G582" s="230"/>
      <c r="H582" s="230"/>
      <c r="I582" s="230"/>
      <c r="J582" s="230"/>
      <c r="K582" s="230"/>
      <c r="L582" s="230"/>
      <c r="M582" s="230"/>
      <c r="N582" s="230"/>
      <c r="O582" s="230"/>
      <c r="P582" s="230"/>
      <c r="Q582" s="230"/>
      <c r="R582" s="230"/>
      <c r="S582" s="230"/>
      <c r="T582" s="230"/>
      <c r="U582" s="230"/>
      <c r="V582" s="230"/>
      <c r="W582" s="230"/>
      <c r="X582" s="230"/>
      <c r="Y582" s="230"/>
      <c r="Z582" s="230"/>
    </row>
    <row r="583" spans="1:26" ht="15.75" customHeight="1">
      <c r="A583" s="230"/>
      <c r="B583" s="230"/>
      <c r="C583" s="230"/>
      <c r="D583" s="230"/>
      <c r="E583" s="230"/>
      <c r="F583" s="230"/>
      <c r="G583" s="230"/>
      <c r="H583" s="230"/>
      <c r="I583" s="230"/>
      <c r="J583" s="230"/>
      <c r="K583" s="230"/>
      <c r="L583" s="230"/>
      <c r="M583" s="230"/>
      <c r="N583" s="230"/>
      <c r="O583" s="230"/>
      <c r="P583" s="230"/>
      <c r="Q583" s="230"/>
      <c r="R583" s="230"/>
      <c r="S583" s="230"/>
      <c r="T583" s="230"/>
      <c r="U583" s="230"/>
      <c r="V583" s="230"/>
      <c r="W583" s="230"/>
      <c r="X583" s="230"/>
      <c r="Y583" s="230"/>
      <c r="Z583" s="230"/>
    </row>
    <row r="584" spans="1:26" ht="15.75" customHeight="1">
      <c r="A584" s="230"/>
      <c r="B584" s="230"/>
      <c r="C584" s="230"/>
      <c r="D584" s="230"/>
      <c r="E584" s="230"/>
      <c r="F584" s="230"/>
      <c r="G584" s="230"/>
      <c r="H584" s="230"/>
      <c r="I584" s="230"/>
      <c r="J584" s="230"/>
      <c r="K584" s="230"/>
      <c r="L584" s="230"/>
      <c r="M584" s="230"/>
      <c r="N584" s="230"/>
      <c r="O584" s="230"/>
      <c r="P584" s="230"/>
      <c r="Q584" s="230"/>
      <c r="R584" s="230"/>
      <c r="S584" s="230"/>
      <c r="T584" s="230"/>
      <c r="U584" s="230"/>
      <c r="V584" s="230"/>
      <c r="W584" s="230"/>
      <c r="X584" s="230"/>
      <c r="Y584" s="230"/>
      <c r="Z584" s="230"/>
    </row>
    <row r="585" spans="1:26" ht="15.75" customHeight="1">
      <c r="A585" s="230"/>
      <c r="B585" s="230"/>
      <c r="C585" s="230"/>
      <c r="D585" s="230"/>
      <c r="E585" s="230"/>
      <c r="F585" s="230"/>
      <c r="G585" s="230"/>
      <c r="H585" s="230"/>
      <c r="I585" s="230"/>
      <c r="J585" s="230"/>
      <c r="K585" s="230"/>
      <c r="L585" s="230"/>
      <c r="M585" s="230"/>
      <c r="N585" s="230"/>
      <c r="O585" s="230"/>
      <c r="P585" s="230"/>
      <c r="Q585" s="230"/>
      <c r="R585" s="230"/>
      <c r="S585" s="230"/>
      <c r="T585" s="230"/>
      <c r="U585" s="230"/>
      <c r="V585" s="230"/>
      <c r="W585" s="230"/>
      <c r="X585" s="230"/>
      <c r="Y585" s="230"/>
      <c r="Z585" s="230"/>
    </row>
    <row r="586" spans="1:26" ht="15.75" customHeight="1">
      <c r="A586" s="230"/>
      <c r="B586" s="230"/>
      <c r="C586" s="230"/>
      <c r="D586" s="230"/>
      <c r="E586" s="230"/>
      <c r="F586" s="230"/>
      <c r="G586" s="230"/>
      <c r="H586" s="230"/>
      <c r="I586" s="230"/>
      <c r="J586" s="230"/>
      <c r="K586" s="230"/>
      <c r="L586" s="230"/>
      <c r="M586" s="230"/>
      <c r="N586" s="230"/>
      <c r="O586" s="230"/>
      <c r="P586" s="230"/>
      <c r="Q586" s="230"/>
      <c r="R586" s="230"/>
      <c r="S586" s="230"/>
      <c r="T586" s="230"/>
      <c r="U586" s="230"/>
      <c r="V586" s="230"/>
      <c r="W586" s="230"/>
      <c r="X586" s="230"/>
      <c r="Y586" s="230"/>
      <c r="Z586" s="230"/>
    </row>
    <row r="587" spans="1:26" ht="15.75" customHeight="1">
      <c r="A587" s="230"/>
      <c r="B587" s="230"/>
      <c r="C587" s="230"/>
      <c r="D587" s="230"/>
      <c r="E587" s="230"/>
      <c r="F587" s="230"/>
      <c r="G587" s="230"/>
      <c r="H587" s="230"/>
      <c r="I587" s="230"/>
      <c r="J587" s="230"/>
      <c r="K587" s="230"/>
      <c r="L587" s="230"/>
      <c r="M587" s="230"/>
      <c r="N587" s="230"/>
      <c r="O587" s="230"/>
      <c r="P587" s="230"/>
      <c r="Q587" s="230"/>
      <c r="R587" s="230"/>
      <c r="S587" s="230"/>
      <c r="T587" s="230"/>
      <c r="U587" s="230"/>
      <c r="V587" s="230"/>
      <c r="W587" s="230"/>
      <c r="X587" s="230"/>
      <c r="Y587" s="230"/>
      <c r="Z587" s="230"/>
    </row>
    <row r="588" spans="1:26" ht="15.75" customHeight="1">
      <c r="A588" s="230"/>
      <c r="B588" s="230"/>
      <c r="C588" s="230"/>
      <c r="D588" s="230"/>
      <c r="E588" s="230"/>
      <c r="F588" s="230"/>
      <c r="G588" s="230"/>
      <c r="H588" s="230"/>
      <c r="I588" s="230"/>
      <c r="J588" s="230"/>
      <c r="K588" s="230"/>
      <c r="L588" s="230"/>
      <c r="M588" s="230"/>
      <c r="N588" s="230"/>
      <c r="O588" s="230"/>
      <c r="P588" s="230"/>
      <c r="Q588" s="230"/>
      <c r="R588" s="230"/>
      <c r="S588" s="230"/>
      <c r="T588" s="230"/>
      <c r="U588" s="230"/>
      <c r="V588" s="230"/>
      <c r="W588" s="230"/>
      <c r="X588" s="230"/>
      <c r="Y588" s="230"/>
      <c r="Z588" s="230"/>
    </row>
    <row r="589" spans="1:26" ht="15.75" customHeight="1">
      <c r="A589" s="230"/>
      <c r="B589" s="230"/>
      <c r="C589" s="230"/>
      <c r="D589" s="230"/>
      <c r="E589" s="230"/>
      <c r="F589" s="230"/>
      <c r="G589" s="230"/>
      <c r="H589" s="230"/>
      <c r="I589" s="230"/>
      <c r="J589" s="230"/>
      <c r="K589" s="230"/>
      <c r="L589" s="230"/>
      <c r="M589" s="230"/>
      <c r="N589" s="230"/>
      <c r="O589" s="230"/>
      <c r="P589" s="230"/>
      <c r="Q589" s="230"/>
      <c r="R589" s="230"/>
      <c r="S589" s="230"/>
      <c r="T589" s="230"/>
      <c r="U589" s="230"/>
      <c r="V589" s="230"/>
      <c r="W589" s="230"/>
      <c r="X589" s="230"/>
      <c r="Y589" s="230"/>
      <c r="Z589" s="230"/>
    </row>
    <row r="590" spans="1:26" ht="15.75" customHeight="1">
      <c r="A590" s="230"/>
      <c r="B590" s="230"/>
      <c r="C590" s="230"/>
      <c r="D590" s="230"/>
      <c r="E590" s="230"/>
      <c r="F590" s="230"/>
      <c r="G590" s="230"/>
      <c r="H590" s="230"/>
      <c r="I590" s="230"/>
      <c r="J590" s="230"/>
      <c r="K590" s="230"/>
      <c r="L590" s="230"/>
      <c r="M590" s="230"/>
      <c r="N590" s="230"/>
      <c r="O590" s="230"/>
      <c r="P590" s="230"/>
      <c r="Q590" s="230"/>
      <c r="R590" s="230"/>
      <c r="S590" s="230"/>
      <c r="T590" s="230"/>
      <c r="U590" s="230"/>
      <c r="V590" s="230"/>
      <c r="W590" s="230"/>
      <c r="X590" s="230"/>
      <c r="Y590" s="230"/>
      <c r="Z590" s="230"/>
    </row>
    <row r="591" spans="1:26" ht="15.75" customHeight="1">
      <c r="A591" s="230"/>
      <c r="B591" s="230"/>
      <c r="C591" s="230"/>
      <c r="D591" s="230"/>
      <c r="E591" s="230"/>
      <c r="F591" s="230"/>
      <c r="G591" s="230"/>
      <c r="H591" s="230"/>
      <c r="I591" s="230"/>
      <c r="J591" s="230"/>
      <c r="K591" s="230"/>
      <c r="L591" s="230"/>
      <c r="M591" s="230"/>
      <c r="N591" s="230"/>
      <c r="O591" s="230"/>
      <c r="P591" s="230"/>
      <c r="Q591" s="230"/>
      <c r="R591" s="230"/>
      <c r="S591" s="230"/>
      <c r="T591" s="230"/>
      <c r="U591" s="230"/>
      <c r="V591" s="230"/>
      <c r="W591" s="230"/>
      <c r="X591" s="230"/>
      <c r="Y591" s="230"/>
      <c r="Z591" s="230"/>
    </row>
    <row r="592" spans="1:26" ht="15.75" customHeight="1">
      <c r="A592" s="230"/>
      <c r="B592" s="230"/>
      <c r="C592" s="230"/>
      <c r="D592" s="230"/>
      <c r="E592" s="230"/>
      <c r="F592" s="230"/>
      <c r="G592" s="230"/>
      <c r="H592" s="230"/>
      <c r="I592" s="230"/>
      <c r="J592" s="230"/>
      <c r="K592" s="230"/>
      <c r="L592" s="230"/>
      <c r="M592" s="230"/>
      <c r="N592" s="230"/>
      <c r="O592" s="230"/>
      <c r="P592" s="230"/>
      <c r="Q592" s="230"/>
      <c r="R592" s="230"/>
      <c r="S592" s="230"/>
      <c r="T592" s="230"/>
      <c r="U592" s="230"/>
      <c r="V592" s="230"/>
      <c r="W592" s="230"/>
      <c r="X592" s="230"/>
      <c r="Y592" s="230"/>
      <c r="Z592" s="230"/>
    </row>
    <row r="593" spans="1:26" ht="15.75" customHeight="1">
      <c r="A593" s="230"/>
      <c r="B593" s="230"/>
      <c r="C593" s="230"/>
      <c r="D593" s="230"/>
      <c r="E593" s="230"/>
      <c r="F593" s="230"/>
      <c r="G593" s="230"/>
      <c r="H593" s="230"/>
      <c r="I593" s="230"/>
      <c r="J593" s="230"/>
      <c r="K593" s="230"/>
      <c r="L593" s="230"/>
      <c r="M593" s="230"/>
      <c r="N593" s="230"/>
      <c r="O593" s="230"/>
      <c r="P593" s="230"/>
      <c r="Q593" s="230"/>
      <c r="R593" s="230"/>
      <c r="S593" s="230"/>
      <c r="T593" s="230"/>
      <c r="U593" s="230"/>
      <c r="V593" s="230"/>
      <c r="W593" s="230"/>
      <c r="X593" s="230"/>
      <c r="Y593" s="230"/>
      <c r="Z593" s="230"/>
    </row>
    <row r="594" spans="1:26" ht="15.75" customHeight="1">
      <c r="A594" s="230"/>
      <c r="B594" s="230"/>
      <c r="C594" s="230"/>
      <c r="D594" s="230"/>
      <c r="E594" s="230"/>
      <c r="F594" s="230"/>
      <c r="G594" s="230"/>
      <c r="H594" s="230"/>
      <c r="I594" s="230"/>
      <c r="J594" s="230"/>
      <c r="K594" s="230"/>
      <c r="L594" s="230"/>
      <c r="M594" s="230"/>
      <c r="N594" s="230"/>
      <c r="O594" s="230"/>
      <c r="P594" s="230"/>
      <c r="Q594" s="230"/>
      <c r="R594" s="230"/>
      <c r="S594" s="230"/>
      <c r="T594" s="230"/>
      <c r="U594" s="230"/>
      <c r="V594" s="230"/>
      <c r="W594" s="230"/>
      <c r="X594" s="230"/>
      <c r="Y594" s="230"/>
      <c r="Z594" s="230"/>
    </row>
    <row r="595" spans="1:26" ht="15.75" customHeight="1">
      <c r="A595" s="230"/>
      <c r="B595" s="230"/>
      <c r="C595" s="230"/>
      <c r="D595" s="230"/>
      <c r="E595" s="230"/>
      <c r="F595" s="230"/>
      <c r="G595" s="230"/>
      <c r="H595" s="230"/>
      <c r="I595" s="230"/>
      <c r="J595" s="230"/>
      <c r="K595" s="230"/>
      <c r="L595" s="230"/>
      <c r="M595" s="230"/>
      <c r="N595" s="230"/>
      <c r="O595" s="230"/>
      <c r="P595" s="230"/>
      <c r="Q595" s="230"/>
      <c r="R595" s="230"/>
      <c r="S595" s="230"/>
      <c r="T595" s="230"/>
      <c r="U595" s="230"/>
      <c r="V595" s="230"/>
      <c r="W595" s="230"/>
      <c r="X595" s="230"/>
      <c r="Y595" s="230"/>
      <c r="Z595" s="230"/>
    </row>
    <row r="596" spans="1:26" ht="15.75" customHeight="1">
      <c r="A596" s="230"/>
      <c r="B596" s="230"/>
      <c r="C596" s="230"/>
      <c r="D596" s="230"/>
      <c r="E596" s="230"/>
      <c r="F596" s="230"/>
      <c r="G596" s="230"/>
      <c r="H596" s="230"/>
      <c r="I596" s="230"/>
      <c r="J596" s="230"/>
      <c r="K596" s="230"/>
      <c r="L596" s="230"/>
      <c r="M596" s="230"/>
      <c r="N596" s="230"/>
      <c r="O596" s="230"/>
      <c r="P596" s="230"/>
      <c r="Q596" s="230"/>
      <c r="R596" s="230"/>
      <c r="S596" s="230"/>
      <c r="T596" s="230"/>
      <c r="U596" s="230"/>
      <c r="V596" s="230"/>
      <c r="W596" s="230"/>
      <c r="X596" s="230"/>
      <c r="Y596" s="230"/>
      <c r="Z596" s="230"/>
    </row>
    <row r="597" spans="1:26" ht="15.75" customHeight="1">
      <c r="A597" s="230"/>
      <c r="B597" s="230"/>
      <c r="C597" s="230"/>
      <c r="D597" s="230"/>
      <c r="E597" s="230"/>
      <c r="F597" s="230"/>
      <c r="G597" s="230"/>
      <c r="H597" s="230"/>
      <c r="I597" s="230"/>
      <c r="J597" s="230"/>
      <c r="K597" s="230"/>
      <c r="L597" s="230"/>
      <c r="M597" s="230"/>
      <c r="N597" s="230"/>
      <c r="O597" s="230"/>
      <c r="P597" s="230"/>
      <c r="Q597" s="230"/>
      <c r="R597" s="230"/>
      <c r="S597" s="230"/>
      <c r="T597" s="230"/>
      <c r="U597" s="230"/>
      <c r="V597" s="230"/>
      <c r="W597" s="230"/>
      <c r="X597" s="230"/>
      <c r="Y597" s="230"/>
      <c r="Z597" s="230"/>
    </row>
    <row r="598" spans="1:26" ht="15.75" customHeight="1">
      <c r="A598" s="230"/>
      <c r="B598" s="230"/>
      <c r="C598" s="230"/>
      <c r="D598" s="230"/>
      <c r="E598" s="230"/>
      <c r="F598" s="230"/>
      <c r="G598" s="230"/>
      <c r="H598" s="230"/>
      <c r="I598" s="230"/>
      <c r="J598" s="230"/>
      <c r="K598" s="230"/>
      <c r="L598" s="230"/>
      <c r="M598" s="230"/>
      <c r="N598" s="230"/>
      <c r="O598" s="230"/>
      <c r="P598" s="230"/>
      <c r="Q598" s="230"/>
      <c r="R598" s="230"/>
      <c r="S598" s="230"/>
      <c r="T598" s="230"/>
      <c r="U598" s="230"/>
      <c r="V598" s="230"/>
      <c r="W598" s="230"/>
      <c r="X598" s="230"/>
      <c r="Y598" s="230"/>
      <c r="Z598" s="230"/>
    </row>
    <row r="599" spans="1:26" ht="15.75" customHeight="1">
      <c r="A599" s="230"/>
      <c r="B599" s="230"/>
      <c r="C599" s="230"/>
      <c r="D599" s="230"/>
      <c r="E599" s="230"/>
      <c r="F599" s="230"/>
      <c r="G599" s="230"/>
      <c r="H599" s="230"/>
      <c r="I599" s="230"/>
      <c r="J599" s="230"/>
      <c r="K599" s="230"/>
      <c r="L599" s="230"/>
      <c r="M599" s="230"/>
      <c r="N599" s="230"/>
      <c r="O599" s="230"/>
      <c r="P599" s="230"/>
      <c r="Q599" s="230"/>
      <c r="R599" s="230"/>
      <c r="S599" s="230"/>
      <c r="T599" s="230"/>
      <c r="U599" s="230"/>
      <c r="V599" s="230"/>
      <c r="W599" s="230"/>
      <c r="X599" s="230"/>
      <c r="Y599" s="230"/>
      <c r="Z599" s="230"/>
    </row>
    <row r="600" spans="1:26" ht="15.75" customHeight="1">
      <c r="A600" s="230"/>
      <c r="B600" s="230"/>
      <c r="C600" s="230"/>
      <c r="D600" s="230"/>
      <c r="E600" s="230"/>
      <c r="F600" s="230"/>
      <c r="G600" s="230"/>
      <c r="H600" s="230"/>
      <c r="I600" s="230"/>
      <c r="J600" s="230"/>
      <c r="K600" s="230"/>
      <c r="L600" s="230"/>
      <c r="M600" s="230"/>
      <c r="N600" s="230"/>
      <c r="O600" s="230"/>
      <c r="P600" s="230"/>
      <c r="Q600" s="230"/>
      <c r="R600" s="230"/>
      <c r="S600" s="230"/>
      <c r="T600" s="230"/>
      <c r="U600" s="230"/>
      <c r="V600" s="230"/>
      <c r="W600" s="230"/>
      <c r="X600" s="230"/>
      <c r="Y600" s="230"/>
      <c r="Z600" s="230"/>
    </row>
    <row r="601" spans="1:26" ht="15.75" customHeight="1">
      <c r="A601" s="230"/>
      <c r="B601" s="230"/>
      <c r="C601" s="230"/>
      <c r="D601" s="230"/>
      <c r="E601" s="230"/>
      <c r="F601" s="230"/>
      <c r="G601" s="230"/>
      <c r="H601" s="230"/>
      <c r="I601" s="230"/>
      <c r="J601" s="230"/>
      <c r="K601" s="230"/>
      <c r="L601" s="230"/>
      <c r="M601" s="230"/>
      <c r="N601" s="230"/>
      <c r="O601" s="230"/>
      <c r="P601" s="230"/>
      <c r="Q601" s="230"/>
      <c r="R601" s="230"/>
      <c r="S601" s="230"/>
      <c r="T601" s="230"/>
      <c r="U601" s="230"/>
      <c r="V601" s="230"/>
      <c r="W601" s="230"/>
      <c r="X601" s="230"/>
      <c r="Y601" s="230"/>
      <c r="Z601" s="230"/>
    </row>
    <row r="602" spans="1:26" ht="15.75" customHeight="1">
      <c r="A602" s="230"/>
      <c r="B602" s="230"/>
      <c r="C602" s="230"/>
      <c r="D602" s="230"/>
      <c r="E602" s="230"/>
      <c r="F602" s="230"/>
      <c r="G602" s="230"/>
      <c r="H602" s="230"/>
      <c r="I602" s="230"/>
      <c r="J602" s="230"/>
      <c r="K602" s="230"/>
      <c r="L602" s="230"/>
      <c r="M602" s="230"/>
      <c r="N602" s="230"/>
      <c r="O602" s="230"/>
      <c r="P602" s="230"/>
      <c r="Q602" s="230"/>
      <c r="R602" s="230"/>
      <c r="S602" s="230"/>
      <c r="T602" s="230"/>
      <c r="U602" s="230"/>
      <c r="V602" s="230"/>
      <c r="W602" s="230"/>
      <c r="X602" s="230"/>
      <c r="Y602" s="230"/>
      <c r="Z602" s="230"/>
    </row>
    <row r="603" spans="1:26" ht="15.75" customHeight="1">
      <c r="A603" s="230"/>
      <c r="B603" s="230"/>
      <c r="C603" s="230"/>
      <c r="D603" s="230"/>
      <c r="E603" s="230"/>
      <c r="F603" s="230"/>
      <c r="G603" s="230"/>
      <c r="H603" s="230"/>
      <c r="I603" s="230"/>
      <c r="J603" s="230"/>
      <c r="K603" s="230"/>
      <c r="L603" s="230"/>
      <c r="M603" s="230"/>
      <c r="N603" s="230"/>
      <c r="O603" s="230"/>
      <c r="P603" s="230"/>
      <c r="Q603" s="230"/>
      <c r="R603" s="230"/>
      <c r="S603" s="230"/>
      <c r="T603" s="230"/>
      <c r="U603" s="230"/>
      <c r="V603" s="230"/>
      <c r="W603" s="230"/>
      <c r="X603" s="230"/>
      <c r="Y603" s="230"/>
      <c r="Z603" s="230"/>
    </row>
    <row r="604" spans="1:26" ht="15.75" customHeight="1">
      <c r="A604" s="230"/>
      <c r="B604" s="230"/>
      <c r="C604" s="230"/>
      <c r="D604" s="230"/>
      <c r="E604" s="230"/>
      <c r="F604" s="230"/>
      <c r="G604" s="230"/>
      <c r="H604" s="230"/>
      <c r="I604" s="230"/>
      <c r="J604" s="230"/>
      <c r="K604" s="230"/>
      <c r="L604" s="230"/>
      <c r="M604" s="230"/>
      <c r="N604" s="230"/>
      <c r="O604" s="230"/>
      <c r="P604" s="230"/>
      <c r="Q604" s="230"/>
      <c r="R604" s="230"/>
      <c r="S604" s="230"/>
      <c r="T604" s="230"/>
      <c r="U604" s="230"/>
      <c r="V604" s="230"/>
      <c r="W604" s="230"/>
      <c r="X604" s="230"/>
      <c r="Y604" s="230"/>
      <c r="Z604" s="230"/>
    </row>
    <row r="605" spans="1:26" ht="15.75" customHeight="1">
      <c r="A605" s="230"/>
      <c r="B605" s="230"/>
      <c r="C605" s="230"/>
      <c r="D605" s="230"/>
      <c r="E605" s="230"/>
      <c r="F605" s="230"/>
      <c r="G605" s="230"/>
      <c r="H605" s="230"/>
      <c r="I605" s="230"/>
      <c r="J605" s="230"/>
      <c r="K605" s="230"/>
      <c r="L605" s="230"/>
      <c r="M605" s="230"/>
      <c r="N605" s="230"/>
      <c r="O605" s="230"/>
      <c r="P605" s="230"/>
      <c r="Q605" s="230"/>
      <c r="R605" s="230"/>
      <c r="S605" s="230"/>
      <c r="T605" s="230"/>
      <c r="U605" s="230"/>
      <c r="V605" s="230"/>
      <c r="W605" s="230"/>
      <c r="X605" s="230"/>
      <c r="Y605" s="230"/>
      <c r="Z605" s="230"/>
    </row>
    <row r="606" spans="1:26" ht="15.75" customHeight="1">
      <c r="A606" s="230"/>
      <c r="B606" s="230"/>
      <c r="C606" s="230"/>
      <c r="D606" s="230"/>
      <c r="E606" s="230"/>
      <c r="F606" s="230"/>
      <c r="G606" s="230"/>
      <c r="H606" s="230"/>
      <c r="I606" s="230"/>
      <c r="J606" s="230"/>
      <c r="K606" s="230"/>
      <c r="L606" s="230"/>
      <c r="M606" s="230"/>
      <c r="N606" s="230"/>
      <c r="O606" s="230"/>
      <c r="P606" s="230"/>
      <c r="Q606" s="230"/>
      <c r="R606" s="230"/>
      <c r="S606" s="230"/>
      <c r="T606" s="230"/>
      <c r="U606" s="230"/>
      <c r="V606" s="230"/>
      <c r="W606" s="230"/>
      <c r="X606" s="230"/>
      <c r="Y606" s="230"/>
      <c r="Z606" s="230"/>
    </row>
    <row r="607" spans="1:26" ht="15.75" customHeight="1">
      <c r="A607" s="230"/>
      <c r="B607" s="230"/>
      <c r="C607" s="230"/>
      <c r="D607" s="230"/>
      <c r="E607" s="230"/>
      <c r="F607" s="230"/>
      <c r="G607" s="230"/>
      <c r="H607" s="230"/>
      <c r="I607" s="230"/>
      <c r="J607" s="230"/>
      <c r="K607" s="230"/>
      <c r="L607" s="230"/>
      <c r="M607" s="230"/>
      <c r="N607" s="230"/>
      <c r="O607" s="230"/>
      <c r="P607" s="230"/>
      <c r="Q607" s="230"/>
      <c r="R607" s="230"/>
      <c r="S607" s="230"/>
      <c r="T607" s="230"/>
      <c r="U607" s="230"/>
      <c r="V607" s="230"/>
      <c r="W607" s="230"/>
      <c r="X607" s="230"/>
      <c r="Y607" s="230"/>
      <c r="Z607" s="230"/>
    </row>
    <row r="608" spans="1:26" ht="15.75" customHeight="1">
      <c r="A608" s="230"/>
      <c r="B608" s="230"/>
      <c r="C608" s="230"/>
      <c r="D608" s="230"/>
      <c r="E608" s="230"/>
      <c r="F608" s="230"/>
      <c r="G608" s="230"/>
      <c r="H608" s="230"/>
      <c r="I608" s="230"/>
      <c r="J608" s="230"/>
      <c r="K608" s="230"/>
      <c r="L608" s="230"/>
      <c r="M608" s="230"/>
      <c r="N608" s="230"/>
      <c r="O608" s="230"/>
      <c r="P608" s="230"/>
      <c r="Q608" s="230"/>
      <c r="R608" s="230"/>
      <c r="S608" s="230"/>
      <c r="T608" s="230"/>
      <c r="U608" s="230"/>
      <c r="V608" s="230"/>
      <c r="W608" s="230"/>
      <c r="X608" s="230"/>
      <c r="Y608" s="230"/>
      <c r="Z608" s="230"/>
    </row>
    <row r="609" spans="1:26" ht="15.75" customHeight="1">
      <c r="A609" s="230"/>
      <c r="B609" s="230"/>
      <c r="C609" s="230"/>
      <c r="D609" s="230"/>
      <c r="E609" s="230"/>
      <c r="F609" s="230"/>
      <c r="G609" s="230"/>
      <c r="H609" s="230"/>
      <c r="I609" s="230"/>
      <c r="J609" s="230"/>
      <c r="K609" s="230"/>
      <c r="L609" s="230"/>
      <c r="M609" s="230"/>
      <c r="N609" s="230"/>
      <c r="O609" s="230"/>
      <c r="P609" s="230"/>
      <c r="Q609" s="230"/>
      <c r="R609" s="230"/>
      <c r="S609" s="230"/>
      <c r="T609" s="230"/>
      <c r="U609" s="230"/>
      <c r="V609" s="230"/>
      <c r="W609" s="230"/>
      <c r="X609" s="230"/>
      <c r="Y609" s="230"/>
      <c r="Z609" s="230"/>
    </row>
    <row r="610" spans="1:26" ht="15.75" customHeight="1">
      <c r="A610" s="230"/>
      <c r="B610" s="230"/>
      <c r="C610" s="230"/>
      <c r="D610" s="230"/>
      <c r="E610" s="230"/>
      <c r="F610" s="230"/>
      <c r="G610" s="230"/>
      <c r="H610" s="230"/>
      <c r="I610" s="230"/>
      <c r="J610" s="230"/>
      <c r="K610" s="230"/>
      <c r="L610" s="230"/>
      <c r="M610" s="230"/>
      <c r="N610" s="230"/>
      <c r="O610" s="230"/>
      <c r="P610" s="230"/>
      <c r="Q610" s="230"/>
      <c r="R610" s="230"/>
      <c r="S610" s="230"/>
      <c r="T610" s="230"/>
      <c r="U610" s="230"/>
      <c r="V610" s="230"/>
      <c r="W610" s="230"/>
      <c r="X610" s="230"/>
      <c r="Y610" s="230"/>
      <c r="Z610" s="230"/>
    </row>
    <row r="611" spans="1:26" ht="15.75" customHeight="1">
      <c r="A611" s="230"/>
      <c r="B611" s="230"/>
      <c r="C611" s="230"/>
      <c r="D611" s="230"/>
      <c r="E611" s="230"/>
      <c r="F611" s="230"/>
      <c r="G611" s="230"/>
      <c r="H611" s="230"/>
      <c r="I611" s="230"/>
      <c r="J611" s="230"/>
      <c r="K611" s="230"/>
      <c r="L611" s="230"/>
      <c r="M611" s="230"/>
      <c r="N611" s="230"/>
      <c r="O611" s="230"/>
      <c r="P611" s="230"/>
      <c r="Q611" s="230"/>
      <c r="R611" s="230"/>
      <c r="S611" s="230"/>
      <c r="T611" s="230"/>
      <c r="U611" s="230"/>
      <c r="V611" s="230"/>
      <c r="W611" s="230"/>
      <c r="X611" s="230"/>
      <c r="Y611" s="230"/>
      <c r="Z611" s="230"/>
    </row>
    <row r="612" spans="1:26" ht="15.75" customHeight="1">
      <c r="A612" s="230"/>
      <c r="B612" s="230"/>
      <c r="C612" s="230"/>
      <c r="D612" s="230"/>
      <c r="E612" s="230"/>
      <c r="F612" s="230"/>
      <c r="G612" s="230"/>
      <c r="H612" s="230"/>
      <c r="I612" s="230"/>
      <c r="J612" s="230"/>
      <c r="K612" s="230"/>
      <c r="L612" s="230"/>
      <c r="M612" s="230"/>
      <c r="N612" s="230"/>
      <c r="O612" s="230"/>
      <c r="P612" s="230"/>
      <c r="Q612" s="230"/>
      <c r="R612" s="230"/>
      <c r="S612" s="230"/>
      <c r="T612" s="230"/>
      <c r="U612" s="230"/>
      <c r="V612" s="230"/>
      <c r="W612" s="230"/>
      <c r="X612" s="230"/>
      <c r="Y612" s="230"/>
      <c r="Z612" s="230"/>
    </row>
    <row r="613" spans="1:26" ht="15.75" customHeight="1">
      <c r="A613" s="230"/>
      <c r="B613" s="230"/>
      <c r="C613" s="230"/>
      <c r="D613" s="230"/>
      <c r="E613" s="230"/>
      <c r="F613" s="230"/>
      <c r="G613" s="230"/>
      <c r="H613" s="230"/>
      <c r="I613" s="230"/>
      <c r="J613" s="230"/>
      <c r="K613" s="230"/>
      <c r="L613" s="230"/>
      <c r="M613" s="230"/>
      <c r="N613" s="230"/>
      <c r="O613" s="230"/>
      <c r="P613" s="230"/>
      <c r="Q613" s="230"/>
      <c r="R613" s="230"/>
      <c r="S613" s="230"/>
      <c r="T613" s="230"/>
      <c r="U613" s="230"/>
      <c r="V613" s="230"/>
      <c r="W613" s="230"/>
      <c r="X613" s="230"/>
      <c r="Y613" s="230"/>
      <c r="Z613" s="230"/>
    </row>
    <row r="614" spans="1:26" ht="15.75" customHeight="1">
      <c r="A614" s="230"/>
      <c r="B614" s="230"/>
      <c r="C614" s="230"/>
      <c r="D614" s="230"/>
      <c r="E614" s="230"/>
      <c r="F614" s="230"/>
      <c r="G614" s="230"/>
      <c r="H614" s="230"/>
      <c r="I614" s="230"/>
      <c r="J614" s="230"/>
      <c r="K614" s="230"/>
      <c r="L614" s="230"/>
      <c r="M614" s="230"/>
      <c r="N614" s="230"/>
      <c r="O614" s="230"/>
      <c r="P614" s="230"/>
      <c r="Q614" s="230"/>
      <c r="R614" s="230"/>
      <c r="S614" s="230"/>
      <c r="T614" s="230"/>
      <c r="U614" s="230"/>
      <c r="V614" s="230"/>
      <c r="W614" s="230"/>
      <c r="X614" s="230"/>
      <c r="Y614" s="230"/>
      <c r="Z614" s="230"/>
    </row>
    <row r="615" spans="1:26" ht="15.75" customHeight="1">
      <c r="A615" s="230"/>
      <c r="B615" s="230"/>
      <c r="C615" s="230"/>
      <c r="D615" s="230"/>
      <c r="E615" s="230"/>
      <c r="F615" s="230"/>
      <c r="G615" s="230"/>
      <c r="H615" s="230"/>
      <c r="I615" s="230"/>
      <c r="J615" s="230"/>
      <c r="K615" s="230"/>
      <c r="L615" s="230"/>
      <c r="M615" s="230"/>
      <c r="N615" s="230"/>
      <c r="O615" s="230"/>
      <c r="P615" s="230"/>
      <c r="Q615" s="230"/>
      <c r="R615" s="230"/>
      <c r="S615" s="230"/>
      <c r="T615" s="230"/>
      <c r="U615" s="230"/>
      <c r="V615" s="230"/>
      <c r="W615" s="230"/>
      <c r="X615" s="230"/>
      <c r="Y615" s="230"/>
      <c r="Z615" s="230"/>
    </row>
    <row r="616" spans="1:26" ht="15.75" customHeight="1">
      <c r="A616" s="230"/>
      <c r="B616" s="230"/>
      <c r="C616" s="230"/>
      <c r="D616" s="230"/>
      <c r="E616" s="230"/>
      <c r="F616" s="230"/>
      <c r="G616" s="230"/>
      <c r="H616" s="230"/>
      <c r="I616" s="230"/>
      <c r="J616" s="230"/>
      <c r="K616" s="230"/>
      <c r="L616" s="230"/>
      <c r="M616" s="230"/>
      <c r="N616" s="230"/>
      <c r="O616" s="230"/>
      <c r="P616" s="230"/>
      <c r="Q616" s="230"/>
      <c r="R616" s="230"/>
      <c r="S616" s="230"/>
      <c r="T616" s="230"/>
      <c r="U616" s="230"/>
      <c r="V616" s="230"/>
      <c r="W616" s="230"/>
      <c r="X616" s="230"/>
      <c r="Y616" s="230"/>
      <c r="Z616" s="230"/>
    </row>
    <row r="617" spans="1:26" ht="15.75" customHeight="1">
      <c r="A617" s="230"/>
      <c r="B617" s="230"/>
      <c r="C617" s="230"/>
      <c r="D617" s="230"/>
      <c r="E617" s="230"/>
      <c r="F617" s="230"/>
      <c r="G617" s="230"/>
      <c r="H617" s="230"/>
      <c r="I617" s="230"/>
      <c r="J617" s="230"/>
      <c r="K617" s="230"/>
      <c r="L617" s="230"/>
      <c r="M617" s="230"/>
      <c r="N617" s="230"/>
      <c r="O617" s="230"/>
      <c r="P617" s="230"/>
      <c r="Q617" s="230"/>
      <c r="R617" s="230"/>
      <c r="S617" s="230"/>
      <c r="T617" s="230"/>
      <c r="U617" s="230"/>
      <c r="V617" s="230"/>
      <c r="W617" s="230"/>
      <c r="X617" s="230"/>
      <c r="Y617" s="230"/>
      <c r="Z617" s="230"/>
    </row>
    <row r="618" spans="1:26" ht="15.75" customHeight="1">
      <c r="A618" s="230"/>
      <c r="B618" s="230"/>
      <c r="C618" s="230"/>
      <c r="D618" s="230"/>
      <c r="E618" s="230"/>
      <c r="F618" s="230"/>
      <c r="G618" s="230"/>
      <c r="H618" s="230"/>
      <c r="I618" s="230"/>
      <c r="J618" s="230"/>
      <c r="K618" s="230"/>
      <c r="L618" s="230"/>
      <c r="M618" s="230"/>
      <c r="N618" s="230"/>
      <c r="O618" s="230"/>
      <c r="P618" s="230"/>
      <c r="Q618" s="230"/>
      <c r="R618" s="230"/>
      <c r="S618" s="230"/>
      <c r="T618" s="230"/>
      <c r="U618" s="230"/>
      <c r="V618" s="230"/>
      <c r="W618" s="230"/>
      <c r="X618" s="230"/>
      <c r="Y618" s="230"/>
      <c r="Z618" s="230"/>
    </row>
    <row r="619" spans="1:26" ht="15.75" customHeight="1">
      <c r="A619" s="230"/>
      <c r="B619" s="230"/>
      <c r="C619" s="230"/>
      <c r="D619" s="230"/>
      <c r="E619" s="230"/>
      <c r="F619" s="230"/>
      <c r="G619" s="230"/>
      <c r="H619" s="230"/>
      <c r="I619" s="230"/>
      <c r="J619" s="230"/>
      <c r="K619" s="230"/>
      <c r="L619" s="230"/>
      <c r="M619" s="230"/>
      <c r="N619" s="230"/>
      <c r="O619" s="230"/>
      <c r="P619" s="230"/>
      <c r="Q619" s="230"/>
      <c r="R619" s="230"/>
      <c r="S619" s="230"/>
      <c r="T619" s="230"/>
      <c r="U619" s="230"/>
      <c r="V619" s="230"/>
      <c r="W619" s="230"/>
      <c r="X619" s="230"/>
      <c r="Y619" s="230"/>
      <c r="Z619" s="230"/>
    </row>
    <row r="620" spans="1:26" ht="15.75" customHeight="1">
      <c r="A620" s="230"/>
      <c r="B620" s="230"/>
      <c r="C620" s="230"/>
      <c r="D620" s="230"/>
      <c r="E620" s="230"/>
      <c r="F620" s="230"/>
      <c r="G620" s="230"/>
      <c r="H620" s="230"/>
      <c r="I620" s="230"/>
      <c r="J620" s="230"/>
      <c r="K620" s="230"/>
      <c r="L620" s="230"/>
      <c r="M620" s="230"/>
      <c r="N620" s="230"/>
      <c r="O620" s="230"/>
      <c r="P620" s="230"/>
      <c r="Q620" s="230"/>
      <c r="R620" s="230"/>
      <c r="S620" s="230"/>
      <c r="T620" s="230"/>
      <c r="U620" s="230"/>
      <c r="V620" s="230"/>
      <c r="W620" s="230"/>
      <c r="X620" s="230"/>
      <c r="Y620" s="230"/>
      <c r="Z620" s="230"/>
    </row>
    <row r="621" spans="1:26" ht="15.75" customHeight="1">
      <c r="A621" s="230"/>
      <c r="B621" s="230"/>
      <c r="C621" s="230"/>
      <c r="D621" s="230"/>
      <c r="E621" s="230"/>
      <c r="F621" s="230"/>
      <c r="G621" s="230"/>
      <c r="H621" s="230"/>
      <c r="I621" s="230"/>
      <c r="J621" s="230"/>
      <c r="K621" s="230"/>
      <c r="L621" s="230"/>
      <c r="M621" s="230"/>
      <c r="N621" s="230"/>
      <c r="O621" s="230"/>
      <c r="P621" s="230"/>
      <c r="Q621" s="230"/>
      <c r="R621" s="230"/>
      <c r="S621" s="230"/>
      <c r="T621" s="230"/>
      <c r="U621" s="230"/>
      <c r="V621" s="230"/>
      <c r="W621" s="230"/>
      <c r="X621" s="230"/>
      <c r="Y621" s="230"/>
      <c r="Z621" s="230"/>
    </row>
    <row r="622" spans="1:26" ht="15.75" customHeight="1">
      <c r="A622" s="230"/>
      <c r="B622" s="230"/>
      <c r="C622" s="230"/>
      <c r="D622" s="230"/>
      <c r="E622" s="230"/>
      <c r="F622" s="230"/>
      <c r="G622" s="230"/>
      <c r="H622" s="230"/>
      <c r="I622" s="230"/>
      <c r="J622" s="230"/>
      <c r="K622" s="230"/>
      <c r="L622" s="230"/>
      <c r="M622" s="230"/>
      <c r="N622" s="230"/>
      <c r="O622" s="230"/>
      <c r="P622" s="230"/>
      <c r="Q622" s="230"/>
      <c r="R622" s="230"/>
      <c r="S622" s="230"/>
      <c r="T622" s="230"/>
      <c r="U622" s="230"/>
      <c r="V622" s="230"/>
      <c r="W622" s="230"/>
      <c r="X622" s="230"/>
      <c r="Y622" s="230"/>
      <c r="Z622" s="230"/>
    </row>
    <row r="623" spans="1:26" ht="15.75" customHeight="1">
      <c r="A623" s="230"/>
      <c r="B623" s="230"/>
      <c r="C623" s="230"/>
      <c r="D623" s="230"/>
      <c r="E623" s="230"/>
      <c r="F623" s="230"/>
      <c r="G623" s="230"/>
      <c r="H623" s="230"/>
      <c r="I623" s="230"/>
      <c r="J623" s="230"/>
      <c r="K623" s="230"/>
      <c r="L623" s="230"/>
      <c r="M623" s="230"/>
      <c r="N623" s="230"/>
      <c r="O623" s="230"/>
      <c r="P623" s="230"/>
      <c r="Q623" s="230"/>
      <c r="R623" s="230"/>
      <c r="S623" s="230"/>
      <c r="T623" s="230"/>
      <c r="U623" s="230"/>
      <c r="V623" s="230"/>
      <c r="W623" s="230"/>
      <c r="X623" s="230"/>
      <c r="Y623" s="230"/>
      <c r="Z623" s="230"/>
    </row>
    <row r="624" spans="1:26" ht="15.75" customHeight="1">
      <c r="A624" s="230"/>
      <c r="B624" s="230"/>
      <c r="C624" s="230"/>
      <c r="D624" s="230"/>
      <c r="E624" s="230"/>
      <c r="F624" s="230"/>
      <c r="G624" s="230"/>
      <c r="H624" s="230"/>
      <c r="I624" s="230"/>
      <c r="J624" s="230"/>
      <c r="K624" s="230"/>
      <c r="L624" s="230"/>
      <c r="M624" s="230"/>
      <c r="N624" s="230"/>
      <c r="O624" s="230"/>
      <c r="P624" s="230"/>
      <c r="Q624" s="230"/>
      <c r="R624" s="230"/>
      <c r="S624" s="230"/>
      <c r="T624" s="230"/>
      <c r="U624" s="230"/>
      <c r="V624" s="230"/>
      <c r="W624" s="230"/>
      <c r="X624" s="230"/>
      <c r="Y624" s="230"/>
      <c r="Z624" s="230"/>
    </row>
    <row r="625" spans="1:26" ht="15.75" customHeight="1">
      <c r="A625" s="230"/>
      <c r="B625" s="230"/>
      <c r="C625" s="230"/>
      <c r="D625" s="230"/>
      <c r="E625" s="230"/>
      <c r="F625" s="230"/>
      <c r="G625" s="230"/>
      <c r="H625" s="230"/>
      <c r="I625" s="230"/>
      <c r="J625" s="230"/>
      <c r="K625" s="230"/>
      <c r="L625" s="230"/>
      <c r="M625" s="230"/>
      <c r="N625" s="230"/>
      <c r="O625" s="230"/>
      <c r="P625" s="230"/>
      <c r="Q625" s="230"/>
      <c r="R625" s="230"/>
      <c r="S625" s="230"/>
      <c r="T625" s="230"/>
      <c r="U625" s="230"/>
      <c r="V625" s="230"/>
      <c r="W625" s="230"/>
      <c r="X625" s="230"/>
      <c r="Y625" s="230"/>
      <c r="Z625" s="230"/>
    </row>
    <row r="626" spans="1:26" ht="15.75" customHeight="1">
      <c r="A626" s="230"/>
      <c r="B626" s="230"/>
      <c r="C626" s="230"/>
      <c r="D626" s="230"/>
      <c r="E626" s="230"/>
      <c r="F626" s="230"/>
      <c r="G626" s="230"/>
      <c r="H626" s="230"/>
      <c r="I626" s="230"/>
      <c r="J626" s="230"/>
      <c r="K626" s="230"/>
      <c r="L626" s="230"/>
      <c r="M626" s="230"/>
      <c r="N626" s="230"/>
      <c r="O626" s="230"/>
      <c r="P626" s="230"/>
      <c r="Q626" s="230"/>
      <c r="R626" s="230"/>
      <c r="S626" s="230"/>
      <c r="T626" s="230"/>
      <c r="U626" s="230"/>
      <c r="V626" s="230"/>
      <c r="W626" s="230"/>
      <c r="X626" s="230"/>
      <c r="Y626" s="230"/>
      <c r="Z626" s="230"/>
    </row>
    <row r="627" spans="1:26" ht="15.75" customHeight="1">
      <c r="A627" s="230"/>
      <c r="B627" s="230"/>
      <c r="C627" s="230"/>
      <c r="D627" s="230"/>
      <c r="E627" s="230"/>
      <c r="F627" s="230"/>
      <c r="G627" s="230"/>
      <c r="H627" s="230"/>
      <c r="I627" s="230"/>
      <c r="J627" s="230"/>
      <c r="K627" s="230"/>
      <c r="L627" s="230"/>
      <c r="M627" s="230"/>
      <c r="N627" s="230"/>
      <c r="O627" s="230"/>
      <c r="P627" s="230"/>
      <c r="Q627" s="230"/>
      <c r="R627" s="230"/>
      <c r="S627" s="230"/>
      <c r="T627" s="230"/>
      <c r="U627" s="230"/>
      <c r="V627" s="230"/>
      <c r="W627" s="230"/>
      <c r="X627" s="230"/>
      <c r="Y627" s="230"/>
      <c r="Z627" s="230"/>
    </row>
    <row r="628" spans="1:26" ht="15.75" customHeight="1">
      <c r="A628" s="230"/>
      <c r="B628" s="230"/>
      <c r="C628" s="230"/>
      <c r="D628" s="230"/>
      <c r="E628" s="230"/>
      <c r="F628" s="230"/>
      <c r="G628" s="230"/>
      <c r="H628" s="230"/>
      <c r="I628" s="230"/>
      <c r="J628" s="230"/>
      <c r="K628" s="230"/>
      <c r="L628" s="230"/>
      <c r="M628" s="230"/>
      <c r="N628" s="230"/>
      <c r="O628" s="230"/>
      <c r="P628" s="230"/>
      <c r="Q628" s="230"/>
      <c r="R628" s="230"/>
      <c r="S628" s="230"/>
      <c r="T628" s="230"/>
      <c r="U628" s="230"/>
      <c r="V628" s="230"/>
      <c r="W628" s="230"/>
      <c r="X628" s="230"/>
      <c r="Y628" s="230"/>
      <c r="Z628" s="230"/>
    </row>
    <row r="629" spans="1:26" ht="15.75" customHeight="1">
      <c r="A629" s="230"/>
      <c r="B629" s="230"/>
      <c r="C629" s="230"/>
      <c r="D629" s="230"/>
      <c r="E629" s="230"/>
      <c r="F629" s="230"/>
      <c r="G629" s="230"/>
      <c r="H629" s="230"/>
      <c r="I629" s="230"/>
      <c r="J629" s="230"/>
      <c r="K629" s="230"/>
      <c r="L629" s="230"/>
      <c r="M629" s="230"/>
      <c r="N629" s="230"/>
      <c r="O629" s="230"/>
      <c r="P629" s="230"/>
      <c r="Q629" s="230"/>
      <c r="R629" s="230"/>
      <c r="S629" s="230"/>
      <c r="T629" s="230"/>
      <c r="U629" s="230"/>
      <c r="V629" s="230"/>
      <c r="W629" s="230"/>
      <c r="X629" s="230"/>
      <c r="Y629" s="230"/>
      <c r="Z629" s="230"/>
    </row>
    <row r="630" spans="1:26" ht="15.75" customHeight="1">
      <c r="A630" s="230"/>
      <c r="B630" s="230"/>
      <c r="C630" s="230"/>
      <c r="D630" s="230"/>
      <c r="E630" s="230"/>
      <c r="F630" s="230"/>
      <c r="G630" s="230"/>
      <c r="H630" s="230"/>
      <c r="I630" s="230"/>
      <c r="J630" s="230"/>
      <c r="K630" s="230"/>
      <c r="L630" s="230"/>
      <c r="M630" s="230"/>
      <c r="N630" s="230"/>
      <c r="O630" s="230"/>
      <c r="P630" s="230"/>
      <c r="Q630" s="230"/>
      <c r="R630" s="230"/>
      <c r="S630" s="230"/>
      <c r="T630" s="230"/>
      <c r="U630" s="230"/>
      <c r="V630" s="230"/>
      <c r="W630" s="230"/>
      <c r="X630" s="230"/>
      <c r="Y630" s="230"/>
      <c r="Z630" s="230"/>
    </row>
    <row r="631" spans="1:26" ht="15.75" customHeight="1">
      <c r="A631" s="230"/>
      <c r="B631" s="230"/>
      <c r="C631" s="230"/>
      <c r="D631" s="230"/>
      <c r="E631" s="230"/>
      <c r="F631" s="230"/>
      <c r="G631" s="230"/>
      <c r="H631" s="230"/>
      <c r="I631" s="230"/>
      <c r="J631" s="230"/>
      <c r="K631" s="230"/>
      <c r="L631" s="230"/>
      <c r="M631" s="230"/>
      <c r="N631" s="230"/>
      <c r="O631" s="230"/>
      <c r="P631" s="230"/>
      <c r="Q631" s="230"/>
      <c r="R631" s="230"/>
      <c r="S631" s="230"/>
      <c r="T631" s="230"/>
      <c r="U631" s="230"/>
      <c r="V631" s="230"/>
      <c r="W631" s="230"/>
      <c r="X631" s="230"/>
      <c r="Y631" s="230"/>
      <c r="Z631" s="230"/>
    </row>
    <row r="632" spans="1:26" ht="15.75" customHeight="1">
      <c r="A632" s="230"/>
      <c r="B632" s="230"/>
      <c r="C632" s="230"/>
      <c r="D632" s="230"/>
      <c r="E632" s="230"/>
      <c r="F632" s="230"/>
      <c r="G632" s="230"/>
      <c r="H632" s="230"/>
      <c r="I632" s="230"/>
      <c r="J632" s="230"/>
      <c r="K632" s="230"/>
      <c r="L632" s="230"/>
      <c r="M632" s="230"/>
      <c r="N632" s="230"/>
      <c r="O632" s="230"/>
      <c r="P632" s="230"/>
      <c r="Q632" s="230"/>
      <c r="R632" s="230"/>
      <c r="S632" s="230"/>
      <c r="T632" s="230"/>
      <c r="U632" s="230"/>
      <c r="V632" s="230"/>
      <c r="W632" s="230"/>
      <c r="X632" s="230"/>
      <c r="Y632" s="230"/>
      <c r="Z632" s="230"/>
    </row>
    <row r="633" spans="1:26" ht="15.75" customHeight="1">
      <c r="A633" s="230"/>
      <c r="B633" s="230"/>
      <c r="C633" s="230"/>
      <c r="D633" s="230"/>
      <c r="E633" s="230"/>
      <c r="F633" s="230"/>
      <c r="G633" s="230"/>
      <c r="H633" s="230"/>
      <c r="I633" s="230"/>
      <c r="J633" s="230"/>
      <c r="K633" s="230"/>
      <c r="L633" s="230"/>
      <c r="M633" s="230"/>
      <c r="N633" s="230"/>
      <c r="O633" s="230"/>
      <c r="P633" s="230"/>
      <c r="Q633" s="230"/>
      <c r="R633" s="230"/>
      <c r="S633" s="230"/>
      <c r="T633" s="230"/>
      <c r="U633" s="230"/>
      <c r="V633" s="230"/>
      <c r="W633" s="230"/>
      <c r="X633" s="230"/>
      <c r="Y633" s="230"/>
      <c r="Z633" s="230"/>
    </row>
    <row r="634" spans="1:26" ht="15.75" customHeight="1">
      <c r="A634" s="230"/>
      <c r="B634" s="230"/>
      <c r="C634" s="230"/>
      <c r="D634" s="230"/>
      <c r="E634" s="230"/>
      <c r="F634" s="230"/>
      <c r="G634" s="230"/>
      <c r="H634" s="230"/>
      <c r="I634" s="230"/>
      <c r="J634" s="230"/>
      <c r="K634" s="230"/>
      <c r="L634" s="230"/>
      <c r="M634" s="230"/>
      <c r="N634" s="230"/>
      <c r="O634" s="230"/>
      <c r="P634" s="230"/>
      <c r="Q634" s="230"/>
      <c r="R634" s="230"/>
      <c r="S634" s="230"/>
      <c r="T634" s="230"/>
      <c r="U634" s="230"/>
      <c r="V634" s="230"/>
      <c r="W634" s="230"/>
      <c r="X634" s="230"/>
      <c r="Y634" s="230"/>
      <c r="Z634" s="230"/>
    </row>
    <row r="635" spans="1:26" ht="15.75" customHeight="1">
      <c r="A635" s="230"/>
      <c r="B635" s="230"/>
      <c r="C635" s="230"/>
      <c r="D635" s="230"/>
      <c r="E635" s="230"/>
      <c r="F635" s="230"/>
      <c r="G635" s="230"/>
      <c r="H635" s="230"/>
      <c r="I635" s="230"/>
      <c r="J635" s="230"/>
      <c r="K635" s="230"/>
      <c r="L635" s="230"/>
      <c r="M635" s="230"/>
      <c r="N635" s="230"/>
      <c r="O635" s="230"/>
      <c r="P635" s="230"/>
      <c r="Q635" s="230"/>
      <c r="R635" s="230"/>
      <c r="S635" s="230"/>
      <c r="T635" s="230"/>
      <c r="U635" s="230"/>
      <c r="V635" s="230"/>
      <c r="W635" s="230"/>
      <c r="X635" s="230"/>
      <c r="Y635" s="230"/>
      <c r="Z635" s="230"/>
    </row>
    <row r="636" spans="1:26" ht="15.75" customHeight="1">
      <c r="A636" s="230"/>
      <c r="B636" s="230"/>
      <c r="C636" s="230"/>
      <c r="D636" s="230"/>
      <c r="E636" s="230"/>
      <c r="F636" s="230"/>
      <c r="G636" s="230"/>
      <c r="H636" s="230"/>
      <c r="I636" s="230"/>
      <c r="J636" s="230"/>
      <c r="K636" s="230"/>
      <c r="L636" s="230"/>
      <c r="M636" s="230"/>
      <c r="N636" s="230"/>
      <c r="O636" s="230"/>
      <c r="P636" s="230"/>
      <c r="Q636" s="230"/>
      <c r="R636" s="230"/>
      <c r="S636" s="230"/>
      <c r="T636" s="230"/>
      <c r="U636" s="230"/>
      <c r="V636" s="230"/>
      <c r="W636" s="230"/>
      <c r="X636" s="230"/>
      <c r="Y636" s="230"/>
      <c r="Z636" s="230"/>
    </row>
    <row r="637" spans="1:26" ht="15.75" customHeight="1">
      <c r="A637" s="230"/>
      <c r="B637" s="230"/>
      <c r="C637" s="230"/>
      <c r="D637" s="230"/>
      <c r="E637" s="230"/>
      <c r="F637" s="230"/>
      <c r="G637" s="230"/>
      <c r="H637" s="230"/>
      <c r="I637" s="230"/>
      <c r="J637" s="230"/>
      <c r="K637" s="230"/>
      <c r="L637" s="230"/>
      <c r="M637" s="230"/>
      <c r="N637" s="230"/>
      <c r="O637" s="230"/>
      <c r="P637" s="230"/>
      <c r="Q637" s="230"/>
      <c r="R637" s="230"/>
      <c r="S637" s="230"/>
      <c r="T637" s="230"/>
      <c r="U637" s="230"/>
      <c r="V637" s="230"/>
      <c r="W637" s="230"/>
      <c r="X637" s="230"/>
      <c r="Y637" s="230"/>
      <c r="Z637" s="230"/>
    </row>
    <row r="638" spans="1:26" ht="15.75" customHeight="1">
      <c r="A638" s="230"/>
      <c r="B638" s="230"/>
      <c r="C638" s="230"/>
      <c r="D638" s="230"/>
      <c r="E638" s="230"/>
      <c r="F638" s="230"/>
      <c r="G638" s="230"/>
      <c r="H638" s="230"/>
      <c r="I638" s="230"/>
      <c r="J638" s="230"/>
      <c r="K638" s="230"/>
      <c r="L638" s="230"/>
      <c r="M638" s="230"/>
      <c r="N638" s="230"/>
      <c r="O638" s="230"/>
      <c r="P638" s="230"/>
      <c r="Q638" s="230"/>
      <c r="R638" s="230"/>
      <c r="S638" s="230"/>
      <c r="T638" s="230"/>
      <c r="U638" s="230"/>
      <c r="V638" s="230"/>
      <c r="W638" s="230"/>
      <c r="X638" s="230"/>
      <c r="Y638" s="230"/>
      <c r="Z638" s="230"/>
    </row>
    <row r="639" spans="1:26" ht="15.75" customHeight="1">
      <c r="A639" s="230"/>
      <c r="B639" s="230"/>
      <c r="C639" s="230"/>
      <c r="D639" s="230"/>
      <c r="E639" s="230"/>
      <c r="F639" s="230"/>
      <c r="G639" s="230"/>
      <c r="H639" s="230"/>
      <c r="I639" s="230"/>
      <c r="J639" s="230"/>
      <c r="K639" s="230"/>
      <c r="L639" s="230"/>
      <c r="M639" s="230"/>
      <c r="N639" s="230"/>
      <c r="O639" s="230"/>
      <c r="P639" s="230"/>
      <c r="Q639" s="230"/>
      <c r="R639" s="230"/>
      <c r="S639" s="230"/>
      <c r="T639" s="230"/>
      <c r="U639" s="230"/>
      <c r="V639" s="230"/>
      <c r="W639" s="230"/>
      <c r="X639" s="230"/>
      <c r="Y639" s="230"/>
      <c r="Z639" s="230"/>
    </row>
    <row r="640" spans="1:26" ht="15.75" customHeight="1">
      <c r="A640" s="230"/>
      <c r="B640" s="230"/>
      <c r="C640" s="230"/>
      <c r="D640" s="230"/>
      <c r="E640" s="230"/>
      <c r="F640" s="230"/>
      <c r="G640" s="230"/>
      <c r="H640" s="230"/>
      <c r="I640" s="230"/>
      <c r="J640" s="230"/>
      <c r="K640" s="230"/>
      <c r="L640" s="230"/>
      <c r="M640" s="230"/>
      <c r="N640" s="230"/>
      <c r="O640" s="230"/>
      <c r="P640" s="230"/>
      <c r="Q640" s="230"/>
      <c r="R640" s="230"/>
      <c r="S640" s="230"/>
      <c r="T640" s="230"/>
      <c r="U640" s="230"/>
      <c r="V640" s="230"/>
      <c r="W640" s="230"/>
      <c r="X640" s="230"/>
      <c r="Y640" s="230"/>
      <c r="Z640" s="230"/>
    </row>
    <row r="641" spans="1:26" ht="15.75" customHeight="1">
      <c r="A641" s="230"/>
      <c r="B641" s="230"/>
      <c r="C641" s="230"/>
      <c r="D641" s="230"/>
      <c r="E641" s="230"/>
      <c r="F641" s="230"/>
      <c r="G641" s="230"/>
      <c r="H641" s="230"/>
      <c r="I641" s="230"/>
      <c r="J641" s="230"/>
      <c r="K641" s="230"/>
      <c r="L641" s="230"/>
      <c r="M641" s="230"/>
      <c r="N641" s="230"/>
      <c r="O641" s="230"/>
      <c r="P641" s="230"/>
      <c r="Q641" s="230"/>
      <c r="R641" s="230"/>
      <c r="S641" s="230"/>
      <c r="T641" s="230"/>
      <c r="U641" s="230"/>
      <c r="V641" s="230"/>
      <c r="W641" s="230"/>
      <c r="X641" s="230"/>
      <c r="Y641" s="230"/>
      <c r="Z641" s="230"/>
    </row>
    <row r="642" spans="1:26" ht="15.75" customHeight="1">
      <c r="A642" s="230"/>
      <c r="B642" s="230"/>
      <c r="C642" s="230"/>
      <c r="D642" s="230"/>
      <c r="E642" s="230"/>
      <c r="F642" s="230"/>
      <c r="G642" s="230"/>
      <c r="H642" s="230"/>
      <c r="I642" s="230"/>
      <c r="J642" s="230"/>
      <c r="K642" s="230"/>
      <c r="L642" s="230"/>
      <c r="M642" s="230"/>
      <c r="N642" s="230"/>
      <c r="O642" s="230"/>
      <c r="P642" s="230"/>
      <c r="Q642" s="230"/>
      <c r="R642" s="230"/>
      <c r="S642" s="230"/>
      <c r="T642" s="230"/>
      <c r="U642" s="230"/>
      <c r="V642" s="230"/>
      <c r="W642" s="230"/>
      <c r="X642" s="230"/>
      <c r="Y642" s="230"/>
      <c r="Z642" s="230"/>
    </row>
    <row r="643" spans="1:26" ht="15.75" customHeight="1">
      <c r="A643" s="230"/>
      <c r="B643" s="230"/>
      <c r="C643" s="230"/>
      <c r="D643" s="230"/>
      <c r="E643" s="230"/>
      <c r="F643" s="230"/>
      <c r="G643" s="230"/>
      <c r="H643" s="230"/>
      <c r="I643" s="230"/>
      <c r="J643" s="230"/>
      <c r="K643" s="230"/>
      <c r="L643" s="230"/>
      <c r="M643" s="230"/>
      <c r="N643" s="230"/>
      <c r="O643" s="230"/>
      <c r="P643" s="230"/>
      <c r="Q643" s="230"/>
      <c r="R643" s="230"/>
      <c r="S643" s="230"/>
      <c r="T643" s="230"/>
      <c r="U643" s="230"/>
      <c r="V643" s="230"/>
      <c r="W643" s="230"/>
      <c r="X643" s="230"/>
      <c r="Y643" s="230"/>
      <c r="Z643" s="230"/>
    </row>
    <row r="644" spans="1:26" ht="15.75" customHeight="1">
      <c r="A644" s="230"/>
      <c r="B644" s="230"/>
      <c r="C644" s="230"/>
      <c r="D644" s="230"/>
      <c r="E644" s="230"/>
      <c r="F644" s="230"/>
      <c r="G644" s="230"/>
      <c r="H644" s="230"/>
      <c r="I644" s="230"/>
      <c r="J644" s="230"/>
      <c r="K644" s="230"/>
      <c r="L644" s="230"/>
      <c r="M644" s="230"/>
      <c r="N644" s="230"/>
      <c r="O644" s="230"/>
      <c r="P644" s="230"/>
      <c r="Q644" s="230"/>
      <c r="R644" s="230"/>
      <c r="S644" s="230"/>
      <c r="T644" s="230"/>
      <c r="U644" s="230"/>
      <c r="V644" s="230"/>
      <c r="W644" s="230"/>
      <c r="X644" s="230"/>
      <c r="Y644" s="230"/>
      <c r="Z644" s="230"/>
    </row>
    <row r="645" spans="1:26" ht="15.75" customHeight="1">
      <c r="A645" s="230"/>
      <c r="B645" s="230"/>
      <c r="C645" s="230"/>
      <c r="D645" s="230"/>
      <c r="E645" s="230"/>
      <c r="F645" s="230"/>
      <c r="G645" s="230"/>
      <c r="H645" s="230"/>
      <c r="I645" s="230"/>
      <c r="J645" s="230"/>
      <c r="K645" s="230"/>
      <c r="L645" s="230"/>
      <c r="M645" s="230"/>
      <c r="N645" s="230"/>
      <c r="O645" s="230"/>
      <c r="P645" s="230"/>
      <c r="Q645" s="230"/>
      <c r="R645" s="230"/>
      <c r="S645" s="230"/>
      <c r="T645" s="230"/>
      <c r="U645" s="230"/>
      <c r="V645" s="230"/>
      <c r="W645" s="230"/>
      <c r="X645" s="230"/>
      <c r="Y645" s="230"/>
      <c r="Z645" s="230"/>
    </row>
    <row r="646" spans="1:26" ht="15.75" customHeight="1">
      <c r="A646" s="230"/>
      <c r="B646" s="230"/>
      <c r="C646" s="230"/>
      <c r="D646" s="230"/>
      <c r="E646" s="230"/>
      <c r="F646" s="230"/>
      <c r="G646" s="230"/>
      <c r="H646" s="230"/>
      <c r="I646" s="230"/>
      <c r="J646" s="230"/>
      <c r="K646" s="230"/>
      <c r="L646" s="230"/>
      <c r="M646" s="230"/>
      <c r="N646" s="230"/>
      <c r="O646" s="230"/>
      <c r="P646" s="230"/>
      <c r="Q646" s="230"/>
      <c r="R646" s="230"/>
      <c r="S646" s="230"/>
      <c r="T646" s="230"/>
      <c r="U646" s="230"/>
      <c r="V646" s="230"/>
      <c r="W646" s="230"/>
      <c r="X646" s="230"/>
      <c r="Y646" s="230"/>
      <c r="Z646" s="230"/>
    </row>
    <row r="647" spans="1:26" ht="15.75" customHeight="1">
      <c r="A647" s="230"/>
      <c r="B647" s="230"/>
      <c r="C647" s="230"/>
      <c r="D647" s="230"/>
      <c r="E647" s="230"/>
      <c r="F647" s="230"/>
      <c r="G647" s="230"/>
      <c r="H647" s="230"/>
      <c r="I647" s="230"/>
      <c r="J647" s="230"/>
      <c r="K647" s="230"/>
      <c r="L647" s="230"/>
      <c r="M647" s="230"/>
      <c r="N647" s="230"/>
      <c r="O647" s="230"/>
      <c r="P647" s="230"/>
      <c r="Q647" s="230"/>
      <c r="R647" s="230"/>
      <c r="S647" s="230"/>
      <c r="T647" s="230"/>
      <c r="U647" s="230"/>
      <c r="V647" s="230"/>
      <c r="W647" s="230"/>
      <c r="X647" s="230"/>
      <c r="Y647" s="230"/>
      <c r="Z647" s="230"/>
    </row>
    <row r="648" spans="1:26" ht="15.75" customHeight="1">
      <c r="A648" s="230"/>
      <c r="B648" s="230"/>
      <c r="C648" s="230"/>
      <c r="D648" s="230"/>
      <c r="E648" s="230"/>
      <c r="F648" s="230"/>
      <c r="G648" s="230"/>
      <c r="H648" s="230"/>
      <c r="I648" s="230"/>
      <c r="J648" s="230"/>
      <c r="K648" s="230"/>
      <c r="L648" s="230"/>
      <c r="M648" s="230"/>
      <c r="N648" s="230"/>
      <c r="O648" s="230"/>
      <c r="P648" s="230"/>
      <c r="Q648" s="230"/>
      <c r="R648" s="230"/>
      <c r="S648" s="230"/>
      <c r="T648" s="230"/>
      <c r="U648" s="230"/>
      <c r="V648" s="230"/>
      <c r="W648" s="230"/>
      <c r="X648" s="230"/>
      <c r="Y648" s="230"/>
      <c r="Z648" s="230"/>
    </row>
    <row r="649" spans="1:26" ht="15.75" customHeight="1">
      <c r="A649" s="230"/>
      <c r="B649" s="230"/>
      <c r="C649" s="230"/>
      <c r="D649" s="230"/>
      <c r="E649" s="230"/>
      <c r="F649" s="230"/>
      <c r="G649" s="230"/>
      <c r="H649" s="230"/>
      <c r="I649" s="230"/>
      <c r="J649" s="230"/>
      <c r="K649" s="230"/>
      <c r="L649" s="230"/>
      <c r="M649" s="230"/>
      <c r="N649" s="230"/>
      <c r="O649" s="230"/>
      <c r="P649" s="230"/>
      <c r="Q649" s="230"/>
      <c r="R649" s="230"/>
      <c r="S649" s="230"/>
      <c r="T649" s="230"/>
      <c r="U649" s="230"/>
      <c r="V649" s="230"/>
      <c r="W649" s="230"/>
      <c r="X649" s="230"/>
      <c r="Y649" s="230"/>
      <c r="Z649" s="230"/>
    </row>
    <row r="650" spans="1:26" ht="15.75" customHeight="1">
      <c r="A650" s="230"/>
      <c r="B650" s="230"/>
      <c r="C650" s="230"/>
      <c r="D650" s="230"/>
      <c r="E650" s="230"/>
      <c r="F650" s="230"/>
      <c r="G650" s="230"/>
      <c r="H650" s="230"/>
      <c r="I650" s="230"/>
      <c r="J650" s="230"/>
      <c r="K650" s="230"/>
      <c r="L650" s="230"/>
      <c r="M650" s="230"/>
      <c r="N650" s="230"/>
      <c r="O650" s="230"/>
      <c r="P650" s="230"/>
      <c r="Q650" s="230"/>
      <c r="R650" s="230"/>
      <c r="S650" s="230"/>
      <c r="T650" s="230"/>
      <c r="U650" s="230"/>
      <c r="V650" s="230"/>
      <c r="W650" s="230"/>
      <c r="X650" s="230"/>
      <c r="Y650" s="230"/>
      <c r="Z650" s="230"/>
    </row>
    <row r="651" spans="1:26" ht="15.75" customHeight="1">
      <c r="A651" s="230"/>
      <c r="B651" s="230"/>
      <c r="C651" s="230"/>
      <c r="D651" s="230"/>
      <c r="E651" s="230"/>
      <c r="F651" s="230"/>
      <c r="G651" s="230"/>
      <c r="H651" s="230"/>
      <c r="I651" s="230"/>
      <c r="J651" s="230"/>
      <c r="K651" s="230"/>
      <c r="L651" s="230"/>
      <c r="M651" s="230"/>
      <c r="N651" s="230"/>
      <c r="O651" s="230"/>
      <c r="P651" s="230"/>
      <c r="Q651" s="230"/>
      <c r="R651" s="230"/>
      <c r="S651" s="230"/>
      <c r="T651" s="230"/>
      <c r="U651" s="230"/>
      <c r="V651" s="230"/>
      <c r="W651" s="230"/>
      <c r="X651" s="230"/>
      <c r="Y651" s="230"/>
      <c r="Z651" s="230"/>
    </row>
    <row r="652" spans="1:26" ht="15.75" customHeight="1">
      <c r="A652" s="230"/>
      <c r="B652" s="230"/>
      <c r="C652" s="230"/>
      <c r="D652" s="230"/>
      <c r="E652" s="230"/>
      <c r="F652" s="230"/>
      <c r="G652" s="230"/>
      <c r="H652" s="230"/>
      <c r="I652" s="230"/>
      <c r="J652" s="230"/>
      <c r="K652" s="230"/>
      <c r="L652" s="230"/>
      <c r="M652" s="230"/>
      <c r="N652" s="230"/>
      <c r="O652" s="230"/>
      <c r="P652" s="230"/>
      <c r="Q652" s="230"/>
      <c r="R652" s="230"/>
      <c r="S652" s="230"/>
      <c r="T652" s="230"/>
      <c r="U652" s="230"/>
      <c r="V652" s="230"/>
      <c r="W652" s="230"/>
      <c r="X652" s="230"/>
      <c r="Y652" s="230"/>
      <c r="Z652" s="230"/>
    </row>
    <row r="653" spans="1:26" ht="15.75" customHeight="1">
      <c r="A653" s="230"/>
      <c r="B653" s="230"/>
      <c r="C653" s="230"/>
      <c r="D653" s="230"/>
      <c r="E653" s="230"/>
      <c r="F653" s="230"/>
      <c r="G653" s="230"/>
      <c r="H653" s="230"/>
      <c r="I653" s="230"/>
      <c r="J653" s="230"/>
      <c r="K653" s="230"/>
      <c r="L653" s="230"/>
      <c r="M653" s="230"/>
      <c r="N653" s="230"/>
      <c r="O653" s="230"/>
      <c r="P653" s="230"/>
      <c r="Q653" s="230"/>
      <c r="R653" s="230"/>
      <c r="S653" s="230"/>
      <c r="T653" s="230"/>
      <c r="U653" s="230"/>
      <c r="V653" s="230"/>
      <c r="W653" s="230"/>
      <c r="X653" s="230"/>
      <c r="Y653" s="230"/>
      <c r="Z653" s="230"/>
    </row>
    <row r="654" spans="1:26" ht="15.75" customHeight="1">
      <c r="A654" s="230"/>
      <c r="B654" s="230"/>
      <c r="C654" s="230"/>
      <c r="D654" s="230"/>
      <c r="E654" s="230"/>
      <c r="F654" s="230"/>
      <c r="G654" s="230"/>
      <c r="H654" s="230"/>
      <c r="I654" s="230"/>
      <c r="J654" s="230"/>
      <c r="K654" s="230"/>
      <c r="L654" s="230"/>
      <c r="M654" s="230"/>
      <c r="N654" s="230"/>
      <c r="O654" s="230"/>
      <c r="P654" s="230"/>
      <c r="Q654" s="230"/>
      <c r="R654" s="230"/>
      <c r="S654" s="230"/>
      <c r="T654" s="230"/>
      <c r="U654" s="230"/>
      <c r="V654" s="230"/>
      <c r="W654" s="230"/>
      <c r="X654" s="230"/>
      <c r="Y654" s="230"/>
      <c r="Z654" s="230"/>
    </row>
    <row r="655" spans="1:26" ht="15.75" customHeight="1">
      <c r="A655" s="230"/>
      <c r="B655" s="230"/>
      <c r="C655" s="230"/>
      <c r="D655" s="230"/>
      <c r="E655" s="230"/>
      <c r="F655" s="230"/>
      <c r="G655" s="230"/>
      <c r="H655" s="230"/>
      <c r="I655" s="230"/>
      <c r="J655" s="230"/>
      <c r="K655" s="230"/>
      <c r="L655" s="230"/>
      <c r="M655" s="230"/>
      <c r="N655" s="230"/>
      <c r="O655" s="230"/>
      <c r="P655" s="230"/>
      <c r="Q655" s="230"/>
      <c r="R655" s="230"/>
      <c r="S655" s="230"/>
      <c r="T655" s="230"/>
      <c r="U655" s="230"/>
      <c r="V655" s="230"/>
      <c r="W655" s="230"/>
      <c r="X655" s="230"/>
      <c r="Y655" s="230"/>
      <c r="Z655" s="230"/>
    </row>
    <row r="656" spans="1:26" ht="15.75" customHeight="1">
      <c r="A656" s="230"/>
      <c r="B656" s="230"/>
      <c r="C656" s="230"/>
      <c r="D656" s="230"/>
      <c r="E656" s="230"/>
      <c r="F656" s="230"/>
      <c r="G656" s="230"/>
      <c r="H656" s="230"/>
      <c r="I656" s="230"/>
      <c r="J656" s="230"/>
      <c r="K656" s="230"/>
      <c r="L656" s="230"/>
      <c r="M656" s="230"/>
      <c r="N656" s="230"/>
      <c r="O656" s="230"/>
      <c r="P656" s="230"/>
      <c r="Q656" s="230"/>
      <c r="R656" s="230"/>
      <c r="S656" s="230"/>
      <c r="T656" s="230"/>
      <c r="U656" s="230"/>
      <c r="V656" s="230"/>
      <c r="W656" s="230"/>
      <c r="X656" s="230"/>
      <c r="Y656" s="230"/>
      <c r="Z656" s="230"/>
    </row>
    <row r="657" spans="1:26" ht="15.75" customHeight="1">
      <c r="A657" s="230"/>
      <c r="B657" s="230"/>
      <c r="C657" s="230"/>
      <c r="D657" s="230"/>
      <c r="E657" s="230"/>
      <c r="F657" s="230"/>
      <c r="G657" s="230"/>
      <c r="H657" s="230"/>
      <c r="I657" s="230"/>
      <c r="J657" s="230"/>
      <c r="K657" s="230"/>
      <c r="L657" s="230"/>
      <c r="M657" s="230"/>
      <c r="N657" s="230"/>
      <c r="O657" s="230"/>
      <c r="P657" s="230"/>
      <c r="Q657" s="230"/>
      <c r="R657" s="230"/>
      <c r="S657" s="230"/>
      <c r="T657" s="230"/>
      <c r="U657" s="230"/>
      <c r="V657" s="230"/>
      <c r="W657" s="230"/>
      <c r="X657" s="230"/>
      <c r="Y657" s="230"/>
      <c r="Z657" s="230"/>
    </row>
    <row r="658" spans="1:26" ht="15.75" customHeight="1">
      <c r="A658" s="230"/>
      <c r="B658" s="230"/>
      <c r="C658" s="230"/>
      <c r="D658" s="230"/>
      <c r="E658" s="230"/>
      <c r="F658" s="230"/>
      <c r="G658" s="230"/>
      <c r="H658" s="230"/>
      <c r="I658" s="230"/>
      <c r="J658" s="230"/>
      <c r="K658" s="230"/>
      <c r="L658" s="230"/>
      <c r="M658" s="230"/>
      <c r="N658" s="230"/>
      <c r="O658" s="230"/>
      <c r="P658" s="230"/>
      <c r="Q658" s="230"/>
      <c r="R658" s="230"/>
      <c r="S658" s="230"/>
      <c r="T658" s="230"/>
      <c r="U658" s="230"/>
      <c r="V658" s="230"/>
      <c r="W658" s="230"/>
      <c r="X658" s="230"/>
      <c r="Y658" s="230"/>
      <c r="Z658" s="230"/>
    </row>
    <row r="659" spans="1:26" ht="15.75" customHeight="1">
      <c r="A659" s="230"/>
      <c r="B659" s="230"/>
      <c r="C659" s="230"/>
      <c r="D659" s="230"/>
      <c r="E659" s="230"/>
      <c r="F659" s="230"/>
      <c r="G659" s="230"/>
      <c r="H659" s="230"/>
      <c r="I659" s="230"/>
      <c r="J659" s="230"/>
      <c r="K659" s="230"/>
      <c r="L659" s="230"/>
      <c r="M659" s="230"/>
      <c r="N659" s="230"/>
      <c r="O659" s="230"/>
      <c r="P659" s="230"/>
      <c r="Q659" s="230"/>
      <c r="R659" s="230"/>
      <c r="S659" s="230"/>
      <c r="T659" s="230"/>
      <c r="U659" s="230"/>
      <c r="V659" s="230"/>
      <c r="W659" s="230"/>
      <c r="X659" s="230"/>
      <c r="Y659" s="230"/>
      <c r="Z659" s="230"/>
    </row>
    <row r="660" spans="1:26" ht="15.75" customHeight="1">
      <c r="A660" s="230"/>
      <c r="B660" s="230"/>
      <c r="C660" s="230"/>
      <c r="D660" s="230"/>
      <c r="E660" s="230"/>
      <c r="F660" s="230"/>
      <c r="G660" s="230"/>
      <c r="H660" s="230"/>
      <c r="I660" s="230"/>
      <c r="J660" s="230"/>
      <c r="K660" s="230"/>
      <c r="L660" s="230"/>
      <c r="M660" s="230"/>
      <c r="N660" s="230"/>
      <c r="O660" s="230"/>
      <c r="P660" s="230"/>
      <c r="Q660" s="230"/>
      <c r="R660" s="230"/>
      <c r="S660" s="230"/>
      <c r="T660" s="230"/>
      <c r="U660" s="230"/>
      <c r="V660" s="230"/>
      <c r="W660" s="230"/>
      <c r="X660" s="230"/>
      <c r="Y660" s="230"/>
      <c r="Z660" s="230"/>
    </row>
    <row r="661" spans="1:26" ht="15.75" customHeight="1">
      <c r="A661" s="230"/>
      <c r="B661" s="230"/>
      <c r="C661" s="230"/>
      <c r="D661" s="230"/>
      <c r="E661" s="230"/>
      <c r="F661" s="230"/>
      <c r="G661" s="230"/>
      <c r="H661" s="230"/>
      <c r="I661" s="230"/>
      <c r="J661" s="230"/>
      <c r="K661" s="230"/>
      <c r="L661" s="230"/>
      <c r="M661" s="230"/>
      <c r="N661" s="230"/>
      <c r="O661" s="230"/>
      <c r="P661" s="230"/>
      <c r="Q661" s="230"/>
      <c r="R661" s="230"/>
      <c r="S661" s="230"/>
      <c r="T661" s="230"/>
      <c r="U661" s="230"/>
      <c r="V661" s="230"/>
      <c r="W661" s="230"/>
      <c r="X661" s="230"/>
      <c r="Y661" s="230"/>
      <c r="Z661" s="230"/>
    </row>
    <row r="662" spans="1:26" ht="15.75" customHeight="1">
      <c r="A662" s="230"/>
      <c r="B662" s="230"/>
      <c r="C662" s="230"/>
      <c r="D662" s="230"/>
      <c r="E662" s="230"/>
      <c r="F662" s="230"/>
      <c r="G662" s="230"/>
      <c r="H662" s="230"/>
      <c r="I662" s="230"/>
      <c r="J662" s="230"/>
      <c r="K662" s="230"/>
      <c r="L662" s="230"/>
      <c r="M662" s="230"/>
      <c r="N662" s="230"/>
      <c r="O662" s="230"/>
      <c r="P662" s="230"/>
      <c r="Q662" s="230"/>
      <c r="R662" s="230"/>
      <c r="S662" s="230"/>
      <c r="T662" s="230"/>
      <c r="U662" s="230"/>
      <c r="V662" s="230"/>
      <c r="W662" s="230"/>
      <c r="X662" s="230"/>
      <c r="Y662" s="230"/>
      <c r="Z662" s="230"/>
    </row>
    <row r="663" spans="1:26" ht="15.75" customHeight="1">
      <c r="A663" s="230"/>
      <c r="B663" s="230"/>
      <c r="C663" s="230"/>
      <c r="D663" s="230"/>
      <c r="E663" s="230"/>
      <c r="F663" s="230"/>
      <c r="G663" s="230"/>
      <c r="H663" s="230"/>
      <c r="I663" s="230"/>
      <c r="J663" s="230"/>
      <c r="K663" s="230"/>
      <c r="L663" s="230"/>
      <c r="M663" s="230"/>
      <c r="N663" s="230"/>
      <c r="O663" s="230"/>
      <c r="P663" s="230"/>
      <c r="Q663" s="230"/>
      <c r="R663" s="230"/>
      <c r="S663" s="230"/>
      <c r="T663" s="230"/>
      <c r="U663" s="230"/>
      <c r="V663" s="230"/>
      <c r="W663" s="230"/>
      <c r="X663" s="230"/>
      <c r="Y663" s="230"/>
      <c r="Z663" s="230"/>
    </row>
    <row r="664" spans="1:26" ht="15.75" customHeight="1">
      <c r="A664" s="230"/>
      <c r="B664" s="230"/>
      <c r="C664" s="230"/>
      <c r="D664" s="230"/>
      <c r="E664" s="230"/>
      <c r="F664" s="230"/>
      <c r="G664" s="230"/>
      <c r="H664" s="230"/>
      <c r="I664" s="230"/>
      <c r="J664" s="230"/>
      <c r="K664" s="230"/>
      <c r="L664" s="230"/>
      <c r="M664" s="230"/>
      <c r="N664" s="230"/>
      <c r="O664" s="230"/>
      <c r="P664" s="230"/>
      <c r="Q664" s="230"/>
      <c r="R664" s="230"/>
      <c r="S664" s="230"/>
      <c r="T664" s="230"/>
      <c r="U664" s="230"/>
      <c r="V664" s="230"/>
      <c r="W664" s="230"/>
      <c r="X664" s="230"/>
      <c r="Y664" s="230"/>
      <c r="Z664" s="230"/>
    </row>
    <row r="665" spans="1:26" ht="15.75" customHeight="1">
      <c r="A665" s="230"/>
      <c r="B665" s="230"/>
      <c r="C665" s="230"/>
      <c r="D665" s="230"/>
      <c r="E665" s="230"/>
      <c r="F665" s="230"/>
      <c r="G665" s="230"/>
      <c r="H665" s="230"/>
      <c r="I665" s="230"/>
      <c r="J665" s="230"/>
      <c r="K665" s="230"/>
      <c r="L665" s="230"/>
      <c r="M665" s="230"/>
      <c r="N665" s="230"/>
      <c r="O665" s="230"/>
      <c r="P665" s="230"/>
      <c r="Q665" s="230"/>
      <c r="R665" s="230"/>
      <c r="S665" s="230"/>
      <c r="T665" s="230"/>
      <c r="U665" s="230"/>
      <c r="V665" s="230"/>
      <c r="W665" s="230"/>
      <c r="X665" s="230"/>
      <c r="Y665" s="230"/>
      <c r="Z665" s="230"/>
    </row>
    <row r="666" spans="1:26" ht="15.75" customHeight="1">
      <c r="A666" s="230"/>
      <c r="B666" s="230"/>
      <c r="C666" s="230"/>
      <c r="D666" s="230"/>
      <c r="E666" s="230"/>
      <c r="F666" s="230"/>
      <c r="G666" s="230"/>
      <c r="H666" s="230"/>
      <c r="I666" s="230"/>
      <c r="J666" s="230"/>
      <c r="K666" s="230"/>
      <c r="L666" s="230"/>
      <c r="M666" s="230"/>
      <c r="N666" s="230"/>
      <c r="O666" s="230"/>
      <c r="P666" s="230"/>
      <c r="Q666" s="230"/>
      <c r="R666" s="230"/>
      <c r="S666" s="230"/>
      <c r="T666" s="230"/>
      <c r="U666" s="230"/>
      <c r="V666" s="230"/>
      <c r="W666" s="230"/>
      <c r="X666" s="230"/>
      <c r="Y666" s="230"/>
      <c r="Z666" s="230"/>
    </row>
    <row r="667" spans="1:26" ht="15.75" customHeight="1">
      <c r="A667" s="230"/>
      <c r="B667" s="230"/>
      <c r="C667" s="230"/>
      <c r="D667" s="230"/>
      <c r="E667" s="230"/>
      <c r="F667" s="230"/>
      <c r="G667" s="230"/>
      <c r="H667" s="230"/>
      <c r="I667" s="230"/>
      <c r="J667" s="230"/>
      <c r="K667" s="230"/>
      <c r="L667" s="230"/>
      <c r="M667" s="230"/>
      <c r="N667" s="230"/>
      <c r="O667" s="230"/>
      <c r="P667" s="230"/>
      <c r="Q667" s="230"/>
      <c r="R667" s="230"/>
      <c r="S667" s="230"/>
      <c r="T667" s="230"/>
      <c r="U667" s="230"/>
      <c r="V667" s="230"/>
      <c r="W667" s="230"/>
      <c r="X667" s="230"/>
      <c r="Y667" s="230"/>
      <c r="Z667" s="230"/>
    </row>
    <row r="668" spans="1:26" ht="15.75" customHeight="1">
      <c r="A668" s="230"/>
      <c r="B668" s="230"/>
      <c r="C668" s="230"/>
      <c r="D668" s="230"/>
      <c r="E668" s="230"/>
      <c r="F668" s="230"/>
      <c r="G668" s="230"/>
      <c r="H668" s="230"/>
      <c r="I668" s="230"/>
      <c r="J668" s="230"/>
      <c r="K668" s="230"/>
      <c r="L668" s="230"/>
      <c r="M668" s="230"/>
      <c r="N668" s="230"/>
      <c r="O668" s="230"/>
      <c r="P668" s="230"/>
      <c r="Q668" s="230"/>
      <c r="R668" s="230"/>
      <c r="S668" s="230"/>
      <c r="T668" s="230"/>
      <c r="U668" s="230"/>
      <c r="V668" s="230"/>
      <c r="W668" s="230"/>
      <c r="X668" s="230"/>
      <c r="Y668" s="230"/>
      <c r="Z668" s="230"/>
    </row>
    <row r="669" spans="1:26" ht="15.75" customHeight="1">
      <c r="A669" s="230"/>
      <c r="B669" s="230"/>
      <c r="C669" s="230"/>
      <c r="D669" s="230"/>
      <c r="E669" s="230"/>
      <c r="F669" s="230"/>
      <c r="G669" s="230"/>
      <c r="H669" s="230"/>
      <c r="I669" s="230"/>
      <c r="J669" s="230"/>
      <c r="K669" s="230"/>
      <c r="L669" s="230"/>
      <c r="M669" s="230"/>
      <c r="N669" s="230"/>
      <c r="O669" s="230"/>
      <c r="P669" s="230"/>
      <c r="Q669" s="230"/>
      <c r="R669" s="230"/>
      <c r="S669" s="230"/>
      <c r="T669" s="230"/>
      <c r="U669" s="230"/>
      <c r="V669" s="230"/>
      <c r="W669" s="230"/>
      <c r="X669" s="230"/>
      <c r="Y669" s="230"/>
      <c r="Z669" s="230"/>
    </row>
    <row r="670" spans="1:26" ht="15.75" customHeight="1">
      <c r="A670" s="230"/>
      <c r="B670" s="230"/>
      <c r="C670" s="230"/>
      <c r="D670" s="230"/>
      <c r="E670" s="230"/>
      <c r="F670" s="230"/>
      <c r="G670" s="230"/>
      <c r="H670" s="230"/>
      <c r="I670" s="230"/>
      <c r="J670" s="230"/>
      <c r="K670" s="230"/>
      <c r="L670" s="230"/>
      <c r="M670" s="230"/>
      <c r="N670" s="230"/>
      <c r="O670" s="230"/>
      <c r="P670" s="230"/>
      <c r="Q670" s="230"/>
      <c r="R670" s="230"/>
      <c r="S670" s="230"/>
      <c r="T670" s="230"/>
      <c r="U670" s="230"/>
      <c r="V670" s="230"/>
      <c r="W670" s="230"/>
      <c r="X670" s="230"/>
      <c r="Y670" s="230"/>
      <c r="Z670" s="230"/>
    </row>
    <row r="671" spans="1:26" ht="15.75" customHeight="1">
      <c r="A671" s="230"/>
      <c r="B671" s="230"/>
      <c r="C671" s="230"/>
      <c r="D671" s="230"/>
      <c r="E671" s="230"/>
      <c r="F671" s="230"/>
      <c r="G671" s="230"/>
      <c r="H671" s="230"/>
      <c r="I671" s="230"/>
      <c r="J671" s="230"/>
      <c r="K671" s="230"/>
      <c r="L671" s="230"/>
      <c r="M671" s="230"/>
      <c r="N671" s="230"/>
      <c r="O671" s="230"/>
      <c r="P671" s="230"/>
      <c r="Q671" s="230"/>
      <c r="R671" s="230"/>
      <c r="S671" s="230"/>
      <c r="T671" s="230"/>
      <c r="U671" s="230"/>
      <c r="V671" s="230"/>
      <c r="W671" s="230"/>
      <c r="X671" s="230"/>
      <c r="Y671" s="230"/>
      <c r="Z671" s="230"/>
    </row>
    <row r="672" spans="1:26" ht="15.75" customHeight="1">
      <c r="A672" s="230"/>
      <c r="B672" s="230"/>
      <c r="C672" s="230"/>
      <c r="D672" s="230"/>
      <c r="E672" s="230"/>
      <c r="F672" s="230"/>
      <c r="G672" s="230"/>
      <c r="H672" s="230"/>
      <c r="I672" s="230"/>
      <c r="J672" s="230"/>
      <c r="K672" s="230"/>
      <c r="L672" s="230"/>
      <c r="M672" s="230"/>
      <c r="N672" s="230"/>
      <c r="O672" s="230"/>
      <c r="P672" s="230"/>
      <c r="Q672" s="230"/>
      <c r="R672" s="230"/>
      <c r="S672" s="230"/>
      <c r="T672" s="230"/>
      <c r="U672" s="230"/>
      <c r="V672" s="230"/>
      <c r="W672" s="230"/>
      <c r="X672" s="230"/>
      <c r="Y672" s="230"/>
      <c r="Z672" s="230"/>
    </row>
    <row r="673" spans="1:26" ht="15.75" customHeight="1">
      <c r="A673" s="230"/>
      <c r="B673" s="230"/>
      <c r="C673" s="230"/>
      <c r="D673" s="230"/>
      <c r="E673" s="230"/>
      <c r="F673" s="230"/>
      <c r="G673" s="230"/>
      <c r="H673" s="230"/>
      <c r="I673" s="230"/>
      <c r="J673" s="230"/>
      <c r="K673" s="230"/>
      <c r="L673" s="230"/>
      <c r="M673" s="230"/>
      <c r="N673" s="230"/>
      <c r="O673" s="230"/>
      <c r="P673" s="230"/>
      <c r="Q673" s="230"/>
      <c r="R673" s="230"/>
      <c r="S673" s="230"/>
      <c r="T673" s="230"/>
      <c r="U673" s="230"/>
      <c r="V673" s="230"/>
      <c r="W673" s="230"/>
      <c r="X673" s="230"/>
      <c r="Y673" s="230"/>
      <c r="Z673" s="230"/>
    </row>
    <row r="674" spans="1:26" ht="15.75" customHeight="1">
      <c r="A674" s="230"/>
      <c r="B674" s="230"/>
      <c r="C674" s="230"/>
      <c r="D674" s="230"/>
      <c r="E674" s="230"/>
      <c r="F674" s="230"/>
      <c r="G674" s="230"/>
      <c r="H674" s="230"/>
      <c r="I674" s="230"/>
      <c r="J674" s="230"/>
      <c r="K674" s="230"/>
      <c r="L674" s="230"/>
      <c r="M674" s="230"/>
      <c r="N674" s="230"/>
      <c r="O674" s="230"/>
      <c r="P674" s="230"/>
      <c r="Q674" s="230"/>
      <c r="R674" s="230"/>
      <c r="S674" s="230"/>
      <c r="T674" s="230"/>
      <c r="U674" s="230"/>
      <c r="V674" s="230"/>
      <c r="W674" s="230"/>
      <c r="X674" s="230"/>
      <c r="Y674" s="230"/>
      <c r="Z674" s="230"/>
    </row>
    <row r="675" spans="1:26" ht="15.75" customHeight="1">
      <c r="A675" s="230"/>
      <c r="B675" s="230"/>
      <c r="C675" s="230"/>
      <c r="D675" s="230"/>
      <c r="E675" s="230"/>
      <c r="F675" s="230"/>
      <c r="G675" s="230"/>
      <c r="H675" s="230"/>
      <c r="I675" s="230"/>
      <c r="J675" s="230"/>
      <c r="K675" s="230"/>
      <c r="L675" s="230"/>
      <c r="M675" s="230"/>
      <c r="N675" s="230"/>
      <c r="O675" s="230"/>
      <c r="P675" s="230"/>
      <c r="Q675" s="230"/>
      <c r="R675" s="230"/>
      <c r="S675" s="230"/>
      <c r="T675" s="230"/>
      <c r="U675" s="230"/>
      <c r="V675" s="230"/>
      <c r="W675" s="230"/>
      <c r="X675" s="230"/>
      <c r="Y675" s="230"/>
      <c r="Z675" s="230"/>
    </row>
    <row r="676" spans="1:26" ht="15.75" customHeight="1">
      <c r="A676" s="230"/>
      <c r="B676" s="230"/>
      <c r="C676" s="230"/>
      <c r="D676" s="230"/>
      <c r="E676" s="230"/>
      <c r="F676" s="230"/>
      <c r="G676" s="230"/>
      <c r="H676" s="230"/>
      <c r="I676" s="230"/>
      <c r="J676" s="230"/>
      <c r="K676" s="230"/>
      <c r="L676" s="230"/>
      <c r="M676" s="230"/>
      <c r="N676" s="230"/>
      <c r="O676" s="230"/>
      <c r="P676" s="230"/>
      <c r="Q676" s="230"/>
      <c r="R676" s="230"/>
      <c r="S676" s="230"/>
      <c r="T676" s="230"/>
      <c r="U676" s="230"/>
      <c r="V676" s="230"/>
      <c r="W676" s="230"/>
      <c r="X676" s="230"/>
      <c r="Y676" s="230"/>
      <c r="Z676" s="230"/>
    </row>
    <row r="677" spans="1:26" ht="15.75" customHeight="1">
      <c r="A677" s="230"/>
      <c r="B677" s="230"/>
      <c r="C677" s="230"/>
      <c r="D677" s="230"/>
      <c r="E677" s="230"/>
      <c r="F677" s="230"/>
      <c r="G677" s="230"/>
      <c r="H677" s="230"/>
      <c r="I677" s="230"/>
      <c r="J677" s="230"/>
      <c r="K677" s="230"/>
      <c r="L677" s="230"/>
      <c r="M677" s="230"/>
      <c r="N677" s="230"/>
      <c r="O677" s="230"/>
      <c r="P677" s="230"/>
      <c r="Q677" s="230"/>
      <c r="R677" s="230"/>
      <c r="S677" s="230"/>
      <c r="T677" s="230"/>
      <c r="U677" s="230"/>
      <c r="V677" s="230"/>
      <c r="W677" s="230"/>
      <c r="X677" s="230"/>
      <c r="Y677" s="230"/>
      <c r="Z677" s="230"/>
    </row>
    <row r="678" spans="1:26" ht="15.75" customHeight="1">
      <c r="A678" s="230"/>
      <c r="B678" s="230"/>
      <c r="C678" s="230"/>
      <c r="D678" s="230"/>
      <c r="E678" s="230"/>
      <c r="F678" s="230"/>
      <c r="G678" s="230"/>
      <c r="H678" s="230"/>
      <c r="I678" s="230"/>
      <c r="J678" s="230"/>
      <c r="K678" s="230"/>
      <c r="L678" s="230"/>
      <c r="M678" s="230"/>
      <c r="N678" s="230"/>
      <c r="O678" s="230"/>
      <c r="P678" s="230"/>
      <c r="Q678" s="230"/>
      <c r="R678" s="230"/>
      <c r="S678" s="230"/>
      <c r="T678" s="230"/>
      <c r="U678" s="230"/>
      <c r="V678" s="230"/>
      <c r="W678" s="230"/>
      <c r="X678" s="230"/>
      <c r="Y678" s="230"/>
      <c r="Z678" s="230"/>
    </row>
    <row r="679" spans="1:26" ht="15.75" customHeight="1">
      <c r="A679" s="230"/>
      <c r="B679" s="230"/>
      <c r="C679" s="230"/>
      <c r="D679" s="230"/>
      <c r="E679" s="230"/>
      <c r="F679" s="230"/>
      <c r="G679" s="230"/>
      <c r="H679" s="230"/>
      <c r="I679" s="230"/>
      <c r="J679" s="230"/>
      <c r="K679" s="230"/>
      <c r="L679" s="230"/>
      <c r="M679" s="230"/>
      <c r="N679" s="230"/>
      <c r="O679" s="230"/>
      <c r="P679" s="230"/>
      <c r="Q679" s="230"/>
      <c r="R679" s="230"/>
      <c r="S679" s="230"/>
      <c r="T679" s="230"/>
      <c r="U679" s="230"/>
      <c r="V679" s="230"/>
      <c r="W679" s="230"/>
      <c r="X679" s="230"/>
      <c r="Y679" s="230"/>
      <c r="Z679" s="230"/>
    </row>
    <row r="680" spans="1:26" ht="15.75" customHeight="1">
      <c r="A680" s="230"/>
      <c r="B680" s="230"/>
      <c r="C680" s="230"/>
      <c r="D680" s="230"/>
      <c r="E680" s="230"/>
      <c r="F680" s="230"/>
      <c r="G680" s="230"/>
      <c r="H680" s="230"/>
      <c r="I680" s="230"/>
      <c r="J680" s="230"/>
      <c r="K680" s="230"/>
      <c r="L680" s="230"/>
      <c r="M680" s="230"/>
      <c r="N680" s="230"/>
      <c r="O680" s="230"/>
      <c r="P680" s="230"/>
      <c r="Q680" s="230"/>
      <c r="R680" s="230"/>
      <c r="S680" s="230"/>
      <c r="T680" s="230"/>
      <c r="U680" s="230"/>
      <c r="V680" s="230"/>
      <c r="W680" s="230"/>
      <c r="X680" s="230"/>
      <c r="Y680" s="230"/>
      <c r="Z680" s="230"/>
    </row>
    <row r="681" spans="1:26" ht="15.75" customHeight="1">
      <c r="A681" s="230"/>
      <c r="B681" s="230"/>
      <c r="C681" s="230"/>
      <c r="D681" s="230"/>
      <c r="E681" s="230"/>
      <c r="F681" s="230"/>
      <c r="G681" s="230"/>
      <c r="H681" s="230"/>
      <c r="I681" s="230"/>
      <c r="J681" s="230"/>
      <c r="K681" s="230"/>
      <c r="L681" s="230"/>
      <c r="M681" s="230"/>
      <c r="N681" s="230"/>
      <c r="O681" s="230"/>
      <c r="P681" s="230"/>
      <c r="Q681" s="230"/>
      <c r="R681" s="230"/>
      <c r="S681" s="230"/>
      <c r="T681" s="230"/>
      <c r="U681" s="230"/>
      <c r="V681" s="230"/>
      <c r="W681" s="230"/>
      <c r="X681" s="230"/>
      <c r="Y681" s="230"/>
      <c r="Z681" s="230"/>
    </row>
    <row r="682" spans="1:26" ht="15.75" customHeight="1">
      <c r="A682" s="230"/>
      <c r="B682" s="230"/>
      <c r="C682" s="230"/>
      <c r="D682" s="230"/>
      <c r="E682" s="230"/>
      <c r="F682" s="230"/>
      <c r="G682" s="230"/>
      <c r="H682" s="230"/>
      <c r="I682" s="230"/>
      <c r="J682" s="230"/>
      <c r="K682" s="230"/>
      <c r="L682" s="230"/>
      <c r="M682" s="230"/>
      <c r="N682" s="230"/>
      <c r="O682" s="230"/>
      <c r="P682" s="230"/>
      <c r="Q682" s="230"/>
      <c r="R682" s="230"/>
      <c r="S682" s="230"/>
      <c r="T682" s="230"/>
      <c r="U682" s="230"/>
      <c r="V682" s="230"/>
      <c r="W682" s="230"/>
      <c r="X682" s="230"/>
      <c r="Y682" s="230"/>
      <c r="Z682" s="230"/>
    </row>
    <row r="683" spans="1:26" ht="15.75" customHeight="1">
      <c r="A683" s="230"/>
      <c r="B683" s="230"/>
      <c r="C683" s="230"/>
      <c r="D683" s="230"/>
      <c r="E683" s="230"/>
      <c r="F683" s="230"/>
      <c r="G683" s="230"/>
      <c r="H683" s="230"/>
      <c r="I683" s="230"/>
      <c r="J683" s="230"/>
      <c r="K683" s="230"/>
      <c r="L683" s="230"/>
      <c r="M683" s="230"/>
      <c r="N683" s="230"/>
      <c r="O683" s="230"/>
      <c r="P683" s="230"/>
      <c r="Q683" s="230"/>
      <c r="R683" s="230"/>
      <c r="S683" s="230"/>
      <c r="T683" s="230"/>
      <c r="U683" s="230"/>
      <c r="V683" s="230"/>
      <c r="W683" s="230"/>
      <c r="X683" s="230"/>
      <c r="Y683" s="230"/>
      <c r="Z683" s="230"/>
    </row>
    <row r="684" spans="1:26" ht="15.75" customHeight="1">
      <c r="A684" s="230"/>
      <c r="B684" s="230"/>
      <c r="C684" s="230"/>
      <c r="D684" s="230"/>
      <c r="E684" s="230"/>
      <c r="F684" s="230"/>
      <c r="G684" s="230"/>
      <c r="H684" s="230"/>
      <c r="I684" s="230"/>
      <c r="J684" s="230"/>
      <c r="K684" s="230"/>
      <c r="L684" s="230"/>
      <c r="M684" s="230"/>
      <c r="N684" s="230"/>
      <c r="O684" s="230"/>
      <c r="P684" s="230"/>
      <c r="Q684" s="230"/>
      <c r="R684" s="230"/>
      <c r="S684" s="230"/>
      <c r="T684" s="230"/>
      <c r="U684" s="230"/>
      <c r="V684" s="230"/>
      <c r="W684" s="230"/>
      <c r="X684" s="230"/>
      <c r="Y684" s="230"/>
      <c r="Z684" s="230"/>
    </row>
    <row r="685" spans="1:26" ht="15.75" customHeight="1">
      <c r="A685" s="230"/>
      <c r="B685" s="230"/>
      <c r="C685" s="230"/>
      <c r="D685" s="230"/>
      <c r="E685" s="230"/>
      <c r="F685" s="230"/>
      <c r="G685" s="230"/>
      <c r="H685" s="230"/>
      <c r="I685" s="230"/>
      <c r="J685" s="230"/>
      <c r="K685" s="230"/>
      <c r="L685" s="230"/>
      <c r="M685" s="230"/>
      <c r="N685" s="230"/>
      <c r="O685" s="230"/>
      <c r="P685" s="230"/>
      <c r="Q685" s="230"/>
      <c r="R685" s="230"/>
      <c r="S685" s="230"/>
      <c r="T685" s="230"/>
      <c r="U685" s="230"/>
      <c r="V685" s="230"/>
      <c r="W685" s="230"/>
      <c r="X685" s="230"/>
      <c r="Y685" s="230"/>
      <c r="Z685" s="230"/>
    </row>
    <row r="686" spans="1:26" ht="15.75" customHeight="1">
      <c r="A686" s="230"/>
      <c r="B686" s="230"/>
      <c r="C686" s="230"/>
      <c r="D686" s="230"/>
      <c r="E686" s="230"/>
      <c r="F686" s="230"/>
      <c r="G686" s="230"/>
      <c r="H686" s="230"/>
      <c r="I686" s="230"/>
      <c r="J686" s="230"/>
      <c r="K686" s="230"/>
      <c r="L686" s="230"/>
      <c r="M686" s="230"/>
      <c r="N686" s="230"/>
      <c r="O686" s="230"/>
      <c r="P686" s="230"/>
      <c r="Q686" s="230"/>
      <c r="R686" s="230"/>
      <c r="S686" s="230"/>
      <c r="T686" s="230"/>
      <c r="U686" s="230"/>
      <c r="V686" s="230"/>
      <c r="W686" s="230"/>
      <c r="X686" s="230"/>
      <c r="Y686" s="230"/>
      <c r="Z686" s="230"/>
    </row>
    <row r="687" spans="1:26" ht="15.75" customHeight="1">
      <c r="A687" s="230"/>
      <c r="B687" s="230"/>
      <c r="C687" s="230"/>
      <c r="D687" s="230"/>
      <c r="E687" s="230"/>
      <c r="F687" s="230"/>
      <c r="G687" s="230"/>
      <c r="H687" s="230"/>
      <c r="I687" s="230"/>
      <c r="J687" s="230"/>
      <c r="K687" s="230"/>
      <c r="L687" s="230"/>
      <c r="M687" s="230"/>
      <c r="N687" s="230"/>
      <c r="O687" s="230"/>
      <c r="P687" s="230"/>
      <c r="Q687" s="230"/>
      <c r="R687" s="230"/>
      <c r="S687" s="230"/>
      <c r="T687" s="230"/>
      <c r="U687" s="230"/>
      <c r="V687" s="230"/>
      <c r="W687" s="230"/>
      <c r="X687" s="230"/>
      <c r="Y687" s="230"/>
      <c r="Z687" s="230"/>
    </row>
    <row r="688" spans="1:26" ht="15.75" customHeight="1">
      <c r="A688" s="230"/>
      <c r="B688" s="230"/>
      <c r="C688" s="230"/>
      <c r="D688" s="230"/>
      <c r="E688" s="230"/>
      <c r="F688" s="230"/>
      <c r="G688" s="230"/>
      <c r="H688" s="230"/>
      <c r="I688" s="230"/>
      <c r="J688" s="230"/>
      <c r="K688" s="230"/>
      <c r="L688" s="230"/>
      <c r="M688" s="230"/>
      <c r="N688" s="230"/>
      <c r="O688" s="230"/>
      <c r="P688" s="230"/>
      <c r="Q688" s="230"/>
      <c r="R688" s="230"/>
      <c r="S688" s="230"/>
      <c r="T688" s="230"/>
      <c r="U688" s="230"/>
      <c r="V688" s="230"/>
      <c r="W688" s="230"/>
      <c r="X688" s="230"/>
      <c r="Y688" s="230"/>
      <c r="Z688" s="230"/>
    </row>
    <row r="689" spans="1:26" ht="15.75" customHeight="1">
      <c r="A689" s="230"/>
      <c r="B689" s="230"/>
      <c r="C689" s="230"/>
      <c r="D689" s="230"/>
      <c r="E689" s="230"/>
      <c r="F689" s="230"/>
      <c r="G689" s="230"/>
      <c r="H689" s="230"/>
      <c r="I689" s="230"/>
      <c r="J689" s="230"/>
      <c r="K689" s="230"/>
      <c r="L689" s="230"/>
      <c r="M689" s="230"/>
      <c r="N689" s="230"/>
      <c r="O689" s="230"/>
      <c r="P689" s="230"/>
      <c r="Q689" s="230"/>
      <c r="R689" s="230"/>
      <c r="S689" s="230"/>
      <c r="T689" s="230"/>
      <c r="U689" s="230"/>
      <c r="V689" s="230"/>
      <c r="W689" s="230"/>
      <c r="X689" s="230"/>
      <c r="Y689" s="230"/>
      <c r="Z689" s="230"/>
    </row>
    <row r="690" spans="1:26" ht="15.75" customHeight="1">
      <c r="A690" s="230"/>
      <c r="B690" s="230"/>
      <c r="C690" s="230"/>
      <c r="D690" s="230"/>
      <c r="E690" s="230"/>
      <c r="F690" s="230"/>
      <c r="G690" s="230"/>
      <c r="H690" s="230"/>
      <c r="I690" s="230"/>
      <c r="J690" s="230"/>
      <c r="K690" s="230"/>
      <c r="L690" s="230"/>
      <c r="M690" s="230"/>
      <c r="N690" s="230"/>
      <c r="O690" s="230"/>
      <c r="P690" s="230"/>
      <c r="Q690" s="230"/>
      <c r="R690" s="230"/>
      <c r="S690" s="230"/>
      <c r="T690" s="230"/>
      <c r="U690" s="230"/>
      <c r="V690" s="230"/>
      <c r="W690" s="230"/>
      <c r="X690" s="230"/>
      <c r="Y690" s="230"/>
      <c r="Z690" s="230"/>
    </row>
    <row r="691" spans="1:26" ht="15.75" customHeight="1">
      <c r="A691" s="230"/>
      <c r="B691" s="230"/>
      <c r="C691" s="230"/>
      <c r="D691" s="230"/>
      <c r="E691" s="230"/>
      <c r="F691" s="230"/>
      <c r="G691" s="230"/>
      <c r="H691" s="230"/>
      <c r="I691" s="230"/>
      <c r="J691" s="230"/>
      <c r="K691" s="230"/>
      <c r="L691" s="230"/>
      <c r="M691" s="230"/>
      <c r="N691" s="230"/>
      <c r="O691" s="230"/>
      <c r="P691" s="230"/>
      <c r="Q691" s="230"/>
      <c r="R691" s="230"/>
      <c r="S691" s="230"/>
      <c r="T691" s="230"/>
      <c r="U691" s="230"/>
      <c r="V691" s="230"/>
      <c r="W691" s="230"/>
      <c r="X691" s="230"/>
      <c r="Y691" s="230"/>
      <c r="Z691" s="230"/>
    </row>
    <row r="692" spans="1:26" ht="15.75" customHeight="1">
      <c r="A692" s="230"/>
      <c r="B692" s="230"/>
      <c r="C692" s="230"/>
      <c r="D692" s="230"/>
      <c r="E692" s="230"/>
      <c r="F692" s="230"/>
      <c r="G692" s="230"/>
      <c r="H692" s="230"/>
      <c r="I692" s="230"/>
      <c r="J692" s="230"/>
      <c r="K692" s="230"/>
      <c r="L692" s="230"/>
      <c r="M692" s="230"/>
      <c r="N692" s="230"/>
      <c r="O692" s="230"/>
      <c r="P692" s="230"/>
      <c r="Q692" s="230"/>
      <c r="R692" s="230"/>
      <c r="S692" s="230"/>
      <c r="T692" s="230"/>
      <c r="U692" s="230"/>
      <c r="V692" s="230"/>
      <c r="W692" s="230"/>
      <c r="X692" s="230"/>
      <c r="Y692" s="230"/>
      <c r="Z692" s="230"/>
    </row>
    <row r="693" spans="1:26" ht="15.75" customHeight="1">
      <c r="A693" s="230"/>
      <c r="B693" s="230"/>
      <c r="C693" s="230"/>
      <c r="D693" s="230"/>
      <c r="E693" s="230"/>
      <c r="F693" s="230"/>
      <c r="G693" s="230"/>
      <c r="H693" s="230"/>
      <c r="I693" s="230"/>
      <c r="J693" s="230"/>
      <c r="K693" s="230"/>
      <c r="L693" s="230"/>
      <c r="M693" s="230"/>
      <c r="N693" s="230"/>
      <c r="O693" s="230"/>
      <c r="P693" s="230"/>
      <c r="Q693" s="230"/>
      <c r="R693" s="230"/>
      <c r="S693" s="230"/>
      <c r="T693" s="230"/>
      <c r="U693" s="230"/>
      <c r="V693" s="230"/>
      <c r="W693" s="230"/>
      <c r="X693" s="230"/>
      <c r="Y693" s="230"/>
      <c r="Z693" s="230"/>
    </row>
    <row r="694" spans="1:26" ht="15.75" customHeight="1">
      <c r="A694" s="230"/>
      <c r="B694" s="230"/>
      <c r="C694" s="230"/>
      <c r="D694" s="230"/>
      <c r="E694" s="230"/>
      <c r="F694" s="230"/>
      <c r="G694" s="230"/>
      <c r="H694" s="230"/>
      <c r="I694" s="230"/>
      <c r="J694" s="230"/>
      <c r="K694" s="230"/>
      <c r="L694" s="230"/>
      <c r="M694" s="230"/>
      <c r="N694" s="230"/>
      <c r="O694" s="230"/>
      <c r="P694" s="230"/>
      <c r="Q694" s="230"/>
      <c r="R694" s="230"/>
      <c r="S694" s="230"/>
      <c r="T694" s="230"/>
      <c r="U694" s="230"/>
      <c r="V694" s="230"/>
      <c r="W694" s="230"/>
      <c r="X694" s="230"/>
      <c r="Y694" s="230"/>
      <c r="Z694" s="230"/>
    </row>
    <row r="695" spans="1:26" ht="15.75" customHeight="1">
      <c r="A695" s="230"/>
      <c r="B695" s="230"/>
      <c r="C695" s="230"/>
      <c r="D695" s="230"/>
      <c r="E695" s="230"/>
      <c r="F695" s="230"/>
      <c r="G695" s="230"/>
      <c r="H695" s="230"/>
      <c r="I695" s="230"/>
      <c r="J695" s="230"/>
      <c r="K695" s="230"/>
      <c r="L695" s="230"/>
      <c r="M695" s="230"/>
      <c r="N695" s="230"/>
      <c r="O695" s="230"/>
      <c r="P695" s="230"/>
      <c r="Q695" s="230"/>
      <c r="R695" s="230"/>
      <c r="S695" s="230"/>
      <c r="T695" s="230"/>
      <c r="U695" s="230"/>
      <c r="V695" s="230"/>
      <c r="W695" s="230"/>
      <c r="X695" s="230"/>
      <c r="Y695" s="230"/>
      <c r="Z695" s="230"/>
    </row>
    <row r="696" spans="1:26" ht="15.75" customHeight="1">
      <c r="A696" s="230"/>
      <c r="B696" s="230"/>
      <c r="C696" s="230"/>
      <c r="D696" s="230"/>
      <c r="E696" s="230"/>
      <c r="F696" s="230"/>
      <c r="G696" s="230"/>
      <c r="H696" s="230"/>
      <c r="I696" s="230"/>
      <c r="J696" s="230"/>
      <c r="K696" s="230"/>
      <c r="L696" s="230"/>
      <c r="M696" s="230"/>
      <c r="N696" s="230"/>
      <c r="O696" s="230"/>
      <c r="P696" s="230"/>
      <c r="Q696" s="230"/>
      <c r="R696" s="230"/>
      <c r="S696" s="230"/>
      <c r="T696" s="230"/>
      <c r="U696" s="230"/>
      <c r="V696" s="230"/>
      <c r="W696" s="230"/>
      <c r="X696" s="230"/>
      <c r="Y696" s="230"/>
      <c r="Z696" s="230"/>
    </row>
    <row r="697" spans="1:26" ht="15.75" customHeight="1">
      <c r="A697" s="230"/>
      <c r="B697" s="230"/>
      <c r="C697" s="230"/>
      <c r="D697" s="230"/>
      <c r="E697" s="230"/>
      <c r="F697" s="230"/>
      <c r="G697" s="230"/>
      <c r="H697" s="230"/>
      <c r="I697" s="230"/>
      <c r="J697" s="230"/>
      <c r="K697" s="230"/>
      <c r="L697" s="230"/>
      <c r="M697" s="230"/>
      <c r="N697" s="230"/>
      <c r="O697" s="230"/>
      <c r="P697" s="230"/>
      <c r="Q697" s="230"/>
      <c r="R697" s="230"/>
      <c r="S697" s="230"/>
      <c r="T697" s="230"/>
      <c r="U697" s="230"/>
      <c r="V697" s="230"/>
      <c r="W697" s="230"/>
      <c r="X697" s="230"/>
      <c r="Y697" s="230"/>
      <c r="Z697" s="230"/>
    </row>
    <row r="698" spans="1:26" ht="15.75" customHeight="1">
      <c r="A698" s="230"/>
      <c r="B698" s="230"/>
      <c r="C698" s="230"/>
      <c r="D698" s="230"/>
      <c r="E698" s="230"/>
      <c r="F698" s="230"/>
      <c r="G698" s="230"/>
      <c r="H698" s="230"/>
      <c r="I698" s="230"/>
      <c r="J698" s="230"/>
      <c r="K698" s="230"/>
      <c r="L698" s="230"/>
      <c r="M698" s="230"/>
      <c r="N698" s="230"/>
      <c r="O698" s="230"/>
      <c r="P698" s="230"/>
      <c r="Q698" s="230"/>
      <c r="R698" s="230"/>
      <c r="S698" s="230"/>
      <c r="T698" s="230"/>
      <c r="U698" s="230"/>
      <c r="V698" s="230"/>
      <c r="W698" s="230"/>
      <c r="X698" s="230"/>
      <c r="Y698" s="230"/>
      <c r="Z698" s="230"/>
    </row>
    <row r="699" spans="1:26" ht="15.75" customHeight="1">
      <c r="A699" s="230"/>
      <c r="B699" s="230"/>
      <c r="C699" s="230"/>
      <c r="D699" s="230"/>
      <c r="E699" s="230"/>
      <c r="F699" s="230"/>
      <c r="G699" s="230"/>
      <c r="H699" s="230"/>
      <c r="I699" s="230"/>
      <c r="J699" s="230"/>
      <c r="K699" s="230"/>
      <c r="L699" s="230"/>
      <c r="M699" s="230"/>
      <c r="N699" s="230"/>
      <c r="O699" s="230"/>
      <c r="P699" s="230"/>
      <c r="Q699" s="230"/>
      <c r="R699" s="230"/>
      <c r="S699" s="230"/>
      <c r="T699" s="230"/>
      <c r="U699" s="230"/>
      <c r="V699" s="230"/>
      <c r="W699" s="230"/>
      <c r="X699" s="230"/>
      <c r="Y699" s="230"/>
      <c r="Z699" s="230"/>
    </row>
    <row r="700" spans="1:26" ht="15.75" customHeight="1">
      <c r="A700" s="230"/>
      <c r="B700" s="230"/>
      <c r="C700" s="230"/>
      <c r="D700" s="230"/>
      <c r="E700" s="230"/>
      <c r="F700" s="230"/>
      <c r="G700" s="230"/>
      <c r="H700" s="230"/>
      <c r="I700" s="230"/>
      <c r="J700" s="230"/>
      <c r="K700" s="230"/>
      <c r="L700" s="230"/>
      <c r="M700" s="230"/>
      <c r="N700" s="230"/>
      <c r="O700" s="230"/>
      <c r="P700" s="230"/>
      <c r="Q700" s="230"/>
      <c r="R700" s="230"/>
      <c r="S700" s="230"/>
      <c r="T700" s="230"/>
      <c r="U700" s="230"/>
      <c r="V700" s="230"/>
      <c r="W700" s="230"/>
      <c r="X700" s="230"/>
      <c r="Y700" s="230"/>
      <c r="Z700" s="230"/>
    </row>
    <row r="701" spans="1:26" ht="15.75" customHeight="1">
      <c r="A701" s="230"/>
      <c r="B701" s="230"/>
      <c r="C701" s="230"/>
      <c r="D701" s="230"/>
      <c r="E701" s="230"/>
      <c r="F701" s="230"/>
      <c r="G701" s="230"/>
      <c r="H701" s="230"/>
      <c r="I701" s="230"/>
      <c r="J701" s="230"/>
      <c r="K701" s="230"/>
      <c r="L701" s="230"/>
      <c r="M701" s="230"/>
      <c r="N701" s="230"/>
      <c r="O701" s="230"/>
      <c r="P701" s="230"/>
      <c r="Q701" s="230"/>
      <c r="R701" s="230"/>
      <c r="S701" s="230"/>
      <c r="T701" s="230"/>
      <c r="U701" s="230"/>
      <c r="V701" s="230"/>
      <c r="W701" s="230"/>
      <c r="X701" s="230"/>
      <c r="Y701" s="230"/>
      <c r="Z701" s="230"/>
    </row>
    <row r="702" spans="1:26" ht="15.75" customHeight="1">
      <c r="A702" s="230"/>
      <c r="B702" s="230"/>
      <c r="C702" s="230"/>
      <c r="D702" s="230"/>
      <c r="E702" s="230"/>
      <c r="F702" s="230"/>
      <c r="G702" s="230"/>
      <c r="H702" s="230"/>
      <c r="I702" s="230"/>
      <c r="J702" s="230"/>
      <c r="K702" s="230"/>
      <c r="L702" s="230"/>
      <c r="M702" s="230"/>
      <c r="N702" s="230"/>
      <c r="O702" s="230"/>
      <c r="P702" s="230"/>
      <c r="Q702" s="230"/>
      <c r="R702" s="230"/>
      <c r="S702" s="230"/>
      <c r="T702" s="230"/>
      <c r="U702" s="230"/>
      <c r="V702" s="230"/>
      <c r="W702" s="230"/>
      <c r="X702" s="230"/>
      <c r="Y702" s="230"/>
      <c r="Z702" s="230"/>
    </row>
    <row r="703" spans="1:26" ht="15.75" customHeight="1">
      <c r="A703" s="230"/>
      <c r="B703" s="230"/>
      <c r="C703" s="230"/>
      <c r="D703" s="230"/>
      <c r="E703" s="230"/>
      <c r="F703" s="230"/>
      <c r="G703" s="230"/>
      <c r="H703" s="230"/>
      <c r="I703" s="230"/>
      <c r="J703" s="230"/>
      <c r="K703" s="230"/>
      <c r="L703" s="230"/>
      <c r="M703" s="230"/>
      <c r="N703" s="230"/>
      <c r="O703" s="230"/>
      <c r="P703" s="230"/>
      <c r="Q703" s="230"/>
      <c r="R703" s="230"/>
      <c r="S703" s="230"/>
      <c r="T703" s="230"/>
      <c r="U703" s="230"/>
      <c r="V703" s="230"/>
      <c r="W703" s="230"/>
      <c r="X703" s="230"/>
      <c r="Y703" s="230"/>
      <c r="Z703" s="230"/>
    </row>
    <row r="704" spans="1:26" ht="15.75" customHeight="1">
      <c r="A704" s="230"/>
      <c r="B704" s="230"/>
      <c r="C704" s="230"/>
      <c r="D704" s="230"/>
      <c r="E704" s="230"/>
      <c r="F704" s="230"/>
      <c r="G704" s="230"/>
      <c r="H704" s="230"/>
      <c r="I704" s="230"/>
      <c r="J704" s="230"/>
      <c r="K704" s="230"/>
      <c r="L704" s="230"/>
      <c r="M704" s="230"/>
      <c r="N704" s="230"/>
      <c r="O704" s="230"/>
      <c r="P704" s="230"/>
      <c r="Q704" s="230"/>
      <c r="R704" s="230"/>
      <c r="S704" s="230"/>
      <c r="T704" s="230"/>
      <c r="U704" s="230"/>
      <c r="V704" s="230"/>
      <c r="W704" s="230"/>
      <c r="X704" s="230"/>
      <c r="Y704" s="230"/>
      <c r="Z704" s="230"/>
    </row>
    <row r="705" spans="1:26" ht="15.75" customHeight="1">
      <c r="A705" s="230"/>
      <c r="B705" s="230"/>
      <c r="C705" s="230"/>
      <c r="D705" s="230"/>
      <c r="E705" s="230"/>
      <c r="F705" s="230"/>
      <c r="G705" s="230"/>
      <c r="H705" s="230"/>
      <c r="I705" s="230"/>
      <c r="J705" s="230"/>
      <c r="K705" s="230"/>
      <c r="L705" s="230"/>
      <c r="M705" s="230"/>
      <c r="N705" s="230"/>
      <c r="O705" s="230"/>
      <c r="P705" s="230"/>
      <c r="Q705" s="230"/>
      <c r="R705" s="230"/>
      <c r="S705" s="230"/>
      <c r="T705" s="230"/>
      <c r="U705" s="230"/>
      <c r="V705" s="230"/>
      <c r="W705" s="230"/>
      <c r="X705" s="230"/>
      <c r="Y705" s="230"/>
      <c r="Z705" s="230"/>
    </row>
    <row r="706" spans="1:26" ht="15.75" customHeight="1">
      <c r="A706" s="230"/>
      <c r="B706" s="230"/>
      <c r="C706" s="230"/>
      <c r="D706" s="230"/>
      <c r="E706" s="230"/>
      <c r="F706" s="230"/>
      <c r="G706" s="230"/>
      <c r="H706" s="230"/>
      <c r="I706" s="230"/>
      <c r="J706" s="230"/>
      <c r="K706" s="230"/>
      <c r="L706" s="230"/>
      <c r="M706" s="230"/>
      <c r="N706" s="230"/>
      <c r="O706" s="230"/>
      <c r="P706" s="230"/>
      <c r="Q706" s="230"/>
      <c r="R706" s="230"/>
      <c r="S706" s="230"/>
      <c r="T706" s="230"/>
      <c r="U706" s="230"/>
      <c r="V706" s="230"/>
      <c r="W706" s="230"/>
      <c r="X706" s="230"/>
      <c r="Y706" s="230"/>
      <c r="Z706" s="230"/>
    </row>
    <row r="707" spans="1:26" ht="15.75" customHeight="1">
      <c r="A707" s="230"/>
      <c r="B707" s="230"/>
      <c r="C707" s="230"/>
      <c r="D707" s="230"/>
      <c r="E707" s="230"/>
      <c r="F707" s="230"/>
      <c r="G707" s="230"/>
      <c r="H707" s="230"/>
      <c r="I707" s="230"/>
      <c r="J707" s="230"/>
      <c r="K707" s="230"/>
      <c r="L707" s="230"/>
      <c r="M707" s="230"/>
      <c r="N707" s="230"/>
      <c r="O707" s="230"/>
      <c r="P707" s="230"/>
      <c r="Q707" s="230"/>
      <c r="R707" s="230"/>
      <c r="S707" s="230"/>
      <c r="T707" s="230"/>
      <c r="U707" s="230"/>
      <c r="V707" s="230"/>
      <c r="W707" s="230"/>
      <c r="X707" s="230"/>
      <c r="Y707" s="230"/>
      <c r="Z707" s="230"/>
    </row>
    <row r="708" spans="1:26" ht="15.75" customHeight="1">
      <c r="A708" s="230"/>
      <c r="B708" s="230"/>
      <c r="C708" s="230"/>
      <c r="D708" s="230"/>
      <c r="E708" s="230"/>
      <c r="F708" s="230"/>
      <c r="G708" s="230"/>
      <c r="H708" s="230"/>
      <c r="I708" s="230"/>
      <c r="J708" s="230"/>
      <c r="K708" s="230"/>
      <c r="L708" s="230"/>
      <c r="M708" s="230"/>
      <c r="N708" s="230"/>
      <c r="O708" s="230"/>
      <c r="P708" s="230"/>
      <c r="Q708" s="230"/>
      <c r="R708" s="230"/>
      <c r="S708" s="230"/>
      <c r="T708" s="230"/>
      <c r="U708" s="230"/>
      <c r="V708" s="230"/>
      <c r="W708" s="230"/>
      <c r="X708" s="230"/>
      <c r="Y708" s="230"/>
      <c r="Z708" s="230"/>
    </row>
    <row r="709" spans="1:26" ht="15.75" customHeight="1">
      <c r="A709" s="230"/>
      <c r="B709" s="230"/>
      <c r="C709" s="230"/>
      <c r="D709" s="230"/>
      <c r="E709" s="230"/>
      <c r="F709" s="230"/>
      <c r="G709" s="230"/>
      <c r="H709" s="230"/>
      <c r="I709" s="230"/>
      <c r="J709" s="230"/>
      <c r="K709" s="230"/>
      <c r="L709" s="230"/>
      <c r="M709" s="230"/>
      <c r="N709" s="230"/>
      <c r="O709" s="230"/>
      <c r="P709" s="230"/>
      <c r="Q709" s="230"/>
      <c r="R709" s="230"/>
      <c r="S709" s="230"/>
      <c r="T709" s="230"/>
      <c r="U709" s="230"/>
      <c r="V709" s="230"/>
      <c r="W709" s="230"/>
      <c r="X709" s="230"/>
      <c r="Y709" s="230"/>
      <c r="Z709" s="230"/>
    </row>
    <row r="710" spans="1:26" ht="15.75" customHeight="1">
      <c r="A710" s="230"/>
      <c r="B710" s="230"/>
      <c r="C710" s="230"/>
      <c r="D710" s="230"/>
      <c r="E710" s="230"/>
      <c r="F710" s="230"/>
      <c r="G710" s="230"/>
      <c r="H710" s="230"/>
      <c r="I710" s="230"/>
      <c r="J710" s="230"/>
      <c r="K710" s="230"/>
      <c r="L710" s="230"/>
      <c r="M710" s="230"/>
      <c r="N710" s="230"/>
      <c r="O710" s="230"/>
      <c r="P710" s="230"/>
      <c r="Q710" s="230"/>
      <c r="R710" s="230"/>
      <c r="S710" s="230"/>
      <c r="T710" s="230"/>
      <c r="U710" s="230"/>
      <c r="V710" s="230"/>
      <c r="W710" s="230"/>
      <c r="X710" s="230"/>
      <c r="Y710" s="230"/>
      <c r="Z710" s="230"/>
    </row>
    <row r="711" spans="1:26" ht="15.75" customHeight="1">
      <c r="A711" s="230"/>
      <c r="B711" s="230"/>
      <c r="C711" s="230"/>
      <c r="D711" s="230"/>
      <c r="E711" s="230"/>
      <c r="F711" s="230"/>
      <c r="G711" s="230"/>
      <c r="H711" s="230"/>
      <c r="I711" s="230"/>
      <c r="J711" s="230"/>
      <c r="K711" s="230"/>
      <c r="L711" s="230"/>
      <c r="M711" s="230"/>
      <c r="N711" s="230"/>
      <c r="O711" s="230"/>
      <c r="P711" s="230"/>
      <c r="Q711" s="230"/>
      <c r="R711" s="230"/>
      <c r="S711" s="230"/>
      <c r="T711" s="230"/>
      <c r="U711" s="230"/>
      <c r="V711" s="230"/>
      <c r="W711" s="230"/>
      <c r="X711" s="230"/>
      <c r="Y711" s="230"/>
      <c r="Z711" s="230"/>
    </row>
    <row r="712" spans="1:26" ht="15.75" customHeight="1">
      <c r="A712" s="230"/>
      <c r="B712" s="230"/>
      <c r="C712" s="230"/>
      <c r="D712" s="230"/>
      <c r="E712" s="230"/>
      <c r="F712" s="230"/>
      <c r="G712" s="230"/>
      <c r="H712" s="230"/>
      <c r="I712" s="230"/>
      <c r="J712" s="230"/>
      <c r="K712" s="230"/>
      <c r="L712" s="230"/>
      <c r="M712" s="230"/>
      <c r="N712" s="230"/>
      <c r="O712" s="230"/>
      <c r="P712" s="230"/>
      <c r="Q712" s="230"/>
      <c r="R712" s="230"/>
      <c r="S712" s="230"/>
      <c r="T712" s="230"/>
      <c r="U712" s="230"/>
      <c r="V712" s="230"/>
      <c r="W712" s="230"/>
      <c r="X712" s="230"/>
      <c r="Y712" s="230"/>
      <c r="Z712" s="230"/>
    </row>
    <row r="713" spans="1:26" ht="15.75" customHeight="1">
      <c r="A713" s="230"/>
      <c r="B713" s="230"/>
      <c r="C713" s="230"/>
      <c r="D713" s="230"/>
      <c r="E713" s="230"/>
      <c r="F713" s="230"/>
      <c r="G713" s="230"/>
      <c r="H713" s="230"/>
      <c r="I713" s="230"/>
      <c r="J713" s="230"/>
      <c r="K713" s="230"/>
      <c r="L713" s="230"/>
      <c r="M713" s="230"/>
      <c r="N713" s="230"/>
      <c r="O713" s="230"/>
      <c r="P713" s="230"/>
      <c r="Q713" s="230"/>
      <c r="R713" s="230"/>
      <c r="S713" s="230"/>
      <c r="T713" s="230"/>
      <c r="U713" s="230"/>
      <c r="V713" s="230"/>
      <c r="W713" s="230"/>
      <c r="X713" s="230"/>
      <c r="Y713" s="230"/>
      <c r="Z713" s="230"/>
    </row>
    <row r="714" spans="1:26" ht="15.75" customHeight="1">
      <c r="A714" s="230"/>
      <c r="B714" s="230"/>
      <c r="C714" s="230"/>
      <c r="D714" s="230"/>
      <c r="E714" s="230"/>
      <c r="F714" s="230"/>
      <c r="G714" s="230"/>
      <c r="H714" s="230"/>
      <c r="I714" s="230"/>
      <c r="J714" s="230"/>
      <c r="K714" s="230"/>
      <c r="L714" s="230"/>
      <c r="M714" s="230"/>
      <c r="N714" s="230"/>
      <c r="O714" s="230"/>
      <c r="P714" s="230"/>
      <c r="Q714" s="230"/>
      <c r="R714" s="230"/>
      <c r="S714" s="230"/>
      <c r="T714" s="230"/>
      <c r="U714" s="230"/>
      <c r="V714" s="230"/>
      <c r="W714" s="230"/>
      <c r="X714" s="230"/>
      <c r="Y714" s="230"/>
      <c r="Z714" s="230"/>
    </row>
    <row r="715" spans="1:26" ht="15.75" customHeight="1">
      <c r="A715" s="230"/>
      <c r="B715" s="230"/>
      <c r="C715" s="230"/>
      <c r="D715" s="230"/>
      <c r="E715" s="230"/>
      <c r="F715" s="230"/>
      <c r="G715" s="230"/>
      <c r="H715" s="230"/>
      <c r="I715" s="230"/>
      <c r="J715" s="230"/>
      <c r="K715" s="230"/>
      <c r="L715" s="230"/>
      <c r="M715" s="230"/>
      <c r="N715" s="230"/>
      <c r="O715" s="230"/>
      <c r="P715" s="230"/>
      <c r="Q715" s="230"/>
      <c r="R715" s="230"/>
      <c r="S715" s="230"/>
      <c r="T715" s="230"/>
      <c r="U715" s="230"/>
      <c r="V715" s="230"/>
      <c r="W715" s="230"/>
      <c r="X715" s="230"/>
      <c r="Y715" s="230"/>
      <c r="Z715" s="230"/>
    </row>
    <row r="716" spans="1:26" ht="15.75" customHeight="1">
      <c r="A716" s="230"/>
      <c r="B716" s="230"/>
      <c r="C716" s="230"/>
      <c r="D716" s="230"/>
      <c r="E716" s="230"/>
      <c r="F716" s="230"/>
      <c r="G716" s="230"/>
      <c r="H716" s="230"/>
      <c r="I716" s="230"/>
      <c r="J716" s="230"/>
      <c r="K716" s="230"/>
      <c r="L716" s="230"/>
      <c r="M716" s="230"/>
      <c r="N716" s="230"/>
      <c r="O716" s="230"/>
      <c r="P716" s="230"/>
      <c r="Q716" s="230"/>
      <c r="R716" s="230"/>
      <c r="S716" s="230"/>
      <c r="T716" s="230"/>
      <c r="U716" s="230"/>
      <c r="V716" s="230"/>
      <c r="W716" s="230"/>
      <c r="X716" s="230"/>
      <c r="Y716" s="230"/>
      <c r="Z716" s="230"/>
    </row>
    <row r="717" spans="1:26" ht="15.75" customHeight="1">
      <c r="A717" s="230"/>
      <c r="B717" s="230"/>
      <c r="C717" s="230"/>
      <c r="D717" s="230"/>
      <c r="E717" s="230"/>
      <c r="F717" s="230"/>
      <c r="G717" s="230"/>
      <c r="H717" s="230"/>
      <c r="I717" s="230"/>
      <c r="J717" s="230"/>
      <c r="K717" s="230"/>
      <c r="L717" s="230"/>
      <c r="M717" s="230"/>
      <c r="N717" s="230"/>
      <c r="O717" s="230"/>
      <c r="P717" s="230"/>
      <c r="Q717" s="230"/>
      <c r="R717" s="230"/>
      <c r="S717" s="230"/>
      <c r="T717" s="230"/>
      <c r="U717" s="230"/>
      <c r="V717" s="230"/>
      <c r="W717" s="230"/>
      <c r="X717" s="230"/>
      <c r="Y717" s="230"/>
      <c r="Z717" s="230"/>
    </row>
    <row r="718" spans="1:26" ht="15.75" customHeight="1">
      <c r="A718" s="230"/>
      <c r="B718" s="230"/>
      <c r="C718" s="230"/>
      <c r="D718" s="230"/>
      <c r="E718" s="230"/>
      <c r="F718" s="230"/>
      <c r="G718" s="230"/>
      <c r="H718" s="230"/>
      <c r="I718" s="230"/>
      <c r="J718" s="230"/>
      <c r="K718" s="230"/>
      <c r="L718" s="230"/>
      <c r="M718" s="230"/>
      <c r="N718" s="230"/>
      <c r="O718" s="230"/>
      <c r="P718" s="230"/>
      <c r="Q718" s="230"/>
      <c r="R718" s="230"/>
      <c r="S718" s="230"/>
      <c r="T718" s="230"/>
      <c r="U718" s="230"/>
      <c r="V718" s="230"/>
      <c r="W718" s="230"/>
      <c r="X718" s="230"/>
      <c r="Y718" s="230"/>
      <c r="Z718" s="230"/>
    </row>
    <row r="719" spans="1:26" ht="15.75" customHeight="1">
      <c r="A719" s="230"/>
      <c r="B719" s="230"/>
      <c r="C719" s="230"/>
      <c r="D719" s="230"/>
      <c r="E719" s="230"/>
      <c r="F719" s="230"/>
      <c r="G719" s="230"/>
      <c r="H719" s="230"/>
      <c r="I719" s="230"/>
      <c r="J719" s="230"/>
      <c r="K719" s="230"/>
      <c r="L719" s="230"/>
      <c r="M719" s="230"/>
      <c r="N719" s="230"/>
      <c r="O719" s="230"/>
      <c r="P719" s="230"/>
      <c r="Q719" s="230"/>
      <c r="R719" s="230"/>
      <c r="S719" s="230"/>
      <c r="T719" s="230"/>
      <c r="U719" s="230"/>
      <c r="V719" s="230"/>
      <c r="W719" s="230"/>
      <c r="X719" s="230"/>
      <c r="Y719" s="230"/>
      <c r="Z719" s="230"/>
    </row>
    <row r="720" spans="1:26" ht="15.75" customHeight="1">
      <c r="A720" s="230"/>
      <c r="B720" s="230"/>
      <c r="C720" s="230"/>
      <c r="D720" s="230"/>
      <c r="E720" s="230"/>
      <c r="F720" s="230"/>
      <c r="G720" s="230"/>
      <c r="H720" s="230"/>
      <c r="I720" s="230"/>
      <c r="J720" s="230"/>
      <c r="K720" s="230"/>
      <c r="L720" s="230"/>
      <c r="M720" s="230"/>
      <c r="N720" s="230"/>
      <c r="O720" s="230"/>
      <c r="P720" s="230"/>
      <c r="Q720" s="230"/>
      <c r="R720" s="230"/>
      <c r="S720" s="230"/>
      <c r="T720" s="230"/>
      <c r="U720" s="230"/>
      <c r="V720" s="230"/>
      <c r="W720" s="230"/>
      <c r="X720" s="230"/>
      <c r="Y720" s="230"/>
      <c r="Z720" s="230"/>
    </row>
    <row r="721" spans="1:26" ht="15.75" customHeight="1">
      <c r="A721" s="230"/>
      <c r="B721" s="230"/>
      <c r="C721" s="230"/>
      <c r="D721" s="230"/>
      <c r="E721" s="230"/>
      <c r="F721" s="230"/>
      <c r="G721" s="230"/>
      <c r="H721" s="230"/>
      <c r="I721" s="230"/>
      <c r="J721" s="230"/>
      <c r="K721" s="230"/>
      <c r="L721" s="230"/>
      <c r="M721" s="230"/>
      <c r="N721" s="230"/>
      <c r="O721" s="230"/>
      <c r="P721" s="230"/>
      <c r="Q721" s="230"/>
      <c r="R721" s="230"/>
      <c r="S721" s="230"/>
      <c r="T721" s="230"/>
      <c r="U721" s="230"/>
      <c r="V721" s="230"/>
      <c r="W721" s="230"/>
      <c r="X721" s="230"/>
      <c r="Y721" s="230"/>
      <c r="Z721" s="230"/>
    </row>
    <row r="722" spans="1:26" ht="15.75" customHeight="1">
      <c r="A722" s="230"/>
      <c r="B722" s="230"/>
      <c r="C722" s="230"/>
      <c r="D722" s="230"/>
      <c r="E722" s="230"/>
      <c r="F722" s="230"/>
      <c r="G722" s="230"/>
      <c r="H722" s="230"/>
      <c r="I722" s="230"/>
      <c r="J722" s="230"/>
      <c r="K722" s="230"/>
      <c r="L722" s="230"/>
      <c r="M722" s="230"/>
      <c r="N722" s="230"/>
      <c r="O722" s="230"/>
      <c r="P722" s="230"/>
      <c r="Q722" s="230"/>
      <c r="R722" s="230"/>
      <c r="S722" s="230"/>
      <c r="T722" s="230"/>
      <c r="U722" s="230"/>
      <c r="V722" s="230"/>
      <c r="W722" s="230"/>
      <c r="X722" s="230"/>
      <c r="Y722" s="230"/>
      <c r="Z722" s="230"/>
    </row>
    <row r="723" spans="1:26" ht="15.75" customHeight="1">
      <c r="A723" s="230"/>
      <c r="B723" s="230"/>
      <c r="C723" s="230"/>
      <c r="D723" s="230"/>
      <c r="E723" s="230"/>
      <c r="F723" s="230"/>
      <c r="G723" s="230"/>
      <c r="H723" s="230"/>
      <c r="I723" s="230"/>
      <c r="J723" s="230"/>
      <c r="K723" s="230"/>
      <c r="L723" s="230"/>
      <c r="M723" s="230"/>
      <c r="N723" s="230"/>
      <c r="O723" s="230"/>
      <c r="P723" s="230"/>
      <c r="Q723" s="230"/>
      <c r="R723" s="230"/>
      <c r="S723" s="230"/>
      <c r="T723" s="230"/>
      <c r="U723" s="230"/>
      <c r="V723" s="230"/>
      <c r="W723" s="230"/>
      <c r="X723" s="230"/>
      <c r="Y723" s="230"/>
      <c r="Z723" s="230"/>
    </row>
    <row r="724" spans="1:26" ht="15.75" customHeight="1">
      <c r="A724" s="230"/>
      <c r="B724" s="230"/>
      <c r="C724" s="230"/>
      <c r="D724" s="230"/>
      <c r="E724" s="230"/>
      <c r="F724" s="230"/>
      <c r="G724" s="230"/>
      <c r="H724" s="230"/>
      <c r="I724" s="230"/>
      <c r="J724" s="230"/>
      <c r="K724" s="230"/>
      <c r="L724" s="230"/>
      <c r="M724" s="230"/>
      <c r="N724" s="230"/>
      <c r="O724" s="230"/>
      <c r="P724" s="230"/>
      <c r="Q724" s="230"/>
      <c r="R724" s="230"/>
      <c r="S724" s="230"/>
      <c r="T724" s="230"/>
      <c r="U724" s="230"/>
      <c r="V724" s="230"/>
      <c r="W724" s="230"/>
      <c r="X724" s="230"/>
      <c r="Y724" s="230"/>
      <c r="Z724" s="230"/>
    </row>
    <row r="725" spans="1:26" ht="15.75" customHeight="1">
      <c r="A725" s="230"/>
      <c r="B725" s="230"/>
      <c r="C725" s="230"/>
      <c r="D725" s="230"/>
      <c r="E725" s="230"/>
      <c r="F725" s="230"/>
      <c r="G725" s="230"/>
      <c r="H725" s="230"/>
      <c r="I725" s="230"/>
      <c r="J725" s="230"/>
      <c r="K725" s="230"/>
      <c r="L725" s="230"/>
      <c r="M725" s="230"/>
      <c r="N725" s="230"/>
      <c r="O725" s="230"/>
      <c r="P725" s="230"/>
      <c r="Q725" s="230"/>
      <c r="R725" s="230"/>
      <c r="S725" s="230"/>
      <c r="T725" s="230"/>
      <c r="U725" s="230"/>
      <c r="V725" s="230"/>
      <c r="W725" s="230"/>
      <c r="X725" s="230"/>
      <c r="Y725" s="230"/>
      <c r="Z725" s="230"/>
    </row>
    <row r="726" spans="1:26" ht="15.75" customHeight="1">
      <c r="A726" s="230"/>
      <c r="B726" s="230"/>
      <c r="C726" s="230"/>
      <c r="D726" s="230"/>
      <c r="E726" s="230"/>
      <c r="F726" s="230"/>
      <c r="G726" s="230"/>
      <c r="H726" s="230"/>
      <c r="I726" s="230"/>
      <c r="J726" s="230"/>
      <c r="K726" s="230"/>
      <c r="L726" s="230"/>
      <c r="M726" s="230"/>
      <c r="N726" s="230"/>
      <c r="O726" s="230"/>
      <c r="P726" s="230"/>
      <c r="Q726" s="230"/>
      <c r="R726" s="230"/>
      <c r="S726" s="230"/>
      <c r="T726" s="230"/>
      <c r="U726" s="230"/>
      <c r="V726" s="230"/>
      <c r="W726" s="230"/>
      <c r="X726" s="230"/>
      <c r="Y726" s="230"/>
      <c r="Z726" s="230"/>
    </row>
    <row r="727" spans="1:26" ht="15.75" customHeight="1">
      <c r="A727" s="230"/>
      <c r="B727" s="230"/>
      <c r="C727" s="230"/>
      <c r="D727" s="230"/>
      <c r="E727" s="230"/>
      <c r="F727" s="230"/>
      <c r="G727" s="230"/>
      <c r="H727" s="230"/>
      <c r="I727" s="230"/>
      <c r="J727" s="230"/>
      <c r="K727" s="230"/>
      <c r="L727" s="230"/>
      <c r="M727" s="230"/>
      <c r="N727" s="230"/>
      <c r="O727" s="230"/>
      <c r="P727" s="230"/>
      <c r="Q727" s="230"/>
      <c r="R727" s="230"/>
      <c r="S727" s="230"/>
      <c r="T727" s="230"/>
      <c r="U727" s="230"/>
      <c r="V727" s="230"/>
      <c r="W727" s="230"/>
      <c r="X727" s="230"/>
      <c r="Y727" s="230"/>
      <c r="Z727" s="230"/>
    </row>
    <row r="728" spans="1:26" ht="15.75" customHeight="1">
      <c r="A728" s="230"/>
      <c r="B728" s="230"/>
      <c r="C728" s="230"/>
      <c r="D728" s="230"/>
      <c r="E728" s="230"/>
      <c r="F728" s="230"/>
      <c r="G728" s="230"/>
      <c r="H728" s="230"/>
      <c r="I728" s="230"/>
      <c r="J728" s="230"/>
      <c r="K728" s="230"/>
      <c r="L728" s="230"/>
      <c r="M728" s="230"/>
      <c r="N728" s="230"/>
      <c r="O728" s="230"/>
      <c r="P728" s="230"/>
      <c r="Q728" s="230"/>
      <c r="R728" s="230"/>
      <c r="S728" s="230"/>
      <c r="T728" s="230"/>
      <c r="U728" s="230"/>
      <c r="V728" s="230"/>
      <c r="W728" s="230"/>
      <c r="X728" s="230"/>
      <c r="Y728" s="230"/>
      <c r="Z728" s="230"/>
    </row>
    <row r="729" spans="1:26" ht="15.75" customHeight="1">
      <c r="A729" s="230"/>
      <c r="B729" s="230"/>
      <c r="C729" s="230"/>
      <c r="D729" s="230"/>
      <c r="E729" s="230"/>
      <c r="F729" s="230"/>
      <c r="G729" s="230"/>
      <c r="H729" s="230"/>
      <c r="I729" s="230"/>
      <c r="J729" s="230"/>
      <c r="K729" s="230"/>
      <c r="L729" s="230"/>
      <c r="M729" s="230"/>
      <c r="N729" s="230"/>
      <c r="O729" s="230"/>
      <c r="P729" s="230"/>
      <c r="Q729" s="230"/>
      <c r="R729" s="230"/>
      <c r="S729" s="230"/>
      <c r="T729" s="230"/>
      <c r="U729" s="230"/>
      <c r="V729" s="230"/>
      <c r="W729" s="230"/>
      <c r="X729" s="230"/>
      <c r="Y729" s="230"/>
      <c r="Z729" s="230"/>
    </row>
    <row r="730" spans="1:26" ht="15.75" customHeight="1">
      <c r="A730" s="230"/>
      <c r="B730" s="230"/>
      <c r="C730" s="230"/>
      <c r="D730" s="230"/>
      <c r="E730" s="230"/>
      <c r="F730" s="230"/>
      <c r="G730" s="230"/>
      <c r="H730" s="230"/>
      <c r="I730" s="230"/>
      <c r="J730" s="230"/>
      <c r="K730" s="230"/>
      <c r="L730" s="230"/>
      <c r="M730" s="230"/>
      <c r="N730" s="230"/>
      <c r="O730" s="230"/>
      <c r="P730" s="230"/>
      <c r="Q730" s="230"/>
      <c r="R730" s="230"/>
      <c r="S730" s="230"/>
      <c r="T730" s="230"/>
      <c r="U730" s="230"/>
      <c r="V730" s="230"/>
      <c r="W730" s="230"/>
      <c r="X730" s="230"/>
      <c r="Y730" s="230"/>
      <c r="Z730" s="230"/>
    </row>
    <row r="731" spans="1:26" ht="15.75" customHeight="1">
      <c r="A731" s="230"/>
      <c r="B731" s="230"/>
      <c r="C731" s="230"/>
      <c r="D731" s="230"/>
      <c r="E731" s="230"/>
      <c r="F731" s="230"/>
      <c r="G731" s="230"/>
      <c r="H731" s="230"/>
      <c r="I731" s="230"/>
      <c r="J731" s="230"/>
      <c r="K731" s="230"/>
      <c r="L731" s="230"/>
      <c r="M731" s="230"/>
      <c r="N731" s="230"/>
      <c r="O731" s="230"/>
      <c r="P731" s="230"/>
      <c r="Q731" s="230"/>
      <c r="R731" s="230"/>
      <c r="S731" s="230"/>
      <c r="T731" s="230"/>
      <c r="U731" s="230"/>
      <c r="V731" s="230"/>
      <c r="W731" s="230"/>
      <c r="X731" s="230"/>
      <c r="Y731" s="230"/>
      <c r="Z731" s="230"/>
    </row>
    <row r="732" spans="1:26" ht="15.75" customHeight="1">
      <c r="A732" s="230"/>
      <c r="B732" s="230"/>
      <c r="C732" s="230"/>
      <c r="D732" s="230"/>
      <c r="E732" s="230"/>
      <c r="F732" s="230"/>
      <c r="G732" s="230"/>
      <c r="H732" s="230"/>
      <c r="I732" s="230"/>
      <c r="J732" s="230"/>
      <c r="K732" s="230"/>
      <c r="L732" s="230"/>
      <c r="M732" s="230"/>
      <c r="N732" s="230"/>
      <c r="O732" s="230"/>
      <c r="P732" s="230"/>
      <c r="Q732" s="230"/>
      <c r="R732" s="230"/>
      <c r="S732" s="230"/>
      <c r="T732" s="230"/>
      <c r="U732" s="230"/>
      <c r="V732" s="230"/>
      <c r="W732" s="230"/>
      <c r="X732" s="230"/>
      <c r="Y732" s="230"/>
      <c r="Z732" s="230"/>
    </row>
    <row r="733" spans="1:26" ht="15.75" customHeight="1">
      <c r="A733" s="230"/>
      <c r="B733" s="230"/>
      <c r="C733" s="230"/>
      <c r="D733" s="230"/>
      <c r="E733" s="230"/>
      <c r="F733" s="230"/>
      <c r="G733" s="230"/>
      <c r="H733" s="230"/>
      <c r="I733" s="230"/>
      <c r="J733" s="230"/>
      <c r="K733" s="230"/>
      <c r="L733" s="230"/>
      <c r="M733" s="230"/>
      <c r="N733" s="230"/>
      <c r="O733" s="230"/>
      <c r="P733" s="230"/>
      <c r="Q733" s="230"/>
      <c r="R733" s="230"/>
      <c r="S733" s="230"/>
      <c r="T733" s="230"/>
      <c r="U733" s="230"/>
      <c r="V733" s="230"/>
      <c r="W733" s="230"/>
      <c r="X733" s="230"/>
      <c r="Y733" s="230"/>
      <c r="Z733" s="230"/>
    </row>
    <row r="734" spans="1:26" ht="15.75" customHeight="1">
      <c r="A734" s="230"/>
      <c r="B734" s="230"/>
      <c r="C734" s="230"/>
      <c r="D734" s="230"/>
      <c r="E734" s="230"/>
      <c r="F734" s="230"/>
      <c r="G734" s="230"/>
      <c r="H734" s="230"/>
      <c r="I734" s="230"/>
      <c r="J734" s="230"/>
      <c r="K734" s="230"/>
      <c r="L734" s="230"/>
      <c r="M734" s="230"/>
      <c r="N734" s="230"/>
      <c r="O734" s="230"/>
      <c r="P734" s="230"/>
      <c r="Q734" s="230"/>
      <c r="R734" s="230"/>
      <c r="S734" s="230"/>
      <c r="T734" s="230"/>
      <c r="U734" s="230"/>
      <c r="V734" s="230"/>
      <c r="W734" s="230"/>
      <c r="X734" s="230"/>
      <c r="Y734" s="230"/>
      <c r="Z734" s="230"/>
    </row>
    <row r="735" spans="1:26" ht="15.75" customHeight="1">
      <c r="A735" s="230"/>
      <c r="B735" s="230"/>
      <c r="C735" s="230"/>
      <c r="D735" s="230"/>
      <c r="E735" s="230"/>
      <c r="F735" s="230"/>
      <c r="G735" s="230"/>
      <c r="H735" s="230"/>
      <c r="I735" s="230"/>
      <c r="J735" s="230"/>
      <c r="K735" s="230"/>
      <c r="L735" s="230"/>
      <c r="M735" s="230"/>
      <c r="N735" s="230"/>
      <c r="O735" s="230"/>
      <c r="P735" s="230"/>
      <c r="Q735" s="230"/>
      <c r="R735" s="230"/>
      <c r="S735" s="230"/>
      <c r="T735" s="230"/>
      <c r="U735" s="230"/>
      <c r="V735" s="230"/>
      <c r="W735" s="230"/>
      <c r="X735" s="230"/>
      <c r="Y735" s="230"/>
      <c r="Z735" s="230"/>
    </row>
    <row r="736" spans="1:26" ht="15.75" customHeight="1">
      <c r="A736" s="230"/>
      <c r="B736" s="230"/>
      <c r="C736" s="230"/>
      <c r="D736" s="230"/>
      <c r="E736" s="230"/>
      <c r="F736" s="230"/>
      <c r="G736" s="230"/>
      <c r="H736" s="230"/>
      <c r="I736" s="230"/>
      <c r="J736" s="230"/>
      <c r="K736" s="230"/>
      <c r="L736" s="230"/>
      <c r="M736" s="230"/>
      <c r="N736" s="230"/>
      <c r="O736" s="230"/>
      <c r="P736" s="230"/>
      <c r="Q736" s="230"/>
      <c r="R736" s="230"/>
      <c r="S736" s="230"/>
      <c r="T736" s="230"/>
      <c r="U736" s="230"/>
      <c r="V736" s="230"/>
      <c r="W736" s="230"/>
      <c r="X736" s="230"/>
      <c r="Y736" s="230"/>
      <c r="Z736" s="230"/>
    </row>
    <row r="737" spans="1:26" ht="15.75" customHeight="1">
      <c r="A737" s="230"/>
      <c r="B737" s="230"/>
      <c r="C737" s="230"/>
      <c r="D737" s="230"/>
      <c r="E737" s="230"/>
      <c r="F737" s="230"/>
      <c r="G737" s="230"/>
      <c r="H737" s="230"/>
      <c r="I737" s="230"/>
      <c r="J737" s="230"/>
      <c r="K737" s="230"/>
      <c r="L737" s="230"/>
      <c r="M737" s="230"/>
      <c r="N737" s="230"/>
      <c r="O737" s="230"/>
      <c r="P737" s="230"/>
      <c r="Q737" s="230"/>
      <c r="R737" s="230"/>
      <c r="S737" s="230"/>
      <c r="T737" s="230"/>
      <c r="U737" s="230"/>
      <c r="V737" s="230"/>
      <c r="W737" s="230"/>
      <c r="X737" s="230"/>
      <c r="Y737" s="230"/>
      <c r="Z737" s="230"/>
    </row>
    <row r="738" spans="1:26" ht="15.75" customHeight="1">
      <c r="A738" s="230"/>
      <c r="B738" s="230"/>
      <c r="C738" s="230"/>
      <c r="D738" s="230"/>
      <c r="E738" s="230"/>
      <c r="F738" s="230"/>
      <c r="G738" s="230"/>
      <c r="H738" s="230"/>
      <c r="I738" s="230"/>
      <c r="J738" s="230"/>
      <c r="K738" s="230"/>
      <c r="L738" s="230"/>
      <c r="M738" s="230"/>
      <c r="N738" s="230"/>
      <c r="O738" s="230"/>
      <c r="P738" s="230"/>
      <c r="Q738" s="230"/>
      <c r="R738" s="230"/>
      <c r="S738" s="230"/>
      <c r="T738" s="230"/>
      <c r="U738" s="230"/>
      <c r="V738" s="230"/>
      <c r="W738" s="230"/>
      <c r="X738" s="230"/>
      <c r="Y738" s="230"/>
      <c r="Z738" s="230"/>
    </row>
    <row r="739" spans="1:26" ht="15.75" customHeight="1">
      <c r="A739" s="230"/>
      <c r="B739" s="230"/>
      <c r="C739" s="230"/>
      <c r="D739" s="230"/>
      <c r="E739" s="230"/>
      <c r="F739" s="230"/>
      <c r="G739" s="230"/>
      <c r="H739" s="230"/>
      <c r="I739" s="230"/>
      <c r="J739" s="230"/>
      <c r="K739" s="230"/>
      <c r="L739" s="230"/>
      <c r="M739" s="230"/>
      <c r="N739" s="230"/>
      <c r="O739" s="230"/>
      <c r="P739" s="230"/>
      <c r="Q739" s="230"/>
      <c r="R739" s="230"/>
      <c r="S739" s="230"/>
      <c r="T739" s="230"/>
      <c r="U739" s="230"/>
      <c r="V739" s="230"/>
      <c r="W739" s="230"/>
      <c r="X739" s="230"/>
      <c r="Y739" s="230"/>
      <c r="Z739" s="230"/>
    </row>
    <row r="740" spans="1:26" ht="15.75" customHeight="1">
      <c r="A740" s="230"/>
      <c r="B740" s="230"/>
      <c r="C740" s="230"/>
      <c r="D740" s="230"/>
      <c r="E740" s="230"/>
      <c r="F740" s="230"/>
      <c r="G740" s="230"/>
      <c r="H740" s="230"/>
      <c r="I740" s="230"/>
      <c r="J740" s="230"/>
      <c r="K740" s="230"/>
      <c r="L740" s="230"/>
      <c r="M740" s="230"/>
      <c r="N740" s="230"/>
      <c r="O740" s="230"/>
      <c r="P740" s="230"/>
      <c r="Q740" s="230"/>
      <c r="R740" s="230"/>
      <c r="S740" s="230"/>
      <c r="T740" s="230"/>
      <c r="U740" s="230"/>
      <c r="V740" s="230"/>
      <c r="W740" s="230"/>
      <c r="X740" s="230"/>
      <c r="Y740" s="230"/>
      <c r="Z740" s="230"/>
    </row>
    <row r="741" spans="1:26" ht="15.75" customHeight="1">
      <c r="A741" s="230"/>
      <c r="B741" s="230"/>
      <c r="C741" s="230"/>
      <c r="D741" s="230"/>
      <c r="E741" s="230"/>
      <c r="F741" s="230"/>
      <c r="G741" s="230"/>
      <c r="H741" s="230"/>
      <c r="I741" s="230"/>
      <c r="J741" s="230"/>
      <c r="K741" s="230"/>
      <c r="L741" s="230"/>
      <c r="M741" s="230"/>
      <c r="N741" s="230"/>
      <c r="O741" s="230"/>
      <c r="P741" s="230"/>
      <c r="Q741" s="230"/>
      <c r="R741" s="230"/>
      <c r="S741" s="230"/>
      <c r="T741" s="230"/>
      <c r="U741" s="230"/>
      <c r="V741" s="230"/>
      <c r="W741" s="230"/>
      <c r="X741" s="230"/>
      <c r="Y741" s="230"/>
      <c r="Z741" s="230"/>
    </row>
    <row r="742" spans="1:26" ht="15.75" customHeight="1">
      <c r="A742" s="230"/>
      <c r="B742" s="230"/>
      <c r="C742" s="230"/>
      <c r="D742" s="230"/>
      <c r="E742" s="230"/>
      <c r="F742" s="230"/>
      <c r="G742" s="230"/>
      <c r="H742" s="230"/>
      <c r="I742" s="230"/>
      <c r="J742" s="230"/>
      <c r="K742" s="230"/>
      <c r="L742" s="230"/>
      <c r="M742" s="230"/>
      <c r="N742" s="230"/>
      <c r="O742" s="230"/>
      <c r="P742" s="230"/>
      <c r="Q742" s="230"/>
      <c r="R742" s="230"/>
      <c r="S742" s="230"/>
      <c r="T742" s="230"/>
      <c r="U742" s="230"/>
      <c r="V742" s="230"/>
      <c r="W742" s="230"/>
      <c r="X742" s="230"/>
      <c r="Y742" s="230"/>
      <c r="Z742" s="230"/>
    </row>
    <row r="743" spans="1:26" ht="15.75" customHeight="1">
      <c r="A743" s="230"/>
      <c r="B743" s="230"/>
      <c r="C743" s="230"/>
      <c r="D743" s="230"/>
      <c r="E743" s="230"/>
      <c r="F743" s="230"/>
      <c r="G743" s="230"/>
      <c r="H743" s="230"/>
      <c r="I743" s="230"/>
      <c r="J743" s="230"/>
      <c r="K743" s="230"/>
      <c r="L743" s="230"/>
      <c r="M743" s="230"/>
      <c r="N743" s="230"/>
      <c r="O743" s="230"/>
      <c r="P743" s="230"/>
      <c r="Q743" s="230"/>
      <c r="R743" s="230"/>
      <c r="S743" s="230"/>
      <c r="T743" s="230"/>
      <c r="U743" s="230"/>
      <c r="V743" s="230"/>
      <c r="W743" s="230"/>
      <c r="X743" s="230"/>
      <c r="Y743" s="230"/>
      <c r="Z743" s="230"/>
    </row>
    <row r="744" spans="1:26" ht="15.75" customHeight="1">
      <c r="A744" s="230"/>
      <c r="B744" s="230"/>
      <c r="C744" s="230"/>
      <c r="D744" s="230"/>
      <c r="E744" s="230"/>
      <c r="F744" s="230"/>
      <c r="G744" s="230"/>
      <c r="H744" s="230"/>
      <c r="I744" s="230"/>
      <c r="J744" s="230"/>
      <c r="K744" s="230"/>
      <c r="L744" s="230"/>
      <c r="M744" s="230"/>
      <c r="N744" s="230"/>
      <c r="O744" s="230"/>
      <c r="P744" s="230"/>
      <c r="Q744" s="230"/>
      <c r="R744" s="230"/>
      <c r="S744" s="230"/>
      <c r="T744" s="230"/>
      <c r="U744" s="230"/>
      <c r="V744" s="230"/>
      <c r="W744" s="230"/>
      <c r="X744" s="230"/>
      <c r="Y744" s="230"/>
      <c r="Z744" s="230"/>
    </row>
    <row r="745" spans="1:26" ht="15.75" customHeight="1">
      <c r="A745" s="230"/>
      <c r="B745" s="230"/>
      <c r="C745" s="230"/>
      <c r="D745" s="230"/>
      <c r="E745" s="230"/>
      <c r="F745" s="230"/>
      <c r="G745" s="230"/>
      <c r="H745" s="230"/>
      <c r="I745" s="230"/>
      <c r="J745" s="230"/>
      <c r="K745" s="230"/>
      <c r="L745" s="230"/>
      <c r="M745" s="230"/>
      <c r="N745" s="230"/>
      <c r="O745" s="230"/>
      <c r="P745" s="230"/>
      <c r="Q745" s="230"/>
      <c r="R745" s="230"/>
      <c r="S745" s="230"/>
      <c r="T745" s="230"/>
      <c r="U745" s="230"/>
      <c r="V745" s="230"/>
      <c r="W745" s="230"/>
      <c r="X745" s="230"/>
      <c r="Y745" s="230"/>
      <c r="Z745" s="230"/>
    </row>
    <row r="746" spans="1:26" ht="15.75" customHeight="1">
      <c r="A746" s="230"/>
      <c r="B746" s="230"/>
      <c r="C746" s="230"/>
      <c r="D746" s="230"/>
      <c r="E746" s="230"/>
      <c r="F746" s="230"/>
      <c r="G746" s="230"/>
      <c r="H746" s="230"/>
      <c r="I746" s="230"/>
      <c r="J746" s="230"/>
      <c r="K746" s="230"/>
      <c r="L746" s="230"/>
      <c r="M746" s="230"/>
      <c r="N746" s="230"/>
      <c r="O746" s="230"/>
      <c r="P746" s="230"/>
      <c r="Q746" s="230"/>
      <c r="R746" s="230"/>
      <c r="S746" s="230"/>
      <c r="T746" s="230"/>
      <c r="U746" s="230"/>
      <c r="V746" s="230"/>
      <c r="W746" s="230"/>
      <c r="X746" s="230"/>
      <c r="Y746" s="230"/>
      <c r="Z746" s="230"/>
    </row>
    <row r="747" spans="1:26" ht="15.75" customHeight="1">
      <c r="A747" s="230"/>
      <c r="B747" s="230"/>
      <c r="C747" s="230"/>
      <c r="D747" s="230"/>
      <c r="E747" s="230"/>
      <c r="F747" s="230"/>
      <c r="G747" s="230"/>
      <c r="H747" s="230"/>
      <c r="I747" s="230"/>
      <c r="J747" s="230"/>
      <c r="K747" s="230"/>
      <c r="L747" s="230"/>
      <c r="M747" s="230"/>
      <c r="N747" s="230"/>
      <c r="O747" s="230"/>
      <c r="P747" s="230"/>
      <c r="Q747" s="230"/>
      <c r="R747" s="230"/>
      <c r="S747" s="230"/>
      <c r="T747" s="230"/>
      <c r="U747" s="230"/>
      <c r="V747" s="230"/>
      <c r="W747" s="230"/>
      <c r="X747" s="230"/>
      <c r="Y747" s="230"/>
      <c r="Z747" s="230"/>
    </row>
    <row r="748" spans="1:26" ht="15.75" customHeight="1">
      <c r="A748" s="230"/>
      <c r="B748" s="230"/>
      <c r="C748" s="230"/>
      <c r="D748" s="230"/>
      <c r="E748" s="230"/>
      <c r="F748" s="230"/>
      <c r="G748" s="230"/>
      <c r="H748" s="230"/>
      <c r="I748" s="230"/>
      <c r="J748" s="230"/>
      <c r="K748" s="230"/>
      <c r="L748" s="230"/>
      <c r="M748" s="230"/>
      <c r="N748" s="230"/>
      <c r="O748" s="230"/>
      <c r="P748" s="230"/>
      <c r="Q748" s="230"/>
      <c r="R748" s="230"/>
      <c r="S748" s="230"/>
      <c r="T748" s="230"/>
      <c r="U748" s="230"/>
      <c r="V748" s="230"/>
      <c r="W748" s="230"/>
      <c r="X748" s="230"/>
      <c r="Y748" s="230"/>
      <c r="Z748" s="230"/>
    </row>
    <row r="749" spans="1:26" ht="15.75" customHeight="1">
      <c r="A749" s="230"/>
      <c r="B749" s="230"/>
      <c r="C749" s="230"/>
      <c r="D749" s="230"/>
      <c r="E749" s="230"/>
      <c r="F749" s="230"/>
      <c r="G749" s="230"/>
      <c r="H749" s="230"/>
      <c r="I749" s="230"/>
      <c r="J749" s="230"/>
      <c r="K749" s="230"/>
      <c r="L749" s="230"/>
      <c r="M749" s="230"/>
      <c r="N749" s="230"/>
      <c r="O749" s="230"/>
      <c r="P749" s="230"/>
      <c r="Q749" s="230"/>
      <c r="R749" s="230"/>
      <c r="S749" s="230"/>
      <c r="T749" s="230"/>
      <c r="U749" s="230"/>
      <c r="V749" s="230"/>
      <c r="W749" s="230"/>
      <c r="X749" s="230"/>
      <c r="Y749" s="230"/>
      <c r="Z749" s="230"/>
    </row>
    <row r="750" spans="1:26" ht="15.75" customHeight="1">
      <c r="A750" s="230"/>
      <c r="B750" s="230"/>
      <c r="C750" s="230"/>
      <c r="D750" s="230"/>
      <c r="E750" s="230"/>
      <c r="F750" s="230"/>
      <c r="G750" s="230"/>
      <c r="H750" s="230"/>
      <c r="I750" s="230"/>
      <c r="J750" s="230"/>
      <c r="K750" s="230"/>
      <c r="L750" s="230"/>
      <c r="M750" s="230"/>
      <c r="N750" s="230"/>
      <c r="O750" s="230"/>
      <c r="P750" s="230"/>
      <c r="Q750" s="230"/>
      <c r="R750" s="230"/>
      <c r="S750" s="230"/>
      <c r="T750" s="230"/>
      <c r="U750" s="230"/>
      <c r="V750" s="230"/>
      <c r="W750" s="230"/>
      <c r="X750" s="230"/>
      <c r="Y750" s="230"/>
      <c r="Z750" s="230"/>
    </row>
    <row r="751" spans="1:26" ht="15.75" customHeight="1">
      <c r="A751" s="230"/>
      <c r="B751" s="230"/>
      <c r="C751" s="230"/>
      <c r="D751" s="230"/>
      <c r="E751" s="230"/>
      <c r="F751" s="230"/>
      <c r="G751" s="230"/>
      <c r="H751" s="230"/>
      <c r="I751" s="230"/>
      <c r="J751" s="230"/>
      <c r="K751" s="230"/>
      <c r="L751" s="230"/>
      <c r="M751" s="230"/>
      <c r="N751" s="230"/>
      <c r="O751" s="230"/>
      <c r="P751" s="230"/>
      <c r="Q751" s="230"/>
      <c r="R751" s="230"/>
      <c r="S751" s="230"/>
      <c r="T751" s="230"/>
      <c r="U751" s="230"/>
      <c r="V751" s="230"/>
      <c r="W751" s="230"/>
      <c r="X751" s="230"/>
      <c r="Y751" s="230"/>
      <c r="Z751" s="230"/>
    </row>
    <row r="752" spans="1:26" ht="15.75" customHeight="1">
      <c r="A752" s="230"/>
      <c r="B752" s="230"/>
      <c r="C752" s="230"/>
      <c r="D752" s="230"/>
      <c r="E752" s="230"/>
      <c r="F752" s="230"/>
      <c r="G752" s="230"/>
      <c r="H752" s="230"/>
      <c r="I752" s="230"/>
      <c r="J752" s="230"/>
      <c r="K752" s="230"/>
      <c r="L752" s="230"/>
      <c r="M752" s="230"/>
      <c r="N752" s="230"/>
      <c r="O752" s="230"/>
      <c r="P752" s="230"/>
      <c r="Q752" s="230"/>
      <c r="R752" s="230"/>
      <c r="S752" s="230"/>
      <c r="T752" s="230"/>
      <c r="U752" s="230"/>
      <c r="V752" s="230"/>
      <c r="W752" s="230"/>
      <c r="X752" s="230"/>
      <c r="Y752" s="230"/>
      <c r="Z752" s="230"/>
    </row>
    <row r="753" spans="1:26" ht="15.75" customHeight="1">
      <c r="A753" s="230"/>
      <c r="B753" s="230"/>
      <c r="C753" s="230"/>
      <c r="D753" s="230"/>
      <c r="E753" s="230"/>
      <c r="F753" s="230"/>
      <c r="G753" s="230"/>
      <c r="H753" s="230"/>
      <c r="I753" s="230"/>
      <c r="J753" s="230"/>
      <c r="K753" s="230"/>
      <c r="L753" s="230"/>
      <c r="M753" s="230"/>
      <c r="N753" s="230"/>
      <c r="O753" s="230"/>
      <c r="P753" s="230"/>
      <c r="Q753" s="230"/>
      <c r="R753" s="230"/>
      <c r="S753" s="230"/>
      <c r="T753" s="230"/>
      <c r="U753" s="230"/>
      <c r="V753" s="230"/>
      <c r="W753" s="230"/>
      <c r="X753" s="230"/>
      <c r="Y753" s="230"/>
      <c r="Z753" s="230"/>
    </row>
    <row r="754" spans="1:26" ht="15.75" customHeight="1">
      <c r="A754" s="230"/>
      <c r="B754" s="230"/>
      <c r="C754" s="230"/>
      <c r="D754" s="230"/>
      <c r="E754" s="230"/>
      <c r="F754" s="230"/>
      <c r="G754" s="230"/>
      <c r="H754" s="230"/>
      <c r="I754" s="230"/>
      <c r="J754" s="230"/>
      <c r="K754" s="230"/>
      <c r="L754" s="230"/>
      <c r="M754" s="230"/>
      <c r="N754" s="230"/>
      <c r="O754" s="230"/>
      <c r="P754" s="230"/>
      <c r="Q754" s="230"/>
      <c r="R754" s="230"/>
      <c r="S754" s="230"/>
      <c r="T754" s="230"/>
      <c r="U754" s="230"/>
      <c r="V754" s="230"/>
      <c r="W754" s="230"/>
      <c r="X754" s="230"/>
      <c r="Y754" s="230"/>
      <c r="Z754" s="230"/>
    </row>
    <row r="755" spans="1:26" ht="15.75" customHeight="1">
      <c r="A755" s="230"/>
      <c r="B755" s="230"/>
      <c r="C755" s="230"/>
      <c r="D755" s="230"/>
      <c r="E755" s="230"/>
      <c r="F755" s="230"/>
      <c r="G755" s="230"/>
      <c r="H755" s="230"/>
      <c r="I755" s="230"/>
      <c r="J755" s="230"/>
      <c r="K755" s="230"/>
      <c r="L755" s="230"/>
      <c r="M755" s="230"/>
      <c r="N755" s="230"/>
      <c r="O755" s="230"/>
      <c r="P755" s="230"/>
      <c r="Q755" s="230"/>
      <c r="R755" s="230"/>
      <c r="S755" s="230"/>
      <c r="T755" s="230"/>
      <c r="U755" s="230"/>
      <c r="V755" s="230"/>
      <c r="W755" s="230"/>
      <c r="X755" s="230"/>
      <c r="Y755" s="230"/>
      <c r="Z755" s="230"/>
    </row>
    <row r="756" spans="1:26" ht="15.75" customHeight="1">
      <c r="A756" s="230"/>
      <c r="B756" s="230"/>
      <c r="C756" s="230"/>
      <c r="D756" s="230"/>
      <c r="E756" s="230"/>
      <c r="F756" s="230"/>
      <c r="G756" s="230"/>
      <c r="H756" s="230"/>
      <c r="I756" s="230"/>
      <c r="J756" s="230"/>
      <c r="K756" s="230"/>
      <c r="L756" s="230"/>
      <c r="M756" s="230"/>
      <c r="N756" s="230"/>
      <c r="O756" s="230"/>
      <c r="P756" s="230"/>
      <c r="Q756" s="230"/>
      <c r="R756" s="230"/>
      <c r="S756" s="230"/>
      <c r="T756" s="230"/>
      <c r="U756" s="230"/>
      <c r="V756" s="230"/>
      <c r="W756" s="230"/>
      <c r="X756" s="230"/>
      <c r="Y756" s="230"/>
      <c r="Z756" s="230"/>
    </row>
    <row r="757" spans="1:26" ht="15.75" customHeight="1">
      <c r="A757" s="230"/>
      <c r="B757" s="230"/>
      <c r="C757" s="230"/>
      <c r="D757" s="230"/>
      <c r="E757" s="230"/>
      <c r="F757" s="230"/>
      <c r="G757" s="230"/>
      <c r="H757" s="230"/>
      <c r="I757" s="230"/>
      <c r="J757" s="230"/>
      <c r="K757" s="230"/>
      <c r="L757" s="230"/>
      <c r="M757" s="230"/>
      <c r="N757" s="230"/>
      <c r="O757" s="230"/>
      <c r="P757" s="230"/>
      <c r="Q757" s="230"/>
      <c r="R757" s="230"/>
      <c r="S757" s="230"/>
      <c r="T757" s="230"/>
      <c r="U757" s="230"/>
      <c r="V757" s="230"/>
      <c r="W757" s="230"/>
      <c r="X757" s="230"/>
      <c r="Y757" s="230"/>
      <c r="Z757" s="230"/>
    </row>
    <row r="758" spans="1:26" ht="15.75" customHeight="1">
      <c r="A758" s="230"/>
      <c r="B758" s="230"/>
      <c r="C758" s="230"/>
      <c r="D758" s="230"/>
      <c r="E758" s="230"/>
      <c r="F758" s="230"/>
      <c r="G758" s="230"/>
      <c r="H758" s="230"/>
      <c r="I758" s="230"/>
      <c r="J758" s="230"/>
      <c r="K758" s="230"/>
      <c r="L758" s="230"/>
      <c r="M758" s="230"/>
      <c r="N758" s="230"/>
      <c r="O758" s="230"/>
      <c r="P758" s="230"/>
      <c r="Q758" s="230"/>
      <c r="R758" s="230"/>
      <c r="S758" s="230"/>
      <c r="T758" s="230"/>
      <c r="U758" s="230"/>
      <c r="V758" s="230"/>
      <c r="W758" s="230"/>
      <c r="X758" s="230"/>
      <c r="Y758" s="230"/>
      <c r="Z758" s="230"/>
    </row>
    <row r="759" spans="1:26" ht="15.75" customHeight="1">
      <c r="A759" s="230"/>
      <c r="B759" s="230"/>
      <c r="C759" s="230"/>
      <c r="D759" s="230"/>
      <c r="E759" s="230"/>
      <c r="F759" s="230"/>
      <c r="G759" s="230"/>
      <c r="H759" s="230"/>
      <c r="I759" s="230"/>
      <c r="J759" s="230"/>
      <c r="K759" s="230"/>
      <c r="L759" s="230"/>
      <c r="M759" s="230"/>
      <c r="N759" s="230"/>
      <c r="O759" s="230"/>
      <c r="P759" s="230"/>
      <c r="Q759" s="230"/>
      <c r="R759" s="230"/>
      <c r="S759" s="230"/>
      <c r="T759" s="230"/>
      <c r="U759" s="230"/>
      <c r="V759" s="230"/>
      <c r="W759" s="230"/>
      <c r="X759" s="230"/>
      <c r="Y759" s="230"/>
      <c r="Z759" s="230"/>
    </row>
    <row r="760" spans="1:26" ht="15.75" customHeight="1">
      <c r="A760" s="230"/>
      <c r="B760" s="230"/>
      <c r="C760" s="230"/>
      <c r="D760" s="230"/>
      <c r="E760" s="230"/>
      <c r="F760" s="230"/>
      <c r="G760" s="230"/>
      <c r="H760" s="230"/>
      <c r="I760" s="230"/>
      <c r="J760" s="230"/>
      <c r="K760" s="230"/>
      <c r="L760" s="230"/>
      <c r="M760" s="230"/>
      <c r="N760" s="230"/>
      <c r="O760" s="230"/>
      <c r="P760" s="230"/>
      <c r="Q760" s="230"/>
      <c r="R760" s="230"/>
      <c r="S760" s="230"/>
      <c r="T760" s="230"/>
      <c r="U760" s="230"/>
      <c r="V760" s="230"/>
      <c r="W760" s="230"/>
      <c r="X760" s="230"/>
      <c r="Y760" s="230"/>
      <c r="Z760" s="230"/>
    </row>
    <row r="761" spans="1:26" ht="15.75" customHeight="1">
      <c r="A761" s="230"/>
      <c r="B761" s="230"/>
      <c r="C761" s="230"/>
      <c r="D761" s="230"/>
      <c r="E761" s="230"/>
      <c r="F761" s="230"/>
      <c r="G761" s="230"/>
      <c r="H761" s="230"/>
      <c r="I761" s="230"/>
      <c r="J761" s="230"/>
      <c r="K761" s="230"/>
      <c r="L761" s="230"/>
      <c r="M761" s="230"/>
      <c r="N761" s="230"/>
      <c r="O761" s="230"/>
      <c r="P761" s="230"/>
      <c r="Q761" s="230"/>
      <c r="R761" s="230"/>
      <c r="S761" s="230"/>
      <c r="T761" s="230"/>
      <c r="U761" s="230"/>
      <c r="V761" s="230"/>
      <c r="W761" s="230"/>
      <c r="X761" s="230"/>
      <c r="Y761" s="230"/>
      <c r="Z761" s="230"/>
    </row>
    <row r="762" spans="1:26" ht="15.75" customHeight="1">
      <c r="A762" s="230"/>
      <c r="B762" s="230"/>
      <c r="C762" s="230"/>
      <c r="D762" s="230"/>
      <c r="E762" s="230"/>
      <c r="F762" s="230"/>
      <c r="G762" s="230"/>
      <c r="H762" s="230"/>
      <c r="I762" s="230"/>
      <c r="J762" s="230"/>
      <c r="K762" s="230"/>
      <c r="L762" s="230"/>
      <c r="M762" s="230"/>
      <c r="N762" s="230"/>
      <c r="O762" s="230"/>
      <c r="P762" s="230"/>
      <c r="Q762" s="230"/>
      <c r="R762" s="230"/>
      <c r="S762" s="230"/>
      <c r="T762" s="230"/>
      <c r="U762" s="230"/>
      <c r="V762" s="230"/>
      <c r="W762" s="230"/>
      <c r="X762" s="230"/>
      <c r="Y762" s="230"/>
      <c r="Z762" s="230"/>
    </row>
    <row r="763" spans="1:26" ht="15.75" customHeight="1">
      <c r="A763" s="230"/>
      <c r="B763" s="230"/>
      <c r="C763" s="230"/>
      <c r="D763" s="230"/>
      <c r="E763" s="230"/>
      <c r="F763" s="230"/>
      <c r="G763" s="230"/>
      <c r="H763" s="230"/>
      <c r="I763" s="230"/>
      <c r="J763" s="230"/>
      <c r="K763" s="230"/>
      <c r="L763" s="230"/>
      <c r="M763" s="230"/>
      <c r="N763" s="230"/>
      <c r="O763" s="230"/>
      <c r="P763" s="230"/>
      <c r="Q763" s="230"/>
      <c r="R763" s="230"/>
      <c r="S763" s="230"/>
      <c r="T763" s="230"/>
      <c r="U763" s="230"/>
      <c r="V763" s="230"/>
      <c r="W763" s="230"/>
      <c r="X763" s="230"/>
      <c r="Y763" s="230"/>
      <c r="Z763" s="230"/>
    </row>
    <row r="764" spans="1:26" ht="15.75" customHeight="1">
      <c r="A764" s="230"/>
      <c r="B764" s="230"/>
      <c r="C764" s="230"/>
      <c r="D764" s="230"/>
      <c r="E764" s="230"/>
      <c r="F764" s="230"/>
      <c r="G764" s="230"/>
      <c r="H764" s="230"/>
      <c r="I764" s="230"/>
      <c r="J764" s="230"/>
      <c r="K764" s="230"/>
      <c r="L764" s="230"/>
      <c r="M764" s="230"/>
      <c r="N764" s="230"/>
      <c r="O764" s="230"/>
      <c r="P764" s="230"/>
      <c r="Q764" s="230"/>
      <c r="R764" s="230"/>
      <c r="S764" s="230"/>
      <c r="T764" s="230"/>
      <c r="U764" s="230"/>
      <c r="V764" s="230"/>
      <c r="W764" s="230"/>
      <c r="X764" s="230"/>
      <c r="Y764" s="230"/>
      <c r="Z764" s="230"/>
    </row>
    <row r="765" spans="1:26" ht="15.75" customHeight="1">
      <c r="A765" s="230"/>
      <c r="B765" s="230"/>
      <c r="C765" s="230"/>
      <c r="D765" s="230"/>
      <c r="E765" s="230"/>
      <c r="F765" s="230"/>
      <c r="G765" s="230"/>
      <c r="H765" s="230"/>
      <c r="I765" s="230"/>
      <c r="J765" s="230"/>
      <c r="K765" s="230"/>
      <c r="L765" s="230"/>
      <c r="M765" s="230"/>
      <c r="N765" s="230"/>
      <c r="O765" s="230"/>
      <c r="P765" s="230"/>
      <c r="Q765" s="230"/>
      <c r="R765" s="230"/>
      <c r="S765" s="230"/>
      <c r="T765" s="230"/>
      <c r="U765" s="230"/>
      <c r="V765" s="230"/>
      <c r="W765" s="230"/>
      <c r="X765" s="230"/>
      <c r="Y765" s="230"/>
      <c r="Z765" s="230"/>
    </row>
    <row r="766" spans="1:26" ht="15.75" customHeight="1">
      <c r="A766" s="230"/>
      <c r="B766" s="230"/>
      <c r="C766" s="230"/>
      <c r="D766" s="230"/>
      <c r="E766" s="230"/>
      <c r="F766" s="230"/>
      <c r="G766" s="230"/>
      <c r="H766" s="230"/>
      <c r="I766" s="230"/>
      <c r="J766" s="230"/>
      <c r="K766" s="230"/>
      <c r="L766" s="230"/>
      <c r="M766" s="230"/>
      <c r="N766" s="230"/>
      <c r="O766" s="230"/>
      <c r="P766" s="230"/>
      <c r="Q766" s="230"/>
      <c r="R766" s="230"/>
      <c r="S766" s="230"/>
      <c r="T766" s="230"/>
      <c r="U766" s="230"/>
      <c r="V766" s="230"/>
      <c r="W766" s="230"/>
      <c r="X766" s="230"/>
      <c r="Y766" s="230"/>
      <c r="Z766" s="230"/>
    </row>
    <row r="767" spans="1:26" ht="15.75" customHeight="1">
      <c r="A767" s="230"/>
      <c r="B767" s="230"/>
      <c r="C767" s="230"/>
      <c r="D767" s="230"/>
      <c r="E767" s="230"/>
      <c r="F767" s="230"/>
      <c r="G767" s="230"/>
      <c r="H767" s="230"/>
      <c r="I767" s="230"/>
      <c r="J767" s="230"/>
      <c r="K767" s="230"/>
      <c r="L767" s="230"/>
      <c r="M767" s="230"/>
      <c r="N767" s="230"/>
      <c r="O767" s="230"/>
      <c r="P767" s="230"/>
      <c r="Q767" s="230"/>
      <c r="R767" s="230"/>
      <c r="S767" s="230"/>
      <c r="T767" s="230"/>
      <c r="U767" s="230"/>
      <c r="V767" s="230"/>
      <c r="W767" s="230"/>
      <c r="X767" s="230"/>
      <c r="Y767" s="230"/>
      <c r="Z767" s="230"/>
    </row>
    <row r="768" spans="1:26" ht="15.75" customHeight="1">
      <c r="A768" s="230"/>
      <c r="B768" s="230"/>
      <c r="C768" s="230"/>
      <c r="D768" s="230"/>
      <c r="E768" s="230"/>
      <c r="F768" s="230"/>
      <c r="G768" s="230"/>
      <c r="H768" s="230"/>
      <c r="I768" s="230"/>
      <c r="J768" s="230"/>
      <c r="K768" s="230"/>
      <c r="L768" s="230"/>
      <c r="M768" s="230"/>
      <c r="N768" s="230"/>
      <c r="O768" s="230"/>
      <c r="P768" s="230"/>
      <c r="Q768" s="230"/>
      <c r="R768" s="230"/>
      <c r="S768" s="230"/>
      <c r="T768" s="230"/>
      <c r="U768" s="230"/>
      <c r="V768" s="230"/>
      <c r="W768" s="230"/>
      <c r="X768" s="230"/>
      <c r="Y768" s="230"/>
      <c r="Z768" s="230"/>
    </row>
    <row r="769" spans="1:26" ht="15.75" customHeight="1">
      <c r="A769" s="230"/>
      <c r="B769" s="230"/>
      <c r="C769" s="230"/>
      <c r="D769" s="230"/>
      <c r="E769" s="230"/>
      <c r="F769" s="230"/>
      <c r="G769" s="230"/>
      <c r="H769" s="230"/>
      <c r="I769" s="230"/>
      <c r="J769" s="230"/>
      <c r="K769" s="230"/>
      <c r="L769" s="230"/>
      <c r="M769" s="230"/>
      <c r="N769" s="230"/>
      <c r="O769" s="230"/>
      <c r="P769" s="230"/>
      <c r="Q769" s="230"/>
      <c r="R769" s="230"/>
      <c r="S769" s="230"/>
      <c r="T769" s="230"/>
      <c r="U769" s="230"/>
      <c r="V769" s="230"/>
      <c r="W769" s="230"/>
      <c r="X769" s="230"/>
      <c r="Y769" s="230"/>
      <c r="Z769" s="230"/>
    </row>
    <row r="770" spans="1:26" ht="15.75" customHeight="1">
      <c r="A770" s="230"/>
      <c r="B770" s="230"/>
      <c r="C770" s="230"/>
      <c r="D770" s="230"/>
      <c r="E770" s="230"/>
      <c r="F770" s="230"/>
      <c r="G770" s="230"/>
      <c r="H770" s="230"/>
      <c r="I770" s="230"/>
      <c r="J770" s="230"/>
      <c r="K770" s="230"/>
      <c r="L770" s="230"/>
      <c r="M770" s="230"/>
      <c r="N770" s="230"/>
      <c r="O770" s="230"/>
      <c r="P770" s="230"/>
      <c r="Q770" s="230"/>
      <c r="R770" s="230"/>
      <c r="S770" s="230"/>
      <c r="T770" s="230"/>
      <c r="U770" s="230"/>
      <c r="V770" s="230"/>
      <c r="W770" s="230"/>
      <c r="X770" s="230"/>
      <c r="Y770" s="230"/>
      <c r="Z770" s="230"/>
    </row>
    <row r="771" spans="1:26" ht="15.75" customHeight="1">
      <c r="A771" s="230"/>
      <c r="B771" s="230"/>
      <c r="C771" s="230"/>
      <c r="D771" s="230"/>
      <c r="E771" s="230"/>
      <c r="F771" s="230"/>
      <c r="G771" s="230"/>
      <c r="H771" s="230"/>
      <c r="I771" s="230"/>
      <c r="J771" s="230"/>
      <c r="K771" s="230"/>
      <c r="L771" s="230"/>
      <c r="M771" s="230"/>
      <c r="N771" s="230"/>
      <c r="O771" s="230"/>
      <c r="P771" s="230"/>
      <c r="Q771" s="230"/>
      <c r="R771" s="230"/>
      <c r="S771" s="230"/>
      <c r="T771" s="230"/>
      <c r="U771" s="230"/>
      <c r="V771" s="230"/>
      <c r="W771" s="230"/>
      <c r="X771" s="230"/>
      <c r="Y771" s="230"/>
      <c r="Z771" s="230"/>
    </row>
    <row r="772" spans="1:26" ht="15.75" customHeight="1">
      <c r="A772" s="230"/>
      <c r="B772" s="230"/>
      <c r="C772" s="230"/>
      <c r="D772" s="230"/>
      <c r="E772" s="230"/>
      <c r="F772" s="230"/>
      <c r="G772" s="230"/>
      <c r="H772" s="230"/>
      <c r="I772" s="230"/>
      <c r="J772" s="230"/>
      <c r="K772" s="230"/>
      <c r="L772" s="230"/>
      <c r="M772" s="230"/>
      <c r="N772" s="230"/>
      <c r="O772" s="230"/>
      <c r="P772" s="230"/>
      <c r="Q772" s="230"/>
      <c r="R772" s="230"/>
      <c r="S772" s="230"/>
      <c r="T772" s="230"/>
      <c r="U772" s="230"/>
      <c r="V772" s="230"/>
      <c r="W772" s="230"/>
      <c r="X772" s="230"/>
      <c r="Y772" s="230"/>
      <c r="Z772" s="230"/>
    </row>
    <row r="773" spans="1:26" ht="15.75" customHeight="1">
      <c r="A773" s="230"/>
      <c r="B773" s="230"/>
      <c r="C773" s="230"/>
      <c r="D773" s="230"/>
      <c r="E773" s="230"/>
      <c r="F773" s="230"/>
      <c r="G773" s="230"/>
      <c r="H773" s="230"/>
      <c r="I773" s="230"/>
      <c r="J773" s="230"/>
      <c r="K773" s="230"/>
      <c r="L773" s="230"/>
      <c r="M773" s="230"/>
      <c r="N773" s="230"/>
      <c r="O773" s="230"/>
      <c r="P773" s="230"/>
      <c r="Q773" s="230"/>
      <c r="R773" s="230"/>
      <c r="S773" s="230"/>
      <c r="T773" s="230"/>
      <c r="U773" s="230"/>
      <c r="V773" s="230"/>
      <c r="W773" s="230"/>
      <c r="X773" s="230"/>
      <c r="Y773" s="230"/>
      <c r="Z773" s="230"/>
    </row>
    <row r="774" spans="1:26" ht="15.75" customHeight="1">
      <c r="A774" s="230"/>
      <c r="B774" s="230"/>
      <c r="C774" s="230"/>
      <c r="D774" s="230"/>
      <c r="E774" s="230"/>
      <c r="F774" s="230"/>
      <c r="G774" s="230"/>
      <c r="H774" s="230"/>
      <c r="I774" s="230"/>
      <c r="J774" s="230"/>
      <c r="K774" s="230"/>
      <c r="L774" s="230"/>
      <c r="M774" s="230"/>
      <c r="N774" s="230"/>
      <c r="O774" s="230"/>
      <c r="P774" s="230"/>
      <c r="Q774" s="230"/>
      <c r="R774" s="230"/>
      <c r="S774" s="230"/>
      <c r="T774" s="230"/>
      <c r="U774" s="230"/>
      <c r="V774" s="230"/>
      <c r="W774" s="230"/>
      <c r="X774" s="230"/>
      <c r="Y774" s="230"/>
      <c r="Z774" s="230"/>
    </row>
    <row r="775" spans="1:26" ht="15.75" customHeight="1">
      <c r="A775" s="230"/>
      <c r="B775" s="230"/>
      <c r="C775" s="230"/>
      <c r="D775" s="230"/>
      <c r="E775" s="230"/>
      <c r="F775" s="230"/>
      <c r="G775" s="230"/>
      <c r="H775" s="230"/>
      <c r="I775" s="230"/>
      <c r="J775" s="230"/>
      <c r="K775" s="230"/>
      <c r="L775" s="230"/>
      <c r="M775" s="230"/>
      <c r="N775" s="230"/>
      <c r="O775" s="230"/>
      <c r="P775" s="230"/>
      <c r="Q775" s="230"/>
      <c r="R775" s="230"/>
      <c r="S775" s="230"/>
      <c r="T775" s="230"/>
      <c r="U775" s="230"/>
      <c r="V775" s="230"/>
      <c r="W775" s="230"/>
      <c r="X775" s="230"/>
      <c r="Y775" s="230"/>
      <c r="Z775" s="230"/>
    </row>
    <row r="776" spans="1:26" ht="15.75" customHeight="1">
      <c r="A776" s="230"/>
      <c r="B776" s="230"/>
      <c r="C776" s="230"/>
      <c r="D776" s="230"/>
      <c r="E776" s="230"/>
      <c r="F776" s="230"/>
      <c r="G776" s="230"/>
      <c r="H776" s="230"/>
      <c r="I776" s="230"/>
      <c r="J776" s="230"/>
      <c r="K776" s="230"/>
      <c r="L776" s="230"/>
      <c r="M776" s="230"/>
      <c r="N776" s="230"/>
      <c r="O776" s="230"/>
      <c r="P776" s="230"/>
      <c r="Q776" s="230"/>
      <c r="R776" s="230"/>
      <c r="S776" s="230"/>
      <c r="T776" s="230"/>
      <c r="U776" s="230"/>
      <c r="V776" s="230"/>
      <c r="W776" s="230"/>
      <c r="X776" s="230"/>
      <c r="Y776" s="230"/>
      <c r="Z776" s="230"/>
    </row>
    <row r="777" spans="1:26" ht="15.75" customHeight="1">
      <c r="A777" s="230"/>
      <c r="B777" s="230"/>
      <c r="C777" s="230"/>
      <c r="D777" s="230"/>
      <c r="E777" s="230"/>
      <c r="F777" s="230"/>
      <c r="G777" s="230"/>
      <c r="H777" s="230"/>
      <c r="I777" s="230"/>
      <c r="J777" s="230"/>
      <c r="K777" s="230"/>
      <c r="L777" s="230"/>
      <c r="M777" s="230"/>
      <c r="N777" s="230"/>
      <c r="O777" s="230"/>
      <c r="P777" s="230"/>
      <c r="Q777" s="230"/>
      <c r="R777" s="230"/>
      <c r="S777" s="230"/>
      <c r="T777" s="230"/>
      <c r="U777" s="230"/>
      <c r="V777" s="230"/>
      <c r="W777" s="230"/>
      <c r="X777" s="230"/>
      <c r="Y777" s="230"/>
      <c r="Z777" s="230"/>
    </row>
    <row r="778" spans="1:26" ht="15.75" customHeight="1">
      <c r="A778" s="230"/>
      <c r="B778" s="230"/>
      <c r="C778" s="230"/>
      <c r="D778" s="230"/>
      <c r="E778" s="230"/>
      <c r="F778" s="230"/>
      <c r="G778" s="230"/>
      <c r="H778" s="230"/>
      <c r="I778" s="230"/>
      <c r="J778" s="230"/>
      <c r="K778" s="230"/>
      <c r="L778" s="230"/>
      <c r="M778" s="230"/>
      <c r="N778" s="230"/>
      <c r="O778" s="230"/>
      <c r="P778" s="230"/>
      <c r="Q778" s="230"/>
      <c r="R778" s="230"/>
      <c r="S778" s="230"/>
      <c r="T778" s="230"/>
      <c r="U778" s="230"/>
      <c r="V778" s="230"/>
      <c r="W778" s="230"/>
      <c r="X778" s="230"/>
      <c r="Y778" s="230"/>
      <c r="Z778" s="230"/>
    </row>
    <row r="779" spans="1:26" ht="15.75" customHeight="1">
      <c r="A779" s="230"/>
      <c r="B779" s="230"/>
      <c r="C779" s="230"/>
      <c r="D779" s="230"/>
      <c r="E779" s="230"/>
      <c r="F779" s="230"/>
      <c r="G779" s="230"/>
      <c r="H779" s="230"/>
      <c r="I779" s="230"/>
      <c r="J779" s="230"/>
      <c r="K779" s="230"/>
      <c r="L779" s="230"/>
      <c r="M779" s="230"/>
      <c r="N779" s="230"/>
      <c r="O779" s="230"/>
      <c r="P779" s="230"/>
      <c r="Q779" s="230"/>
      <c r="R779" s="230"/>
      <c r="S779" s="230"/>
      <c r="T779" s="230"/>
      <c r="U779" s="230"/>
      <c r="V779" s="230"/>
      <c r="W779" s="230"/>
      <c r="X779" s="230"/>
      <c r="Y779" s="230"/>
      <c r="Z779" s="230"/>
    </row>
    <row r="780" spans="1:26" ht="15.75" customHeight="1">
      <c r="A780" s="230"/>
      <c r="B780" s="230"/>
      <c r="C780" s="230"/>
      <c r="D780" s="230"/>
      <c r="E780" s="230"/>
      <c r="F780" s="230"/>
      <c r="G780" s="230"/>
      <c r="H780" s="230"/>
      <c r="I780" s="230"/>
      <c r="J780" s="230"/>
      <c r="K780" s="230"/>
      <c r="L780" s="230"/>
      <c r="M780" s="230"/>
      <c r="N780" s="230"/>
      <c r="O780" s="230"/>
      <c r="P780" s="230"/>
      <c r="Q780" s="230"/>
      <c r="R780" s="230"/>
      <c r="S780" s="230"/>
      <c r="T780" s="230"/>
      <c r="U780" s="230"/>
      <c r="V780" s="230"/>
      <c r="W780" s="230"/>
      <c r="X780" s="230"/>
      <c r="Y780" s="230"/>
      <c r="Z780" s="230"/>
    </row>
    <row r="781" spans="1:26" ht="15.75" customHeight="1">
      <c r="A781" s="230"/>
      <c r="B781" s="230"/>
      <c r="C781" s="230"/>
      <c r="D781" s="230"/>
      <c r="E781" s="230"/>
      <c r="F781" s="230"/>
      <c r="G781" s="230"/>
      <c r="H781" s="230"/>
      <c r="I781" s="230"/>
      <c r="J781" s="230"/>
      <c r="K781" s="230"/>
      <c r="L781" s="230"/>
      <c r="M781" s="230"/>
      <c r="N781" s="230"/>
      <c r="O781" s="230"/>
      <c r="P781" s="230"/>
      <c r="Q781" s="230"/>
      <c r="R781" s="230"/>
      <c r="S781" s="230"/>
      <c r="T781" s="230"/>
      <c r="U781" s="230"/>
      <c r="V781" s="230"/>
      <c r="W781" s="230"/>
      <c r="X781" s="230"/>
      <c r="Y781" s="230"/>
      <c r="Z781" s="230"/>
    </row>
    <row r="782" spans="1:26" ht="15.75" customHeight="1">
      <c r="A782" s="230"/>
      <c r="B782" s="230"/>
      <c r="C782" s="230"/>
      <c r="D782" s="230"/>
      <c r="E782" s="230"/>
      <c r="F782" s="230"/>
      <c r="G782" s="230"/>
      <c r="H782" s="230"/>
      <c r="I782" s="230"/>
      <c r="J782" s="230"/>
      <c r="K782" s="230"/>
      <c r="L782" s="230"/>
      <c r="M782" s="230"/>
      <c r="N782" s="230"/>
      <c r="O782" s="230"/>
      <c r="P782" s="230"/>
      <c r="Q782" s="230"/>
      <c r="R782" s="230"/>
      <c r="S782" s="230"/>
      <c r="T782" s="230"/>
      <c r="U782" s="230"/>
      <c r="V782" s="230"/>
      <c r="W782" s="230"/>
      <c r="X782" s="230"/>
      <c r="Y782" s="230"/>
      <c r="Z782" s="230"/>
    </row>
    <row r="783" spans="1:26" ht="15.75" customHeight="1">
      <c r="A783" s="230"/>
      <c r="B783" s="230"/>
      <c r="C783" s="230"/>
      <c r="D783" s="230"/>
      <c r="E783" s="230"/>
      <c r="F783" s="230"/>
      <c r="G783" s="230"/>
      <c r="H783" s="230"/>
      <c r="I783" s="230"/>
      <c r="J783" s="230"/>
      <c r="K783" s="230"/>
      <c r="L783" s="230"/>
      <c r="M783" s="230"/>
      <c r="N783" s="230"/>
      <c r="O783" s="230"/>
      <c r="P783" s="230"/>
      <c r="Q783" s="230"/>
      <c r="R783" s="230"/>
      <c r="S783" s="230"/>
      <c r="T783" s="230"/>
      <c r="U783" s="230"/>
      <c r="V783" s="230"/>
      <c r="W783" s="230"/>
      <c r="X783" s="230"/>
      <c r="Y783" s="230"/>
      <c r="Z783" s="230"/>
    </row>
    <row r="784" spans="1:26" ht="15.75" customHeight="1">
      <c r="A784" s="230"/>
      <c r="B784" s="230"/>
      <c r="C784" s="230"/>
      <c r="D784" s="230"/>
      <c r="E784" s="230"/>
      <c r="F784" s="230"/>
      <c r="G784" s="230"/>
      <c r="H784" s="230"/>
      <c r="I784" s="230"/>
      <c r="J784" s="230"/>
      <c r="K784" s="230"/>
      <c r="L784" s="230"/>
      <c r="M784" s="230"/>
      <c r="N784" s="230"/>
      <c r="O784" s="230"/>
      <c r="P784" s="230"/>
      <c r="Q784" s="230"/>
      <c r="R784" s="230"/>
      <c r="S784" s="230"/>
      <c r="T784" s="230"/>
      <c r="U784" s="230"/>
      <c r="V784" s="230"/>
      <c r="W784" s="230"/>
      <c r="X784" s="230"/>
      <c r="Y784" s="230"/>
      <c r="Z784" s="230"/>
    </row>
    <row r="785" spans="1:26" ht="15.75" customHeight="1">
      <c r="A785" s="230"/>
      <c r="B785" s="230"/>
      <c r="C785" s="230"/>
      <c r="D785" s="230"/>
      <c r="E785" s="230"/>
      <c r="F785" s="230"/>
      <c r="G785" s="230"/>
      <c r="H785" s="230"/>
      <c r="I785" s="230"/>
      <c r="J785" s="230"/>
      <c r="K785" s="230"/>
      <c r="L785" s="230"/>
      <c r="M785" s="230"/>
      <c r="N785" s="230"/>
      <c r="O785" s="230"/>
      <c r="P785" s="230"/>
      <c r="Q785" s="230"/>
      <c r="R785" s="230"/>
      <c r="S785" s="230"/>
      <c r="T785" s="230"/>
      <c r="U785" s="230"/>
      <c r="V785" s="230"/>
      <c r="W785" s="230"/>
      <c r="X785" s="230"/>
      <c r="Y785" s="230"/>
      <c r="Z785" s="230"/>
    </row>
    <row r="786" spans="1:26" ht="15.75" customHeight="1">
      <c r="A786" s="230"/>
      <c r="B786" s="230"/>
      <c r="C786" s="230"/>
      <c r="D786" s="230"/>
      <c r="E786" s="230"/>
      <c r="F786" s="230"/>
      <c r="G786" s="230"/>
      <c r="H786" s="230"/>
      <c r="I786" s="230"/>
      <c r="J786" s="230"/>
      <c r="K786" s="230"/>
      <c r="L786" s="230"/>
      <c r="M786" s="230"/>
      <c r="N786" s="230"/>
      <c r="O786" s="230"/>
      <c r="P786" s="230"/>
      <c r="Q786" s="230"/>
      <c r="R786" s="230"/>
      <c r="S786" s="230"/>
      <c r="T786" s="230"/>
      <c r="U786" s="230"/>
      <c r="V786" s="230"/>
      <c r="W786" s="230"/>
      <c r="X786" s="230"/>
      <c r="Y786" s="230"/>
      <c r="Z786" s="230"/>
    </row>
    <row r="787" spans="1:26" ht="15.75" customHeight="1">
      <c r="A787" s="230"/>
      <c r="B787" s="230"/>
      <c r="C787" s="230"/>
      <c r="D787" s="230"/>
      <c r="E787" s="230"/>
      <c r="F787" s="230"/>
      <c r="G787" s="230"/>
      <c r="H787" s="230"/>
      <c r="I787" s="230"/>
      <c r="J787" s="230"/>
      <c r="K787" s="230"/>
      <c r="L787" s="230"/>
      <c r="M787" s="230"/>
      <c r="N787" s="230"/>
      <c r="O787" s="230"/>
      <c r="P787" s="230"/>
      <c r="Q787" s="230"/>
      <c r="R787" s="230"/>
      <c r="S787" s="230"/>
      <c r="T787" s="230"/>
      <c r="U787" s="230"/>
      <c r="V787" s="230"/>
      <c r="W787" s="230"/>
      <c r="X787" s="230"/>
      <c r="Y787" s="230"/>
      <c r="Z787" s="230"/>
    </row>
    <row r="788" spans="1:26" ht="15.75" customHeight="1">
      <c r="A788" s="230"/>
      <c r="B788" s="230"/>
      <c r="C788" s="230"/>
      <c r="D788" s="230"/>
      <c r="E788" s="230"/>
      <c r="F788" s="230"/>
      <c r="G788" s="230"/>
      <c r="H788" s="230"/>
      <c r="I788" s="230"/>
      <c r="J788" s="230"/>
      <c r="K788" s="230"/>
      <c r="L788" s="230"/>
      <c r="M788" s="230"/>
      <c r="N788" s="230"/>
      <c r="O788" s="230"/>
      <c r="P788" s="230"/>
      <c r="Q788" s="230"/>
      <c r="R788" s="230"/>
      <c r="S788" s="230"/>
      <c r="T788" s="230"/>
      <c r="U788" s="230"/>
      <c r="V788" s="230"/>
      <c r="W788" s="230"/>
      <c r="X788" s="230"/>
      <c r="Y788" s="230"/>
      <c r="Z788" s="230"/>
    </row>
    <row r="789" spans="1:26" ht="15.75" customHeight="1">
      <c r="A789" s="230"/>
      <c r="B789" s="230"/>
      <c r="C789" s="230"/>
      <c r="D789" s="230"/>
      <c r="E789" s="230"/>
      <c r="F789" s="230"/>
      <c r="G789" s="230"/>
      <c r="H789" s="230"/>
      <c r="I789" s="230"/>
      <c r="J789" s="230"/>
      <c r="K789" s="230"/>
      <c r="L789" s="230"/>
      <c r="M789" s="230"/>
      <c r="N789" s="230"/>
      <c r="O789" s="230"/>
      <c r="P789" s="230"/>
      <c r="Q789" s="230"/>
      <c r="R789" s="230"/>
      <c r="S789" s="230"/>
      <c r="T789" s="230"/>
      <c r="U789" s="230"/>
      <c r="V789" s="230"/>
      <c r="W789" s="230"/>
      <c r="X789" s="230"/>
      <c r="Y789" s="230"/>
      <c r="Z789" s="230"/>
    </row>
    <row r="790" spans="1:26" ht="15.75" customHeight="1">
      <c r="A790" s="230"/>
      <c r="B790" s="230"/>
      <c r="C790" s="230"/>
      <c r="D790" s="230"/>
      <c r="E790" s="230"/>
      <c r="F790" s="230"/>
      <c r="G790" s="230"/>
      <c r="H790" s="230"/>
      <c r="I790" s="230"/>
      <c r="J790" s="230"/>
      <c r="K790" s="230"/>
      <c r="L790" s="230"/>
      <c r="M790" s="230"/>
      <c r="N790" s="230"/>
      <c r="O790" s="230"/>
      <c r="P790" s="230"/>
      <c r="Q790" s="230"/>
      <c r="R790" s="230"/>
      <c r="S790" s="230"/>
      <c r="T790" s="230"/>
      <c r="U790" s="230"/>
      <c r="V790" s="230"/>
      <c r="W790" s="230"/>
      <c r="X790" s="230"/>
      <c r="Y790" s="230"/>
      <c r="Z790" s="230"/>
    </row>
    <row r="791" spans="1:26" ht="15.75" customHeight="1">
      <c r="A791" s="230"/>
      <c r="B791" s="230"/>
      <c r="C791" s="230"/>
      <c r="D791" s="230"/>
      <c r="E791" s="230"/>
      <c r="F791" s="230"/>
      <c r="G791" s="230"/>
      <c r="H791" s="230"/>
      <c r="I791" s="230"/>
      <c r="J791" s="230"/>
      <c r="K791" s="230"/>
      <c r="L791" s="230"/>
      <c r="M791" s="230"/>
      <c r="N791" s="230"/>
      <c r="O791" s="230"/>
      <c r="P791" s="230"/>
      <c r="Q791" s="230"/>
      <c r="R791" s="230"/>
      <c r="S791" s="230"/>
      <c r="T791" s="230"/>
      <c r="U791" s="230"/>
      <c r="V791" s="230"/>
      <c r="W791" s="230"/>
      <c r="X791" s="230"/>
      <c r="Y791" s="230"/>
      <c r="Z791" s="230"/>
    </row>
    <row r="792" spans="1:26" ht="15.75" customHeight="1">
      <c r="A792" s="230"/>
      <c r="B792" s="230"/>
      <c r="C792" s="230"/>
      <c r="D792" s="230"/>
      <c r="E792" s="230"/>
      <c r="F792" s="230"/>
      <c r="G792" s="230"/>
      <c r="H792" s="230"/>
      <c r="I792" s="230"/>
      <c r="J792" s="230"/>
      <c r="K792" s="230"/>
      <c r="L792" s="230"/>
      <c r="M792" s="230"/>
      <c r="N792" s="230"/>
      <c r="O792" s="230"/>
      <c r="P792" s="230"/>
      <c r="Q792" s="230"/>
      <c r="R792" s="230"/>
      <c r="S792" s="230"/>
      <c r="T792" s="230"/>
      <c r="U792" s="230"/>
      <c r="V792" s="230"/>
      <c r="W792" s="230"/>
      <c r="X792" s="230"/>
      <c r="Y792" s="230"/>
      <c r="Z792" s="230"/>
    </row>
    <row r="793" spans="1:26" ht="15.75" customHeight="1">
      <c r="A793" s="230"/>
      <c r="B793" s="230"/>
      <c r="C793" s="230"/>
      <c r="D793" s="230"/>
      <c r="E793" s="230"/>
      <c r="F793" s="230"/>
      <c r="G793" s="230"/>
      <c r="H793" s="230"/>
      <c r="I793" s="230"/>
      <c r="J793" s="230"/>
      <c r="K793" s="230"/>
      <c r="L793" s="230"/>
      <c r="M793" s="230"/>
      <c r="N793" s="230"/>
      <c r="O793" s="230"/>
      <c r="P793" s="230"/>
      <c r="Q793" s="230"/>
      <c r="R793" s="230"/>
      <c r="S793" s="230"/>
      <c r="T793" s="230"/>
      <c r="U793" s="230"/>
      <c r="V793" s="230"/>
      <c r="W793" s="230"/>
      <c r="X793" s="230"/>
      <c r="Y793" s="230"/>
      <c r="Z793" s="230"/>
    </row>
    <row r="794" spans="1:26" ht="15.75" customHeight="1">
      <c r="A794" s="230"/>
      <c r="B794" s="230"/>
      <c r="C794" s="230"/>
      <c r="D794" s="230"/>
      <c r="E794" s="230"/>
      <c r="F794" s="230"/>
      <c r="G794" s="230"/>
      <c r="H794" s="230"/>
      <c r="I794" s="230"/>
      <c r="J794" s="230"/>
      <c r="K794" s="230"/>
      <c r="L794" s="230"/>
      <c r="M794" s="230"/>
      <c r="N794" s="230"/>
      <c r="O794" s="230"/>
      <c r="P794" s="230"/>
      <c r="Q794" s="230"/>
      <c r="R794" s="230"/>
      <c r="S794" s="230"/>
      <c r="T794" s="230"/>
      <c r="U794" s="230"/>
      <c r="V794" s="230"/>
      <c r="W794" s="230"/>
      <c r="X794" s="230"/>
      <c r="Y794" s="230"/>
      <c r="Z794" s="230"/>
    </row>
    <row r="795" spans="1:26" ht="15.75" customHeight="1">
      <c r="A795" s="230"/>
      <c r="B795" s="230"/>
      <c r="C795" s="230"/>
      <c r="D795" s="230"/>
      <c r="E795" s="230"/>
      <c r="F795" s="230"/>
      <c r="G795" s="230"/>
      <c r="H795" s="230"/>
      <c r="I795" s="230"/>
      <c r="J795" s="230"/>
      <c r="K795" s="230"/>
      <c r="L795" s="230"/>
      <c r="M795" s="230"/>
      <c r="N795" s="230"/>
      <c r="O795" s="230"/>
      <c r="P795" s="230"/>
      <c r="Q795" s="230"/>
      <c r="R795" s="230"/>
      <c r="S795" s="230"/>
      <c r="T795" s="230"/>
      <c r="U795" s="230"/>
      <c r="V795" s="230"/>
      <c r="W795" s="230"/>
      <c r="X795" s="230"/>
      <c r="Y795" s="230"/>
      <c r="Z795" s="230"/>
    </row>
    <row r="796" spans="1:26" ht="15.75" customHeight="1">
      <c r="A796" s="230"/>
      <c r="B796" s="230"/>
      <c r="C796" s="230"/>
      <c r="D796" s="230"/>
      <c r="E796" s="230"/>
      <c r="F796" s="230"/>
      <c r="G796" s="230"/>
      <c r="H796" s="230"/>
      <c r="I796" s="230"/>
      <c r="J796" s="230"/>
      <c r="K796" s="230"/>
      <c r="L796" s="230"/>
      <c r="M796" s="230"/>
      <c r="N796" s="230"/>
      <c r="O796" s="230"/>
      <c r="P796" s="230"/>
      <c r="Q796" s="230"/>
      <c r="R796" s="230"/>
      <c r="S796" s="230"/>
      <c r="T796" s="230"/>
      <c r="U796" s="230"/>
      <c r="V796" s="230"/>
      <c r="W796" s="230"/>
      <c r="X796" s="230"/>
      <c r="Y796" s="230"/>
      <c r="Z796" s="230"/>
    </row>
    <row r="797" spans="1:26" ht="15.75" customHeight="1">
      <c r="A797" s="230"/>
      <c r="B797" s="230"/>
      <c r="C797" s="230"/>
      <c r="D797" s="230"/>
      <c r="E797" s="230"/>
      <c r="F797" s="230"/>
      <c r="G797" s="230"/>
      <c r="H797" s="230"/>
      <c r="I797" s="230"/>
      <c r="J797" s="230"/>
      <c r="K797" s="230"/>
      <c r="L797" s="230"/>
      <c r="M797" s="230"/>
      <c r="N797" s="230"/>
      <c r="O797" s="230"/>
      <c r="P797" s="230"/>
      <c r="Q797" s="230"/>
      <c r="R797" s="230"/>
      <c r="S797" s="230"/>
      <c r="T797" s="230"/>
      <c r="U797" s="230"/>
      <c r="V797" s="230"/>
      <c r="W797" s="230"/>
      <c r="X797" s="230"/>
      <c r="Y797" s="230"/>
      <c r="Z797" s="230"/>
    </row>
    <row r="798" spans="1:26" ht="15.75" customHeight="1">
      <c r="A798" s="230"/>
      <c r="B798" s="230"/>
      <c r="C798" s="230"/>
      <c r="D798" s="230"/>
      <c r="E798" s="230"/>
      <c r="F798" s="230"/>
      <c r="G798" s="230"/>
      <c r="H798" s="230"/>
      <c r="I798" s="230"/>
      <c r="J798" s="230"/>
      <c r="K798" s="230"/>
      <c r="L798" s="230"/>
      <c r="M798" s="230"/>
      <c r="N798" s="230"/>
      <c r="O798" s="230"/>
      <c r="P798" s="230"/>
      <c r="Q798" s="230"/>
      <c r="R798" s="230"/>
      <c r="S798" s="230"/>
      <c r="T798" s="230"/>
      <c r="U798" s="230"/>
      <c r="V798" s="230"/>
      <c r="W798" s="230"/>
      <c r="X798" s="230"/>
      <c r="Y798" s="230"/>
      <c r="Z798" s="230"/>
    </row>
    <row r="799" spans="1:26" ht="15.75" customHeight="1">
      <c r="A799" s="230"/>
      <c r="B799" s="230"/>
      <c r="C799" s="230"/>
      <c r="D799" s="230"/>
      <c r="E799" s="230"/>
      <c r="F799" s="230"/>
      <c r="G799" s="230"/>
      <c r="H799" s="230"/>
      <c r="I799" s="230"/>
      <c r="J799" s="230"/>
      <c r="K799" s="230"/>
      <c r="L799" s="230"/>
      <c r="M799" s="230"/>
      <c r="N799" s="230"/>
      <c r="O799" s="230"/>
      <c r="P799" s="230"/>
      <c r="Q799" s="230"/>
      <c r="R799" s="230"/>
      <c r="S799" s="230"/>
      <c r="T799" s="230"/>
      <c r="U799" s="230"/>
      <c r="V799" s="230"/>
      <c r="W799" s="230"/>
      <c r="X799" s="230"/>
      <c r="Y799" s="230"/>
      <c r="Z799" s="230"/>
    </row>
    <row r="800" spans="1:26" ht="15.75" customHeight="1">
      <c r="A800" s="230"/>
      <c r="B800" s="230"/>
      <c r="C800" s="230"/>
      <c r="D800" s="230"/>
      <c r="E800" s="230"/>
      <c r="F800" s="230"/>
      <c r="G800" s="230"/>
      <c r="H800" s="230"/>
      <c r="I800" s="230"/>
      <c r="J800" s="230"/>
      <c r="K800" s="230"/>
      <c r="L800" s="230"/>
      <c r="M800" s="230"/>
      <c r="N800" s="230"/>
      <c r="O800" s="230"/>
      <c r="P800" s="230"/>
      <c r="Q800" s="230"/>
      <c r="R800" s="230"/>
      <c r="S800" s="230"/>
      <c r="T800" s="230"/>
      <c r="U800" s="230"/>
      <c r="V800" s="230"/>
      <c r="W800" s="230"/>
      <c r="X800" s="230"/>
      <c r="Y800" s="230"/>
      <c r="Z800" s="230"/>
    </row>
    <row r="801" spans="1:26" ht="15.75" customHeight="1">
      <c r="A801" s="230"/>
      <c r="B801" s="230"/>
      <c r="C801" s="230"/>
      <c r="D801" s="230"/>
      <c r="E801" s="230"/>
      <c r="F801" s="230"/>
      <c r="G801" s="230"/>
      <c r="H801" s="230"/>
      <c r="I801" s="230"/>
      <c r="J801" s="230"/>
      <c r="K801" s="230"/>
      <c r="L801" s="230"/>
      <c r="M801" s="230"/>
      <c r="N801" s="230"/>
      <c r="O801" s="230"/>
      <c r="P801" s="230"/>
      <c r="Q801" s="230"/>
      <c r="R801" s="230"/>
      <c r="S801" s="230"/>
      <c r="T801" s="230"/>
      <c r="U801" s="230"/>
      <c r="V801" s="230"/>
      <c r="W801" s="230"/>
      <c r="X801" s="230"/>
      <c r="Y801" s="230"/>
      <c r="Z801" s="230"/>
    </row>
    <row r="802" spans="1:26" ht="15.75" customHeight="1">
      <c r="A802" s="230"/>
      <c r="B802" s="230"/>
      <c r="C802" s="230"/>
      <c r="D802" s="230"/>
      <c r="E802" s="230"/>
      <c r="F802" s="230"/>
      <c r="G802" s="230"/>
      <c r="H802" s="230"/>
      <c r="I802" s="230"/>
      <c r="J802" s="230"/>
      <c r="K802" s="230"/>
      <c r="L802" s="230"/>
      <c r="M802" s="230"/>
      <c r="N802" s="230"/>
      <c r="O802" s="230"/>
      <c r="P802" s="230"/>
      <c r="Q802" s="230"/>
      <c r="R802" s="230"/>
      <c r="S802" s="230"/>
      <c r="T802" s="230"/>
      <c r="U802" s="230"/>
      <c r="V802" s="230"/>
      <c r="W802" s="230"/>
      <c r="X802" s="230"/>
      <c r="Y802" s="230"/>
      <c r="Z802" s="230"/>
    </row>
    <row r="803" spans="1:26" ht="15.75" customHeight="1">
      <c r="A803" s="230"/>
      <c r="B803" s="230"/>
      <c r="C803" s="230"/>
      <c r="D803" s="230"/>
      <c r="E803" s="230"/>
      <c r="F803" s="230"/>
      <c r="G803" s="230"/>
      <c r="H803" s="230"/>
      <c r="I803" s="230"/>
      <c r="J803" s="230"/>
      <c r="K803" s="230"/>
      <c r="L803" s="230"/>
      <c r="M803" s="230"/>
      <c r="N803" s="230"/>
      <c r="O803" s="230"/>
      <c r="P803" s="230"/>
      <c r="Q803" s="230"/>
      <c r="R803" s="230"/>
      <c r="S803" s="230"/>
      <c r="T803" s="230"/>
      <c r="U803" s="230"/>
      <c r="V803" s="230"/>
      <c r="W803" s="230"/>
      <c r="X803" s="230"/>
      <c r="Y803" s="230"/>
      <c r="Z803" s="230"/>
    </row>
    <row r="804" spans="1:26" ht="15.75" customHeight="1">
      <c r="A804" s="230"/>
      <c r="B804" s="230"/>
      <c r="C804" s="230"/>
      <c r="D804" s="230"/>
      <c r="E804" s="230"/>
      <c r="F804" s="230"/>
      <c r="G804" s="230"/>
      <c r="H804" s="230"/>
      <c r="I804" s="230"/>
      <c r="J804" s="230"/>
      <c r="K804" s="230"/>
      <c r="L804" s="230"/>
      <c r="M804" s="230"/>
      <c r="N804" s="230"/>
      <c r="O804" s="230"/>
      <c r="P804" s="230"/>
      <c r="Q804" s="230"/>
      <c r="R804" s="230"/>
      <c r="S804" s="230"/>
      <c r="T804" s="230"/>
      <c r="U804" s="230"/>
      <c r="V804" s="230"/>
      <c r="W804" s="230"/>
      <c r="X804" s="230"/>
      <c r="Y804" s="230"/>
      <c r="Z804" s="230"/>
    </row>
    <row r="805" spans="1:26" ht="15.75" customHeight="1">
      <c r="A805" s="230"/>
      <c r="B805" s="230"/>
      <c r="C805" s="230"/>
      <c r="D805" s="230"/>
      <c r="E805" s="230"/>
      <c r="F805" s="230"/>
      <c r="G805" s="230"/>
      <c r="H805" s="230"/>
      <c r="I805" s="230"/>
      <c r="J805" s="230"/>
      <c r="K805" s="230"/>
      <c r="L805" s="230"/>
      <c r="M805" s="230"/>
      <c r="N805" s="230"/>
      <c r="O805" s="230"/>
      <c r="P805" s="230"/>
      <c r="Q805" s="230"/>
      <c r="R805" s="230"/>
      <c r="S805" s="230"/>
      <c r="T805" s="230"/>
      <c r="U805" s="230"/>
      <c r="V805" s="230"/>
      <c r="W805" s="230"/>
      <c r="X805" s="230"/>
      <c r="Y805" s="230"/>
      <c r="Z805" s="230"/>
    </row>
    <row r="806" spans="1:26" ht="15.75" customHeight="1">
      <c r="A806" s="230"/>
      <c r="B806" s="230"/>
      <c r="C806" s="230"/>
      <c r="D806" s="230"/>
      <c r="E806" s="230"/>
      <c r="F806" s="230"/>
      <c r="G806" s="230"/>
      <c r="H806" s="230"/>
      <c r="I806" s="230"/>
      <c r="J806" s="230"/>
      <c r="K806" s="230"/>
      <c r="L806" s="230"/>
      <c r="M806" s="230"/>
      <c r="N806" s="230"/>
      <c r="O806" s="230"/>
      <c r="P806" s="230"/>
      <c r="Q806" s="230"/>
      <c r="R806" s="230"/>
      <c r="S806" s="230"/>
      <c r="T806" s="230"/>
      <c r="U806" s="230"/>
      <c r="V806" s="230"/>
      <c r="W806" s="230"/>
      <c r="X806" s="230"/>
      <c r="Y806" s="230"/>
      <c r="Z806" s="230"/>
    </row>
    <row r="807" spans="1:26" ht="15.75" customHeight="1">
      <c r="A807" s="230"/>
      <c r="B807" s="230"/>
      <c r="C807" s="230"/>
      <c r="D807" s="230"/>
      <c r="E807" s="230"/>
      <c r="F807" s="230"/>
      <c r="G807" s="230"/>
      <c r="H807" s="230"/>
      <c r="I807" s="230"/>
      <c r="J807" s="230"/>
      <c r="K807" s="230"/>
      <c r="L807" s="230"/>
      <c r="M807" s="230"/>
      <c r="N807" s="230"/>
      <c r="O807" s="230"/>
      <c r="P807" s="230"/>
      <c r="Q807" s="230"/>
      <c r="R807" s="230"/>
      <c r="S807" s="230"/>
      <c r="T807" s="230"/>
      <c r="U807" s="230"/>
      <c r="V807" s="230"/>
      <c r="W807" s="230"/>
      <c r="X807" s="230"/>
      <c r="Y807" s="230"/>
      <c r="Z807" s="230"/>
    </row>
    <row r="808" spans="1:26" ht="15.75" customHeight="1">
      <c r="A808" s="230"/>
      <c r="B808" s="230"/>
      <c r="C808" s="230"/>
      <c r="D808" s="230"/>
      <c r="E808" s="230"/>
      <c r="F808" s="230"/>
      <c r="G808" s="230"/>
      <c r="H808" s="230"/>
      <c r="I808" s="230"/>
      <c r="J808" s="230"/>
      <c r="K808" s="230"/>
      <c r="L808" s="230"/>
      <c r="M808" s="230"/>
      <c r="N808" s="230"/>
      <c r="O808" s="230"/>
      <c r="P808" s="230"/>
      <c r="Q808" s="230"/>
      <c r="R808" s="230"/>
      <c r="S808" s="230"/>
      <c r="T808" s="230"/>
      <c r="U808" s="230"/>
      <c r="V808" s="230"/>
      <c r="W808" s="230"/>
      <c r="X808" s="230"/>
      <c r="Y808" s="230"/>
      <c r="Z808" s="230"/>
    </row>
    <row r="809" spans="1:26" ht="15.75" customHeight="1">
      <c r="A809" s="230"/>
      <c r="B809" s="230"/>
      <c r="C809" s="230"/>
      <c r="D809" s="230"/>
      <c r="E809" s="230"/>
      <c r="F809" s="230"/>
      <c r="G809" s="230"/>
      <c r="H809" s="230"/>
      <c r="I809" s="230"/>
      <c r="J809" s="230"/>
      <c r="K809" s="230"/>
      <c r="L809" s="230"/>
      <c r="M809" s="230"/>
      <c r="N809" s="230"/>
      <c r="O809" s="230"/>
      <c r="P809" s="230"/>
      <c r="Q809" s="230"/>
      <c r="R809" s="230"/>
      <c r="S809" s="230"/>
      <c r="T809" s="230"/>
      <c r="U809" s="230"/>
      <c r="V809" s="230"/>
      <c r="W809" s="230"/>
      <c r="X809" s="230"/>
      <c r="Y809" s="230"/>
      <c r="Z809" s="230"/>
    </row>
    <row r="810" spans="1:26" ht="15.75" customHeight="1">
      <c r="A810" s="230"/>
      <c r="B810" s="230"/>
      <c r="C810" s="230"/>
      <c r="D810" s="230"/>
      <c r="E810" s="230"/>
      <c r="F810" s="230"/>
      <c r="G810" s="230"/>
      <c r="H810" s="230"/>
      <c r="I810" s="230"/>
      <c r="J810" s="230"/>
      <c r="K810" s="230"/>
      <c r="L810" s="230"/>
      <c r="M810" s="230"/>
      <c r="N810" s="230"/>
      <c r="O810" s="230"/>
      <c r="P810" s="230"/>
      <c r="Q810" s="230"/>
      <c r="R810" s="230"/>
      <c r="S810" s="230"/>
      <c r="T810" s="230"/>
      <c r="U810" s="230"/>
      <c r="V810" s="230"/>
      <c r="W810" s="230"/>
      <c r="X810" s="230"/>
      <c r="Y810" s="230"/>
      <c r="Z810" s="230"/>
    </row>
    <row r="811" spans="1:26" ht="15.75" customHeight="1">
      <c r="A811" s="230"/>
      <c r="B811" s="230"/>
      <c r="C811" s="230"/>
      <c r="D811" s="230"/>
      <c r="E811" s="230"/>
      <c r="F811" s="230"/>
      <c r="G811" s="230"/>
      <c r="H811" s="230"/>
      <c r="I811" s="230"/>
      <c r="J811" s="230"/>
      <c r="K811" s="230"/>
      <c r="L811" s="230"/>
      <c r="M811" s="230"/>
      <c r="N811" s="230"/>
      <c r="O811" s="230"/>
      <c r="P811" s="230"/>
      <c r="Q811" s="230"/>
      <c r="R811" s="230"/>
      <c r="S811" s="230"/>
      <c r="T811" s="230"/>
      <c r="U811" s="230"/>
      <c r="V811" s="230"/>
      <c r="W811" s="230"/>
      <c r="X811" s="230"/>
      <c r="Y811" s="230"/>
      <c r="Z811" s="230"/>
    </row>
    <row r="812" spans="1:26" ht="15.75" customHeight="1">
      <c r="A812" s="230"/>
      <c r="B812" s="230"/>
      <c r="C812" s="230"/>
      <c r="D812" s="230"/>
      <c r="E812" s="230"/>
      <c r="F812" s="230"/>
      <c r="G812" s="230"/>
      <c r="H812" s="230"/>
      <c r="I812" s="230"/>
      <c r="J812" s="230"/>
      <c r="K812" s="230"/>
      <c r="L812" s="230"/>
      <c r="M812" s="230"/>
      <c r="N812" s="230"/>
      <c r="O812" s="230"/>
      <c r="P812" s="230"/>
      <c r="Q812" s="230"/>
      <c r="R812" s="230"/>
      <c r="S812" s="230"/>
      <c r="T812" s="230"/>
      <c r="U812" s="230"/>
      <c r="V812" s="230"/>
      <c r="W812" s="230"/>
      <c r="X812" s="230"/>
      <c r="Y812" s="230"/>
      <c r="Z812" s="230"/>
    </row>
    <row r="813" spans="1:26" ht="15.75" customHeight="1">
      <c r="A813" s="230"/>
      <c r="B813" s="230"/>
      <c r="C813" s="230"/>
      <c r="D813" s="230"/>
      <c r="E813" s="230"/>
      <c r="F813" s="230"/>
      <c r="G813" s="230"/>
      <c r="H813" s="230"/>
      <c r="I813" s="230"/>
      <c r="J813" s="230"/>
      <c r="K813" s="230"/>
      <c r="L813" s="230"/>
      <c r="M813" s="230"/>
      <c r="N813" s="230"/>
      <c r="O813" s="230"/>
      <c r="P813" s="230"/>
      <c r="Q813" s="230"/>
      <c r="R813" s="230"/>
      <c r="S813" s="230"/>
      <c r="T813" s="230"/>
      <c r="U813" s="230"/>
      <c r="V813" s="230"/>
      <c r="W813" s="230"/>
      <c r="X813" s="230"/>
      <c r="Y813" s="230"/>
      <c r="Z813" s="230"/>
    </row>
    <row r="814" spans="1:26" ht="15.75" customHeight="1">
      <c r="A814" s="230"/>
      <c r="B814" s="230"/>
      <c r="C814" s="230"/>
      <c r="D814" s="230"/>
      <c r="E814" s="230"/>
      <c r="F814" s="230"/>
      <c r="G814" s="230"/>
      <c r="H814" s="230"/>
      <c r="I814" s="230"/>
      <c r="J814" s="230"/>
      <c r="K814" s="230"/>
      <c r="L814" s="230"/>
      <c r="M814" s="230"/>
      <c r="N814" s="230"/>
      <c r="O814" s="230"/>
      <c r="P814" s="230"/>
      <c r="Q814" s="230"/>
      <c r="R814" s="230"/>
      <c r="S814" s="230"/>
      <c r="T814" s="230"/>
      <c r="U814" s="230"/>
      <c r="V814" s="230"/>
      <c r="W814" s="230"/>
      <c r="X814" s="230"/>
      <c r="Y814" s="230"/>
      <c r="Z814" s="230"/>
    </row>
    <row r="815" spans="1:26" ht="15.75" customHeight="1">
      <c r="A815" s="230"/>
      <c r="B815" s="230"/>
      <c r="C815" s="230"/>
      <c r="D815" s="230"/>
      <c r="E815" s="230"/>
      <c r="F815" s="230"/>
      <c r="G815" s="230"/>
      <c r="H815" s="230"/>
      <c r="I815" s="230"/>
      <c r="J815" s="230"/>
      <c r="K815" s="230"/>
      <c r="L815" s="230"/>
      <c r="M815" s="230"/>
      <c r="N815" s="230"/>
      <c r="O815" s="230"/>
      <c r="P815" s="230"/>
      <c r="Q815" s="230"/>
      <c r="R815" s="230"/>
      <c r="S815" s="230"/>
      <c r="T815" s="230"/>
      <c r="U815" s="230"/>
      <c r="V815" s="230"/>
      <c r="W815" s="230"/>
      <c r="X815" s="230"/>
      <c r="Y815" s="230"/>
      <c r="Z815" s="230"/>
    </row>
    <row r="816" spans="1:26" ht="15.75" customHeight="1">
      <c r="A816" s="230"/>
      <c r="B816" s="230"/>
      <c r="C816" s="230"/>
      <c r="D816" s="230"/>
      <c r="E816" s="230"/>
      <c r="F816" s="230"/>
      <c r="G816" s="230"/>
      <c r="H816" s="230"/>
      <c r="I816" s="230"/>
      <c r="J816" s="230"/>
      <c r="K816" s="230"/>
      <c r="L816" s="230"/>
      <c r="M816" s="230"/>
      <c r="N816" s="230"/>
      <c r="O816" s="230"/>
      <c r="P816" s="230"/>
      <c r="Q816" s="230"/>
      <c r="R816" s="230"/>
      <c r="S816" s="230"/>
      <c r="T816" s="230"/>
      <c r="U816" s="230"/>
      <c r="V816" s="230"/>
      <c r="W816" s="230"/>
      <c r="X816" s="230"/>
      <c r="Y816" s="230"/>
      <c r="Z816" s="230"/>
    </row>
    <row r="817" spans="1:26" ht="15.75" customHeight="1">
      <c r="A817" s="230"/>
      <c r="B817" s="230"/>
      <c r="C817" s="230"/>
      <c r="D817" s="230"/>
      <c r="E817" s="230"/>
      <c r="F817" s="230"/>
      <c r="G817" s="230"/>
      <c r="H817" s="230"/>
      <c r="I817" s="230"/>
      <c r="J817" s="230"/>
      <c r="K817" s="230"/>
      <c r="L817" s="230"/>
      <c r="M817" s="230"/>
      <c r="N817" s="230"/>
      <c r="O817" s="230"/>
      <c r="P817" s="230"/>
      <c r="Q817" s="230"/>
      <c r="R817" s="230"/>
      <c r="S817" s="230"/>
      <c r="T817" s="230"/>
      <c r="U817" s="230"/>
      <c r="V817" s="230"/>
      <c r="W817" s="230"/>
      <c r="X817" s="230"/>
      <c r="Y817" s="230"/>
      <c r="Z817" s="230"/>
    </row>
    <row r="818" spans="1:26" ht="15.75" customHeight="1">
      <c r="A818" s="230"/>
      <c r="B818" s="230"/>
      <c r="C818" s="230"/>
      <c r="D818" s="230"/>
      <c r="E818" s="230"/>
      <c r="F818" s="230"/>
      <c r="G818" s="230"/>
      <c r="H818" s="230"/>
      <c r="I818" s="230"/>
      <c r="J818" s="230"/>
      <c r="K818" s="230"/>
      <c r="L818" s="230"/>
      <c r="M818" s="230"/>
      <c r="N818" s="230"/>
      <c r="O818" s="230"/>
      <c r="P818" s="230"/>
      <c r="Q818" s="230"/>
      <c r="R818" s="230"/>
      <c r="S818" s="230"/>
      <c r="T818" s="230"/>
      <c r="U818" s="230"/>
      <c r="V818" s="230"/>
      <c r="W818" s="230"/>
      <c r="X818" s="230"/>
      <c r="Y818" s="230"/>
      <c r="Z818" s="230"/>
    </row>
    <row r="819" spans="1:26" ht="15.75" customHeight="1">
      <c r="A819" s="230"/>
      <c r="B819" s="230"/>
      <c r="C819" s="230"/>
      <c r="D819" s="230"/>
      <c r="E819" s="230"/>
      <c r="F819" s="230"/>
      <c r="G819" s="230"/>
      <c r="H819" s="230"/>
      <c r="I819" s="230"/>
      <c r="J819" s="230"/>
      <c r="K819" s="230"/>
      <c r="L819" s="230"/>
      <c r="M819" s="230"/>
      <c r="N819" s="230"/>
      <c r="O819" s="230"/>
      <c r="P819" s="230"/>
      <c r="Q819" s="230"/>
      <c r="R819" s="230"/>
      <c r="S819" s="230"/>
      <c r="T819" s="230"/>
      <c r="U819" s="230"/>
      <c r="V819" s="230"/>
      <c r="W819" s="230"/>
      <c r="X819" s="230"/>
      <c r="Y819" s="230"/>
      <c r="Z819" s="230"/>
    </row>
    <row r="820" spans="1:26" ht="15.75" customHeight="1">
      <c r="A820" s="230"/>
      <c r="B820" s="230"/>
      <c r="C820" s="230"/>
      <c r="D820" s="230"/>
      <c r="E820" s="230"/>
      <c r="F820" s="230"/>
      <c r="G820" s="230"/>
      <c r="H820" s="230"/>
      <c r="I820" s="230"/>
      <c r="J820" s="230"/>
      <c r="K820" s="230"/>
      <c r="L820" s="230"/>
      <c r="M820" s="230"/>
      <c r="N820" s="230"/>
      <c r="O820" s="230"/>
      <c r="P820" s="230"/>
      <c r="Q820" s="230"/>
      <c r="R820" s="230"/>
      <c r="S820" s="230"/>
      <c r="T820" s="230"/>
      <c r="U820" s="230"/>
      <c r="V820" s="230"/>
      <c r="W820" s="230"/>
      <c r="X820" s="230"/>
      <c r="Y820" s="230"/>
      <c r="Z820" s="230"/>
    </row>
    <row r="821" spans="1:26" ht="15.75" customHeight="1">
      <c r="A821" s="230"/>
      <c r="B821" s="230"/>
      <c r="C821" s="230"/>
      <c r="D821" s="230"/>
      <c r="E821" s="230"/>
      <c r="F821" s="230"/>
      <c r="G821" s="230"/>
      <c r="H821" s="230"/>
      <c r="I821" s="230"/>
      <c r="J821" s="230"/>
      <c r="K821" s="230"/>
      <c r="L821" s="230"/>
      <c r="M821" s="230"/>
      <c r="N821" s="230"/>
      <c r="O821" s="230"/>
      <c r="P821" s="230"/>
      <c r="Q821" s="230"/>
      <c r="R821" s="230"/>
      <c r="S821" s="230"/>
      <c r="T821" s="230"/>
      <c r="U821" s="230"/>
      <c r="V821" s="230"/>
      <c r="W821" s="230"/>
      <c r="X821" s="230"/>
      <c r="Y821" s="230"/>
      <c r="Z821" s="230"/>
    </row>
    <row r="822" spans="1:26" ht="15.75" customHeight="1">
      <c r="A822" s="230"/>
      <c r="B822" s="230"/>
      <c r="C822" s="230"/>
      <c r="D822" s="230"/>
      <c r="E822" s="230"/>
      <c r="F822" s="230"/>
      <c r="G822" s="230"/>
      <c r="H822" s="230"/>
      <c r="I822" s="230"/>
      <c r="J822" s="230"/>
      <c r="K822" s="230"/>
      <c r="L822" s="230"/>
      <c r="M822" s="230"/>
      <c r="N822" s="230"/>
      <c r="O822" s="230"/>
      <c r="P822" s="230"/>
      <c r="Q822" s="230"/>
      <c r="R822" s="230"/>
      <c r="S822" s="230"/>
      <c r="T822" s="230"/>
      <c r="U822" s="230"/>
      <c r="V822" s="230"/>
      <c r="W822" s="230"/>
      <c r="X822" s="230"/>
      <c r="Y822" s="230"/>
      <c r="Z822" s="230"/>
    </row>
    <row r="823" spans="1:26" ht="15.75" customHeight="1">
      <c r="A823" s="230"/>
      <c r="B823" s="230"/>
      <c r="C823" s="230"/>
      <c r="D823" s="230"/>
      <c r="E823" s="230"/>
      <c r="F823" s="230"/>
      <c r="G823" s="230"/>
      <c r="H823" s="230"/>
      <c r="I823" s="230"/>
      <c r="J823" s="230"/>
      <c r="K823" s="230"/>
      <c r="L823" s="230"/>
      <c r="M823" s="230"/>
      <c r="N823" s="230"/>
      <c r="O823" s="230"/>
      <c r="P823" s="230"/>
      <c r="Q823" s="230"/>
      <c r="R823" s="230"/>
      <c r="S823" s="230"/>
      <c r="T823" s="230"/>
      <c r="U823" s="230"/>
      <c r="V823" s="230"/>
      <c r="W823" s="230"/>
      <c r="X823" s="230"/>
      <c r="Y823" s="230"/>
      <c r="Z823" s="230"/>
    </row>
    <row r="824" spans="1:26" ht="15.75" customHeight="1">
      <c r="A824" s="230"/>
      <c r="B824" s="230"/>
      <c r="C824" s="230"/>
      <c r="D824" s="230"/>
      <c r="E824" s="230"/>
      <c r="F824" s="230"/>
      <c r="G824" s="230"/>
      <c r="H824" s="230"/>
      <c r="I824" s="230"/>
      <c r="J824" s="230"/>
      <c r="K824" s="230"/>
      <c r="L824" s="230"/>
      <c r="M824" s="230"/>
      <c r="N824" s="230"/>
      <c r="O824" s="230"/>
      <c r="P824" s="230"/>
      <c r="Q824" s="230"/>
      <c r="R824" s="230"/>
      <c r="S824" s="230"/>
      <c r="T824" s="230"/>
      <c r="U824" s="230"/>
      <c r="V824" s="230"/>
      <c r="W824" s="230"/>
      <c r="X824" s="230"/>
      <c r="Y824" s="230"/>
      <c r="Z824" s="230"/>
    </row>
    <row r="825" spans="1:26" ht="15.75" customHeight="1">
      <c r="A825" s="230"/>
      <c r="B825" s="230"/>
      <c r="C825" s="230"/>
      <c r="D825" s="230"/>
      <c r="E825" s="230"/>
      <c r="F825" s="230"/>
      <c r="G825" s="230"/>
      <c r="H825" s="230"/>
      <c r="I825" s="230"/>
      <c r="J825" s="230"/>
      <c r="K825" s="230"/>
      <c r="L825" s="230"/>
      <c r="M825" s="230"/>
      <c r="N825" s="230"/>
      <c r="O825" s="230"/>
      <c r="P825" s="230"/>
      <c r="Q825" s="230"/>
      <c r="R825" s="230"/>
      <c r="S825" s="230"/>
      <c r="T825" s="230"/>
      <c r="U825" s="230"/>
      <c r="V825" s="230"/>
      <c r="W825" s="230"/>
      <c r="X825" s="230"/>
      <c r="Y825" s="230"/>
      <c r="Z825" s="230"/>
    </row>
    <row r="826" spans="1:26" ht="15.75" customHeight="1">
      <c r="A826" s="230"/>
      <c r="B826" s="230"/>
      <c r="C826" s="230"/>
      <c r="D826" s="230"/>
      <c r="E826" s="230"/>
      <c r="F826" s="230"/>
      <c r="G826" s="230"/>
      <c r="H826" s="230"/>
      <c r="I826" s="230"/>
      <c r="J826" s="230"/>
      <c r="K826" s="230"/>
      <c r="L826" s="230"/>
      <c r="M826" s="230"/>
      <c r="N826" s="230"/>
      <c r="O826" s="230"/>
      <c r="P826" s="230"/>
      <c r="Q826" s="230"/>
      <c r="R826" s="230"/>
      <c r="S826" s="230"/>
      <c r="T826" s="230"/>
      <c r="U826" s="230"/>
      <c r="V826" s="230"/>
      <c r="W826" s="230"/>
      <c r="X826" s="230"/>
      <c r="Y826" s="230"/>
      <c r="Z826" s="230"/>
    </row>
    <row r="827" spans="1:26" ht="15.75" customHeight="1">
      <c r="A827" s="230"/>
      <c r="B827" s="230"/>
      <c r="C827" s="230"/>
      <c r="D827" s="230"/>
      <c r="E827" s="230"/>
      <c r="F827" s="230"/>
      <c r="G827" s="230"/>
      <c r="H827" s="230"/>
      <c r="I827" s="230"/>
      <c r="J827" s="230"/>
      <c r="K827" s="230"/>
      <c r="L827" s="230"/>
      <c r="M827" s="230"/>
      <c r="N827" s="230"/>
      <c r="O827" s="230"/>
      <c r="P827" s="230"/>
      <c r="Q827" s="230"/>
      <c r="R827" s="230"/>
      <c r="S827" s="230"/>
      <c r="T827" s="230"/>
      <c r="U827" s="230"/>
      <c r="V827" s="230"/>
      <c r="W827" s="230"/>
      <c r="X827" s="230"/>
      <c r="Y827" s="230"/>
      <c r="Z827" s="230"/>
    </row>
    <row r="828" spans="1:26" ht="15.75" customHeight="1">
      <c r="A828" s="230"/>
      <c r="B828" s="230"/>
      <c r="C828" s="230"/>
      <c r="D828" s="230"/>
      <c r="E828" s="230"/>
      <c r="F828" s="230"/>
      <c r="G828" s="230"/>
      <c r="H828" s="230"/>
      <c r="I828" s="230"/>
      <c r="J828" s="230"/>
      <c r="K828" s="230"/>
      <c r="L828" s="230"/>
      <c r="M828" s="230"/>
      <c r="N828" s="230"/>
      <c r="O828" s="230"/>
      <c r="P828" s="230"/>
      <c r="Q828" s="230"/>
      <c r="R828" s="230"/>
      <c r="S828" s="230"/>
      <c r="T828" s="230"/>
      <c r="U828" s="230"/>
      <c r="V828" s="230"/>
      <c r="W828" s="230"/>
      <c r="X828" s="230"/>
      <c r="Y828" s="230"/>
      <c r="Z828" s="230"/>
    </row>
    <row r="829" spans="1:26" ht="15.75" customHeight="1">
      <c r="A829" s="230"/>
      <c r="B829" s="230"/>
      <c r="C829" s="230"/>
      <c r="D829" s="230"/>
      <c r="E829" s="230"/>
      <c r="F829" s="230"/>
      <c r="G829" s="230"/>
      <c r="H829" s="230"/>
      <c r="I829" s="230"/>
      <c r="J829" s="230"/>
      <c r="K829" s="230"/>
      <c r="L829" s="230"/>
      <c r="M829" s="230"/>
      <c r="N829" s="230"/>
      <c r="O829" s="230"/>
      <c r="P829" s="230"/>
      <c r="Q829" s="230"/>
      <c r="R829" s="230"/>
      <c r="S829" s="230"/>
      <c r="T829" s="230"/>
      <c r="U829" s="230"/>
      <c r="V829" s="230"/>
      <c r="W829" s="230"/>
      <c r="X829" s="230"/>
      <c r="Y829" s="230"/>
      <c r="Z829" s="230"/>
    </row>
    <row r="830" spans="1:26" ht="15.75" customHeight="1">
      <c r="A830" s="230"/>
      <c r="B830" s="230"/>
      <c r="C830" s="230"/>
      <c r="D830" s="230"/>
      <c r="E830" s="230"/>
      <c r="F830" s="230"/>
      <c r="G830" s="230"/>
      <c r="H830" s="230"/>
      <c r="I830" s="230"/>
      <c r="J830" s="230"/>
      <c r="K830" s="230"/>
      <c r="L830" s="230"/>
      <c r="M830" s="230"/>
      <c r="N830" s="230"/>
      <c r="O830" s="230"/>
      <c r="P830" s="230"/>
      <c r="Q830" s="230"/>
      <c r="R830" s="230"/>
      <c r="S830" s="230"/>
      <c r="T830" s="230"/>
      <c r="U830" s="230"/>
      <c r="V830" s="230"/>
      <c r="W830" s="230"/>
      <c r="X830" s="230"/>
      <c r="Y830" s="230"/>
      <c r="Z830" s="230"/>
    </row>
    <row r="831" spans="1:26" ht="15.75" customHeight="1">
      <c r="A831" s="230"/>
      <c r="B831" s="230"/>
      <c r="C831" s="230"/>
      <c r="D831" s="230"/>
      <c r="E831" s="230"/>
      <c r="F831" s="230"/>
      <c r="G831" s="230"/>
      <c r="H831" s="230"/>
      <c r="I831" s="230"/>
      <c r="J831" s="230"/>
      <c r="K831" s="230"/>
      <c r="L831" s="230"/>
      <c r="M831" s="230"/>
      <c r="N831" s="230"/>
      <c r="O831" s="230"/>
      <c r="P831" s="230"/>
      <c r="Q831" s="230"/>
      <c r="R831" s="230"/>
      <c r="S831" s="230"/>
      <c r="T831" s="230"/>
      <c r="U831" s="230"/>
      <c r="V831" s="230"/>
      <c r="W831" s="230"/>
      <c r="X831" s="230"/>
      <c r="Y831" s="230"/>
      <c r="Z831" s="230"/>
    </row>
    <row r="832" spans="1:26" ht="15.75" customHeight="1">
      <c r="A832" s="230"/>
      <c r="B832" s="230"/>
      <c r="C832" s="230"/>
      <c r="D832" s="230"/>
      <c r="E832" s="230"/>
      <c r="F832" s="230"/>
      <c r="G832" s="230"/>
      <c r="H832" s="230"/>
      <c r="I832" s="230"/>
      <c r="J832" s="230"/>
      <c r="K832" s="230"/>
      <c r="L832" s="230"/>
      <c r="M832" s="230"/>
      <c r="N832" s="230"/>
      <c r="O832" s="230"/>
      <c r="P832" s="230"/>
      <c r="Q832" s="230"/>
      <c r="R832" s="230"/>
      <c r="S832" s="230"/>
      <c r="T832" s="230"/>
      <c r="U832" s="230"/>
      <c r="V832" s="230"/>
      <c r="W832" s="230"/>
      <c r="X832" s="230"/>
      <c r="Y832" s="230"/>
      <c r="Z832" s="230"/>
    </row>
    <row r="833" spans="1:26" ht="15.75" customHeight="1">
      <c r="A833" s="230"/>
      <c r="B833" s="230"/>
      <c r="C833" s="230"/>
      <c r="D833" s="230"/>
      <c r="E833" s="230"/>
      <c r="F833" s="230"/>
      <c r="G833" s="230"/>
      <c r="H833" s="230"/>
      <c r="I833" s="230"/>
      <c r="J833" s="230"/>
      <c r="K833" s="230"/>
      <c r="L833" s="230"/>
      <c r="M833" s="230"/>
      <c r="N833" s="230"/>
      <c r="O833" s="230"/>
      <c r="P833" s="230"/>
      <c r="Q833" s="230"/>
      <c r="R833" s="230"/>
      <c r="S833" s="230"/>
      <c r="T833" s="230"/>
      <c r="U833" s="230"/>
      <c r="V833" s="230"/>
      <c r="W833" s="230"/>
      <c r="X833" s="230"/>
      <c r="Y833" s="230"/>
      <c r="Z833" s="230"/>
    </row>
    <row r="834" spans="1:26" ht="15.75" customHeight="1">
      <c r="A834" s="230"/>
      <c r="B834" s="230"/>
      <c r="C834" s="230"/>
      <c r="D834" s="230"/>
      <c r="E834" s="230"/>
      <c r="F834" s="230"/>
      <c r="G834" s="230"/>
      <c r="H834" s="230"/>
      <c r="I834" s="230"/>
      <c r="J834" s="230"/>
      <c r="K834" s="230"/>
      <c r="L834" s="230"/>
      <c r="M834" s="230"/>
      <c r="N834" s="230"/>
      <c r="O834" s="230"/>
      <c r="P834" s="230"/>
      <c r="Q834" s="230"/>
      <c r="R834" s="230"/>
      <c r="S834" s="230"/>
      <c r="T834" s="230"/>
      <c r="U834" s="230"/>
      <c r="V834" s="230"/>
      <c r="W834" s="230"/>
      <c r="X834" s="230"/>
      <c r="Y834" s="230"/>
      <c r="Z834" s="230"/>
    </row>
    <row r="835" spans="1:26" ht="15.75" customHeight="1">
      <c r="A835" s="230"/>
      <c r="B835" s="230"/>
      <c r="C835" s="230"/>
      <c r="D835" s="230"/>
      <c r="E835" s="230"/>
      <c r="F835" s="230"/>
      <c r="G835" s="230"/>
      <c r="H835" s="230"/>
      <c r="I835" s="230"/>
      <c r="J835" s="230"/>
      <c r="K835" s="230"/>
      <c r="L835" s="230"/>
      <c r="M835" s="230"/>
      <c r="N835" s="230"/>
      <c r="O835" s="230"/>
      <c r="P835" s="230"/>
      <c r="Q835" s="230"/>
      <c r="R835" s="230"/>
      <c r="S835" s="230"/>
      <c r="T835" s="230"/>
      <c r="U835" s="230"/>
      <c r="V835" s="230"/>
      <c r="W835" s="230"/>
      <c r="X835" s="230"/>
      <c r="Y835" s="230"/>
      <c r="Z835" s="230"/>
    </row>
    <row r="836" spans="1:26" ht="15.75" customHeight="1">
      <c r="A836" s="230"/>
      <c r="B836" s="230"/>
      <c r="C836" s="230"/>
      <c r="D836" s="230"/>
      <c r="E836" s="230"/>
      <c r="F836" s="230"/>
      <c r="G836" s="230"/>
      <c r="H836" s="230"/>
      <c r="I836" s="230"/>
      <c r="J836" s="230"/>
      <c r="K836" s="230"/>
      <c r="L836" s="230"/>
      <c r="M836" s="230"/>
      <c r="N836" s="230"/>
      <c r="O836" s="230"/>
      <c r="P836" s="230"/>
      <c r="Q836" s="230"/>
      <c r="R836" s="230"/>
      <c r="S836" s="230"/>
      <c r="T836" s="230"/>
      <c r="U836" s="230"/>
      <c r="V836" s="230"/>
      <c r="W836" s="230"/>
      <c r="X836" s="230"/>
      <c r="Y836" s="230"/>
      <c r="Z836" s="230"/>
    </row>
    <row r="837" spans="1:26" ht="15.75" customHeight="1">
      <c r="A837" s="230"/>
      <c r="B837" s="230"/>
      <c r="C837" s="230"/>
      <c r="D837" s="230"/>
      <c r="E837" s="230"/>
      <c r="F837" s="230"/>
      <c r="G837" s="230"/>
      <c r="H837" s="230"/>
      <c r="I837" s="230"/>
      <c r="J837" s="230"/>
      <c r="K837" s="230"/>
      <c r="L837" s="230"/>
      <c r="M837" s="230"/>
      <c r="N837" s="230"/>
      <c r="O837" s="230"/>
      <c r="P837" s="230"/>
      <c r="Q837" s="230"/>
      <c r="R837" s="230"/>
      <c r="S837" s="230"/>
      <c r="T837" s="230"/>
      <c r="U837" s="230"/>
      <c r="V837" s="230"/>
      <c r="W837" s="230"/>
      <c r="X837" s="230"/>
      <c r="Y837" s="230"/>
      <c r="Z837" s="230"/>
    </row>
    <row r="838" spans="1:26" ht="15.75" customHeight="1">
      <c r="A838" s="230"/>
      <c r="B838" s="230"/>
      <c r="C838" s="230"/>
      <c r="D838" s="230"/>
      <c r="E838" s="230"/>
      <c r="F838" s="230"/>
      <c r="G838" s="230"/>
      <c r="H838" s="230"/>
      <c r="I838" s="230"/>
      <c r="J838" s="230"/>
      <c r="K838" s="230"/>
      <c r="L838" s="230"/>
      <c r="M838" s="230"/>
      <c r="N838" s="230"/>
      <c r="O838" s="230"/>
      <c r="P838" s="230"/>
      <c r="Q838" s="230"/>
      <c r="R838" s="230"/>
      <c r="S838" s="230"/>
      <c r="T838" s="230"/>
      <c r="U838" s="230"/>
      <c r="V838" s="230"/>
      <c r="W838" s="230"/>
      <c r="X838" s="230"/>
      <c r="Y838" s="230"/>
      <c r="Z838" s="230"/>
    </row>
    <row r="839" spans="1:26" ht="15.75" customHeight="1">
      <c r="A839" s="230"/>
      <c r="B839" s="230"/>
      <c r="C839" s="230"/>
      <c r="D839" s="230"/>
      <c r="E839" s="230"/>
      <c r="F839" s="230"/>
      <c r="G839" s="230"/>
      <c r="H839" s="230"/>
      <c r="I839" s="230"/>
      <c r="J839" s="230"/>
      <c r="K839" s="230"/>
      <c r="L839" s="230"/>
      <c r="M839" s="230"/>
      <c r="N839" s="230"/>
      <c r="O839" s="230"/>
      <c r="P839" s="230"/>
      <c r="Q839" s="230"/>
      <c r="R839" s="230"/>
      <c r="S839" s="230"/>
      <c r="T839" s="230"/>
      <c r="U839" s="230"/>
      <c r="V839" s="230"/>
      <c r="W839" s="230"/>
      <c r="X839" s="230"/>
      <c r="Y839" s="230"/>
      <c r="Z839" s="230"/>
    </row>
    <row r="840" spans="1:26" ht="15.75" customHeight="1">
      <c r="A840" s="230"/>
      <c r="B840" s="230"/>
      <c r="C840" s="230"/>
      <c r="D840" s="230"/>
      <c r="E840" s="230"/>
      <c r="F840" s="230"/>
      <c r="G840" s="230"/>
      <c r="H840" s="230"/>
      <c r="I840" s="230"/>
      <c r="J840" s="230"/>
      <c r="K840" s="230"/>
      <c r="L840" s="230"/>
      <c r="M840" s="230"/>
      <c r="N840" s="230"/>
      <c r="O840" s="230"/>
      <c r="P840" s="230"/>
      <c r="Q840" s="230"/>
      <c r="R840" s="230"/>
      <c r="S840" s="230"/>
      <c r="T840" s="230"/>
      <c r="U840" s="230"/>
      <c r="V840" s="230"/>
      <c r="W840" s="230"/>
      <c r="X840" s="230"/>
      <c r="Y840" s="230"/>
      <c r="Z840" s="230"/>
    </row>
    <row r="841" spans="1:26" ht="15.75" customHeight="1">
      <c r="A841" s="230"/>
      <c r="B841" s="230"/>
      <c r="C841" s="230"/>
      <c r="D841" s="230"/>
      <c r="E841" s="230"/>
      <c r="F841" s="230"/>
      <c r="G841" s="230"/>
      <c r="H841" s="230"/>
      <c r="I841" s="230"/>
      <c r="J841" s="230"/>
      <c r="K841" s="230"/>
      <c r="L841" s="230"/>
      <c r="M841" s="230"/>
      <c r="N841" s="230"/>
      <c r="O841" s="230"/>
      <c r="P841" s="230"/>
      <c r="Q841" s="230"/>
      <c r="R841" s="230"/>
      <c r="S841" s="230"/>
      <c r="T841" s="230"/>
      <c r="U841" s="230"/>
      <c r="V841" s="230"/>
      <c r="W841" s="230"/>
      <c r="X841" s="230"/>
      <c r="Y841" s="230"/>
      <c r="Z841" s="230"/>
    </row>
    <row r="842" spans="1:26" ht="15.75" customHeight="1">
      <c r="A842" s="230"/>
      <c r="B842" s="230"/>
      <c r="C842" s="230"/>
      <c r="D842" s="230"/>
      <c r="E842" s="230"/>
      <c r="F842" s="230"/>
      <c r="G842" s="230"/>
      <c r="H842" s="230"/>
      <c r="I842" s="230"/>
      <c r="J842" s="230"/>
      <c r="K842" s="230"/>
      <c r="L842" s="230"/>
      <c r="M842" s="230"/>
      <c r="N842" s="230"/>
      <c r="O842" s="230"/>
      <c r="P842" s="230"/>
      <c r="Q842" s="230"/>
      <c r="R842" s="230"/>
      <c r="S842" s="230"/>
      <c r="T842" s="230"/>
      <c r="U842" s="230"/>
      <c r="V842" s="230"/>
      <c r="W842" s="230"/>
      <c r="X842" s="230"/>
      <c r="Y842" s="230"/>
      <c r="Z842" s="230"/>
    </row>
    <row r="843" spans="1:26" ht="15.75" customHeight="1">
      <c r="A843" s="230"/>
      <c r="B843" s="230"/>
      <c r="C843" s="230"/>
      <c r="D843" s="230"/>
      <c r="E843" s="230"/>
      <c r="F843" s="230"/>
      <c r="G843" s="230"/>
      <c r="H843" s="230"/>
      <c r="I843" s="230"/>
      <c r="J843" s="230"/>
      <c r="K843" s="230"/>
      <c r="L843" s="230"/>
      <c r="M843" s="230"/>
      <c r="N843" s="230"/>
      <c r="O843" s="230"/>
      <c r="P843" s="230"/>
      <c r="Q843" s="230"/>
      <c r="R843" s="230"/>
      <c r="S843" s="230"/>
      <c r="T843" s="230"/>
      <c r="U843" s="230"/>
      <c r="V843" s="230"/>
      <c r="W843" s="230"/>
      <c r="X843" s="230"/>
      <c r="Y843" s="230"/>
      <c r="Z843" s="230"/>
    </row>
    <row r="844" spans="1:26" ht="15.75" customHeight="1">
      <c r="A844" s="230"/>
      <c r="B844" s="230"/>
      <c r="C844" s="230"/>
      <c r="D844" s="230"/>
      <c r="E844" s="230"/>
      <c r="F844" s="230"/>
      <c r="G844" s="230"/>
      <c r="H844" s="230"/>
      <c r="I844" s="230"/>
      <c r="J844" s="230"/>
      <c r="K844" s="230"/>
      <c r="L844" s="230"/>
      <c r="M844" s="230"/>
      <c r="N844" s="230"/>
      <c r="O844" s="230"/>
      <c r="P844" s="230"/>
      <c r="Q844" s="230"/>
      <c r="R844" s="230"/>
      <c r="S844" s="230"/>
      <c r="T844" s="230"/>
      <c r="U844" s="230"/>
      <c r="V844" s="230"/>
      <c r="W844" s="230"/>
      <c r="X844" s="230"/>
      <c r="Y844" s="230"/>
      <c r="Z844" s="230"/>
    </row>
    <row r="845" spans="1:26" ht="15.75" customHeight="1">
      <c r="A845" s="230"/>
      <c r="B845" s="230"/>
      <c r="C845" s="230"/>
      <c r="D845" s="230"/>
      <c r="E845" s="230"/>
      <c r="F845" s="230"/>
      <c r="G845" s="230"/>
      <c r="H845" s="230"/>
      <c r="I845" s="230"/>
      <c r="J845" s="230"/>
      <c r="K845" s="230"/>
      <c r="L845" s="230"/>
      <c r="M845" s="230"/>
      <c r="N845" s="230"/>
      <c r="O845" s="230"/>
      <c r="P845" s="230"/>
      <c r="Q845" s="230"/>
      <c r="R845" s="230"/>
      <c r="S845" s="230"/>
      <c r="T845" s="230"/>
      <c r="U845" s="230"/>
      <c r="V845" s="230"/>
      <c r="W845" s="230"/>
      <c r="X845" s="230"/>
      <c r="Y845" s="230"/>
      <c r="Z845" s="230"/>
    </row>
    <row r="846" spans="1:26" ht="15.75" customHeight="1">
      <c r="A846" s="230"/>
      <c r="B846" s="230"/>
      <c r="C846" s="230"/>
      <c r="D846" s="230"/>
      <c r="E846" s="230"/>
      <c r="F846" s="230"/>
      <c r="G846" s="230"/>
      <c r="H846" s="230"/>
      <c r="I846" s="230"/>
      <c r="J846" s="230"/>
      <c r="K846" s="230"/>
      <c r="L846" s="230"/>
      <c r="M846" s="230"/>
      <c r="N846" s="230"/>
      <c r="O846" s="230"/>
      <c r="P846" s="230"/>
      <c r="Q846" s="230"/>
      <c r="R846" s="230"/>
      <c r="S846" s="230"/>
      <c r="T846" s="230"/>
      <c r="U846" s="230"/>
      <c r="V846" s="230"/>
      <c r="W846" s="230"/>
      <c r="X846" s="230"/>
      <c r="Y846" s="230"/>
      <c r="Z846" s="230"/>
    </row>
    <row r="847" spans="1:26" ht="15.75" customHeight="1">
      <c r="A847" s="230"/>
      <c r="B847" s="230"/>
      <c r="C847" s="230"/>
      <c r="D847" s="230"/>
      <c r="E847" s="230"/>
      <c r="F847" s="230"/>
      <c r="G847" s="230"/>
      <c r="H847" s="230"/>
      <c r="I847" s="230"/>
      <c r="J847" s="230"/>
      <c r="K847" s="230"/>
      <c r="L847" s="230"/>
      <c r="M847" s="230"/>
      <c r="N847" s="230"/>
      <c r="O847" s="230"/>
      <c r="P847" s="230"/>
      <c r="Q847" s="230"/>
      <c r="R847" s="230"/>
      <c r="S847" s="230"/>
      <c r="T847" s="230"/>
      <c r="U847" s="230"/>
      <c r="V847" s="230"/>
      <c r="W847" s="230"/>
      <c r="X847" s="230"/>
      <c r="Y847" s="230"/>
      <c r="Z847" s="230"/>
    </row>
    <row r="848" spans="1:26" ht="15.75" customHeight="1">
      <c r="A848" s="230"/>
      <c r="B848" s="230"/>
      <c r="C848" s="230"/>
      <c r="D848" s="230"/>
      <c r="E848" s="230"/>
      <c r="F848" s="230"/>
      <c r="G848" s="230"/>
      <c r="H848" s="230"/>
      <c r="I848" s="230"/>
      <c r="J848" s="230"/>
      <c r="K848" s="230"/>
      <c r="L848" s="230"/>
      <c r="M848" s="230"/>
      <c r="N848" s="230"/>
      <c r="O848" s="230"/>
      <c r="P848" s="230"/>
      <c r="Q848" s="230"/>
      <c r="R848" s="230"/>
      <c r="S848" s="230"/>
      <c r="T848" s="230"/>
      <c r="U848" s="230"/>
      <c r="V848" s="230"/>
      <c r="W848" s="230"/>
      <c r="X848" s="230"/>
      <c r="Y848" s="230"/>
      <c r="Z848" s="230"/>
    </row>
    <row r="849" spans="1:26" ht="15.75" customHeight="1">
      <c r="A849" s="230"/>
      <c r="B849" s="230"/>
      <c r="C849" s="230"/>
      <c r="D849" s="230"/>
      <c r="E849" s="230"/>
      <c r="F849" s="230"/>
      <c r="G849" s="230"/>
      <c r="H849" s="230"/>
      <c r="I849" s="230"/>
      <c r="J849" s="230"/>
      <c r="K849" s="230"/>
      <c r="L849" s="230"/>
      <c r="M849" s="230"/>
      <c r="N849" s="230"/>
      <c r="O849" s="230"/>
      <c r="P849" s="230"/>
      <c r="Q849" s="230"/>
      <c r="R849" s="230"/>
      <c r="S849" s="230"/>
      <c r="T849" s="230"/>
      <c r="U849" s="230"/>
      <c r="V849" s="230"/>
      <c r="W849" s="230"/>
      <c r="X849" s="230"/>
      <c r="Y849" s="230"/>
      <c r="Z849" s="230"/>
    </row>
    <row r="850" spans="1:26" ht="15.75" customHeight="1">
      <c r="A850" s="230"/>
      <c r="B850" s="230"/>
      <c r="C850" s="230"/>
      <c r="D850" s="230"/>
      <c r="E850" s="230"/>
      <c r="F850" s="230"/>
      <c r="G850" s="230"/>
      <c r="H850" s="230"/>
      <c r="I850" s="230"/>
      <c r="J850" s="230"/>
      <c r="K850" s="230"/>
      <c r="L850" s="230"/>
      <c r="M850" s="230"/>
      <c r="N850" s="230"/>
      <c r="O850" s="230"/>
      <c r="P850" s="230"/>
      <c r="Q850" s="230"/>
      <c r="R850" s="230"/>
      <c r="S850" s="230"/>
      <c r="T850" s="230"/>
      <c r="U850" s="230"/>
      <c r="V850" s="230"/>
      <c r="W850" s="230"/>
      <c r="X850" s="230"/>
      <c r="Y850" s="230"/>
      <c r="Z850" s="230"/>
    </row>
    <row r="851" spans="1:26" ht="15.75" customHeight="1">
      <c r="A851" s="230"/>
      <c r="B851" s="230"/>
      <c r="C851" s="230"/>
      <c r="D851" s="230"/>
      <c r="E851" s="230"/>
      <c r="F851" s="230"/>
      <c r="G851" s="230"/>
      <c r="H851" s="230"/>
      <c r="I851" s="230"/>
      <c r="J851" s="230"/>
      <c r="K851" s="230"/>
      <c r="L851" s="230"/>
      <c r="M851" s="230"/>
      <c r="N851" s="230"/>
      <c r="O851" s="230"/>
      <c r="P851" s="230"/>
      <c r="Q851" s="230"/>
      <c r="R851" s="230"/>
      <c r="S851" s="230"/>
      <c r="T851" s="230"/>
      <c r="U851" s="230"/>
      <c r="V851" s="230"/>
      <c r="W851" s="230"/>
      <c r="X851" s="230"/>
      <c r="Y851" s="230"/>
      <c r="Z851" s="230"/>
    </row>
    <row r="852" spans="1:26" ht="15.75" customHeight="1">
      <c r="A852" s="230"/>
      <c r="B852" s="230"/>
      <c r="C852" s="230"/>
      <c r="D852" s="230"/>
      <c r="E852" s="230"/>
      <c r="F852" s="230"/>
      <c r="G852" s="230"/>
      <c r="H852" s="230"/>
      <c r="I852" s="230"/>
      <c r="J852" s="230"/>
      <c r="K852" s="230"/>
      <c r="L852" s="230"/>
      <c r="M852" s="230"/>
      <c r="N852" s="230"/>
      <c r="O852" s="230"/>
      <c r="P852" s="230"/>
      <c r="Q852" s="230"/>
      <c r="R852" s="230"/>
      <c r="S852" s="230"/>
      <c r="T852" s="230"/>
      <c r="U852" s="230"/>
      <c r="V852" s="230"/>
      <c r="W852" s="230"/>
      <c r="X852" s="230"/>
      <c r="Y852" s="230"/>
      <c r="Z852" s="230"/>
    </row>
    <row r="853" spans="1:26" ht="15.75" customHeight="1">
      <c r="A853" s="230"/>
      <c r="B853" s="230"/>
      <c r="C853" s="230"/>
      <c r="D853" s="230"/>
      <c r="E853" s="230"/>
      <c r="F853" s="230"/>
      <c r="G853" s="230"/>
      <c r="H853" s="230"/>
      <c r="I853" s="230"/>
      <c r="J853" s="230"/>
      <c r="K853" s="230"/>
      <c r="L853" s="230"/>
      <c r="M853" s="230"/>
      <c r="N853" s="230"/>
      <c r="O853" s="230"/>
      <c r="P853" s="230"/>
      <c r="Q853" s="230"/>
      <c r="R853" s="230"/>
      <c r="S853" s="230"/>
      <c r="T853" s="230"/>
      <c r="U853" s="230"/>
      <c r="V853" s="230"/>
      <c r="W853" s="230"/>
      <c r="X853" s="230"/>
      <c r="Y853" s="230"/>
      <c r="Z853" s="230"/>
    </row>
    <row r="854" spans="1:26" ht="15.75" customHeight="1">
      <c r="A854" s="230"/>
      <c r="B854" s="230"/>
      <c r="C854" s="230"/>
      <c r="D854" s="230"/>
      <c r="E854" s="230"/>
      <c r="F854" s="230"/>
      <c r="G854" s="230"/>
      <c r="H854" s="230"/>
      <c r="I854" s="230"/>
      <c r="J854" s="230"/>
      <c r="K854" s="230"/>
      <c r="L854" s="230"/>
      <c r="M854" s="230"/>
      <c r="N854" s="230"/>
      <c r="O854" s="230"/>
      <c r="P854" s="230"/>
      <c r="Q854" s="230"/>
      <c r="R854" s="230"/>
      <c r="S854" s="230"/>
      <c r="T854" s="230"/>
      <c r="U854" s="230"/>
      <c r="V854" s="230"/>
      <c r="W854" s="230"/>
      <c r="X854" s="230"/>
      <c r="Y854" s="230"/>
      <c r="Z854" s="230"/>
    </row>
    <row r="855" spans="1:26" ht="15.75" customHeight="1">
      <c r="A855" s="230"/>
      <c r="B855" s="230"/>
      <c r="C855" s="230"/>
      <c r="D855" s="230"/>
      <c r="E855" s="230"/>
      <c r="F855" s="230"/>
      <c r="G855" s="230"/>
      <c r="H855" s="230"/>
      <c r="I855" s="230"/>
      <c r="J855" s="230"/>
      <c r="K855" s="230"/>
      <c r="L855" s="230"/>
      <c r="M855" s="230"/>
      <c r="N855" s="230"/>
      <c r="O855" s="230"/>
      <c r="P855" s="230"/>
      <c r="Q855" s="230"/>
      <c r="R855" s="230"/>
      <c r="S855" s="230"/>
      <c r="T855" s="230"/>
      <c r="U855" s="230"/>
      <c r="V855" s="230"/>
      <c r="W855" s="230"/>
      <c r="X855" s="230"/>
      <c r="Y855" s="230"/>
      <c r="Z855" s="230"/>
    </row>
    <row r="856" spans="1:26" ht="15.75" customHeight="1">
      <c r="A856" s="230"/>
      <c r="B856" s="230"/>
      <c r="C856" s="230"/>
      <c r="D856" s="230"/>
      <c r="E856" s="230"/>
      <c r="F856" s="230"/>
      <c r="G856" s="230"/>
      <c r="H856" s="230"/>
      <c r="I856" s="230"/>
      <c r="J856" s="230"/>
      <c r="K856" s="230"/>
      <c r="L856" s="230"/>
      <c r="M856" s="230"/>
      <c r="N856" s="230"/>
      <c r="O856" s="230"/>
      <c r="P856" s="230"/>
      <c r="Q856" s="230"/>
      <c r="R856" s="230"/>
      <c r="S856" s="230"/>
      <c r="T856" s="230"/>
      <c r="U856" s="230"/>
      <c r="V856" s="230"/>
      <c r="W856" s="230"/>
      <c r="X856" s="230"/>
      <c r="Y856" s="230"/>
      <c r="Z856" s="230"/>
    </row>
    <row r="857" spans="1:26" ht="15.75" customHeight="1">
      <c r="A857" s="230"/>
      <c r="B857" s="230"/>
      <c r="C857" s="230"/>
      <c r="D857" s="230"/>
      <c r="E857" s="230"/>
      <c r="F857" s="230"/>
      <c r="G857" s="230"/>
      <c r="H857" s="230"/>
      <c r="I857" s="230"/>
      <c r="J857" s="230"/>
      <c r="K857" s="230"/>
      <c r="L857" s="230"/>
      <c r="M857" s="230"/>
      <c r="N857" s="230"/>
      <c r="O857" s="230"/>
      <c r="P857" s="230"/>
      <c r="Q857" s="230"/>
      <c r="R857" s="230"/>
      <c r="S857" s="230"/>
      <c r="T857" s="230"/>
      <c r="U857" s="230"/>
      <c r="V857" s="230"/>
      <c r="W857" s="230"/>
      <c r="X857" s="230"/>
      <c r="Y857" s="230"/>
      <c r="Z857" s="230"/>
    </row>
    <row r="858" spans="1:26" ht="15.75" customHeight="1">
      <c r="A858" s="230"/>
      <c r="B858" s="230"/>
      <c r="C858" s="230"/>
      <c r="D858" s="230"/>
      <c r="E858" s="230"/>
      <c r="F858" s="230"/>
      <c r="G858" s="230"/>
      <c r="H858" s="230"/>
      <c r="I858" s="230"/>
      <c r="J858" s="230"/>
      <c r="K858" s="230"/>
      <c r="L858" s="230"/>
      <c r="M858" s="230"/>
      <c r="N858" s="230"/>
      <c r="O858" s="230"/>
      <c r="P858" s="230"/>
      <c r="Q858" s="230"/>
      <c r="R858" s="230"/>
      <c r="S858" s="230"/>
      <c r="T858" s="230"/>
      <c r="U858" s="230"/>
      <c r="V858" s="230"/>
      <c r="W858" s="230"/>
      <c r="X858" s="230"/>
      <c r="Y858" s="230"/>
      <c r="Z858" s="230"/>
    </row>
    <row r="859" spans="1:26" ht="15.75" customHeight="1">
      <c r="A859" s="230"/>
      <c r="B859" s="230"/>
      <c r="C859" s="230"/>
      <c r="D859" s="230"/>
      <c r="E859" s="230"/>
      <c r="F859" s="230"/>
      <c r="G859" s="230"/>
      <c r="H859" s="230"/>
      <c r="I859" s="230"/>
      <c r="J859" s="230"/>
      <c r="K859" s="230"/>
      <c r="L859" s="230"/>
      <c r="M859" s="230"/>
      <c r="N859" s="230"/>
      <c r="O859" s="230"/>
      <c r="P859" s="230"/>
      <c r="Q859" s="230"/>
      <c r="R859" s="230"/>
      <c r="S859" s="230"/>
      <c r="T859" s="230"/>
      <c r="U859" s="230"/>
      <c r="V859" s="230"/>
      <c r="W859" s="230"/>
      <c r="X859" s="230"/>
      <c r="Y859" s="230"/>
      <c r="Z859" s="230"/>
    </row>
    <row r="860" spans="1:26" ht="15.75" customHeight="1">
      <c r="A860" s="230"/>
      <c r="B860" s="230"/>
      <c r="C860" s="230"/>
      <c r="D860" s="230"/>
      <c r="E860" s="230"/>
      <c r="F860" s="230"/>
      <c r="G860" s="230"/>
      <c r="H860" s="230"/>
      <c r="I860" s="230"/>
      <c r="J860" s="230"/>
      <c r="K860" s="230"/>
      <c r="L860" s="230"/>
      <c r="M860" s="230"/>
      <c r="N860" s="230"/>
      <c r="O860" s="230"/>
      <c r="P860" s="230"/>
      <c r="Q860" s="230"/>
      <c r="R860" s="230"/>
      <c r="S860" s="230"/>
      <c r="T860" s="230"/>
      <c r="U860" s="230"/>
      <c r="V860" s="230"/>
      <c r="W860" s="230"/>
      <c r="X860" s="230"/>
      <c r="Y860" s="230"/>
      <c r="Z860" s="230"/>
    </row>
    <row r="861" spans="1:26" ht="15.75" customHeight="1">
      <c r="A861" s="230"/>
      <c r="B861" s="230"/>
      <c r="C861" s="230"/>
      <c r="D861" s="230"/>
      <c r="E861" s="230"/>
      <c r="F861" s="230"/>
      <c r="G861" s="230"/>
      <c r="H861" s="230"/>
      <c r="I861" s="230"/>
      <c r="J861" s="230"/>
      <c r="K861" s="230"/>
      <c r="L861" s="230"/>
      <c r="M861" s="230"/>
      <c r="N861" s="230"/>
      <c r="O861" s="230"/>
      <c r="P861" s="230"/>
      <c r="Q861" s="230"/>
      <c r="R861" s="230"/>
      <c r="S861" s="230"/>
      <c r="T861" s="230"/>
      <c r="U861" s="230"/>
      <c r="V861" s="230"/>
      <c r="W861" s="230"/>
      <c r="X861" s="230"/>
      <c r="Y861" s="230"/>
      <c r="Z861" s="230"/>
    </row>
    <row r="862" spans="1:26" ht="15.75" customHeight="1">
      <c r="A862" s="230"/>
      <c r="B862" s="230"/>
      <c r="C862" s="230"/>
      <c r="D862" s="230"/>
      <c r="E862" s="230"/>
      <c r="F862" s="230"/>
      <c r="G862" s="230"/>
      <c r="H862" s="230"/>
      <c r="I862" s="230"/>
      <c r="J862" s="230"/>
      <c r="K862" s="230"/>
      <c r="L862" s="230"/>
      <c r="M862" s="230"/>
      <c r="N862" s="230"/>
      <c r="O862" s="230"/>
      <c r="P862" s="230"/>
      <c r="Q862" s="230"/>
      <c r="R862" s="230"/>
      <c r="S862" s="230"/>
      <c r="T862" s="230"/>
      <c r="U862" s="230"/>
      <c r="V862" s="230"/>
      <c r="W862" s="230"/>
      <c r="X862" s="230"/>
      <c r="Y862" s="230"/>
      <c r="Z862" s="230"/>
    </row>
    <row r="863" spans="1:26" ht="15.75" customHeight="1">
      <c r="A863" s="230"/>
      <c r="B863" s="230"/>
      <c r="C863" s="230"/>
      <c r="D863" s="230"/>
      <c r="E863" s="230"/>
      <c r="F863" s="230"/>
      <c r="G863" s="230"/>
      <c r="H863" s="230"/>
      <c r="I863" s="230"/>
      <c r="J863" s="230"/>
      <c r="K863" s="230"/>
      <c r="L863" s="230"/>
      <c r="M863" s="230"/>
      <c r="N863" s="230"/>
      <c r="O863" s="230"/>
      <c r="P863" s="230"/>
      <c r="Q863" s="230"/>
      <c r="R863" s="230"/>
      <c r="S863" s="230"/>
      <c r="T863" s="230"/>
      <c r="U863" s="230"/>
      <c r="V863" s="230"/>
      <c r="W863" s="230"/>
      <c r="X863" s="230"/>
      <c r="Y863" s="230"/>
      <c r="Z863" s="230"/>
    </row>
    <row r="864" spans="1:26" ht="15.75" customHeight="1">
      <c r="A864" s="230"/>
      <c r="B864" s="230"/>
      <c r="C864" s="230"/>
      <c r="D864" s="230"/>
      <c r="E864" s="230"/>
      <c r="F864" s="230"/>
      <c r="G864" s="230"/>
      <c r="H864" s="230"/>
      <c r="I864" s="230"/>
      <c r="J864" s="230"/>
      <c r="K864" s="230"/>
      <c r="L864" s="230"/>
      <c r="M864" s="230"/>
      <c r="N864" s="230"/>
      <c r="O864" s="230"/>
      <c r="P864" s="230"/>
      <c r="Q864" s="230"/>
      <c r="R864" s="230"/>
      <c r="S864" s="230"/>
      <c r="T864" s="230"/>
      <c r="U864" s="230"/>
      <c r="V864" s="230"/>
      <c r="W864" s="230"/>
      <c r="X864" s="230"/>
      <c r="Y864" s="230"/>
      <c r="Z864" s="230"/>
    </row>
    <row r="865" spans="1:26" ht="15.75" customHeight="1">
      <c r="A865" s="230"/>
      <c r="B865" s="230"/>
      <c r="C865" s="230"/>
      <c r="D865" s="230"/>
      <c r="E865" s="230"/>
      <c r="F865" s="230"/>
      <c r="G865" s="230"/>
      <c r="H865" s="230"/>
      <c r="I865" s="230"/>
      <c r="J865" s="230"/>
      <c r="K865" s="230"/>
      <c r="L865" s="230"/>
      <c r="M865" s="230"/>
      <c r="N865" s="230"/>
      <c r="O865" s="230"/>
      <c r="P865" s="230"/>
      <c r="Q865" s="230"/>
      <c r="R865" s="230"/>
      <c r="S865" s="230"/>
      <c r="T865" s="230"/>
      <c r="U865" s="230"/>
      <c r="V865" s="230"/>
      <c r="W865" s="230"/>
      <c r="X865" s="230"/>
      <c r="Y865" s="230"/>
      <c r="Z865" s="230"/>
    </row>
    <row r="866" spans="1:26" ht="15.75" customHeight="1">
      <c r="A866" s="230"/>
      <c r="B866" s="230"/>
      <c r="C866" s="230"/>
      <c r="D866" s="230"/>
      <c r="E866" s="230"/>
      <c r="F866" s="230"/>
      <c r="G866" s="230"/>
      <c r="H866" s="230"/>
      <c r="I866" s="230"/>
      <c r="J866" s="230"/>
      <c r="K866" s="230"/>
      <c r="L866" s="230"/>
      <c r="M866" s="230"/>
      <c r="N866" s="230"/>
      <c r="O866" s="230"/>
      <c r="P866" s="230"/>
      <c r="Q866" s="230"/>
      <c r="R866" s="230"/>
      <c r="S866" s="230"/>
      <c r="T866" s="230"/>
      <c r="U866" s="230"/>
      <c r="V866" s="230"/>
      <c r="W866" s="230"/>
      <c r="X866" s="230"/>
      <c r="Y866" s="230"/>
      <c r="Z866" s="230"/>
    </row>
    <row r="867" spans="1:26" ht="15.75" customHeight="1">
      <c r="A867" s="230"/>
      <c r="B867" s="230"/>
      <c r="C867" s="230"/>
      <c r="D867" s="230"/>
      <c r="E867" s="230"/>
      <c r="F867" s="230"/>
      <c r="G867" s="230"/>
      <c r="H867" s="230"/>
      <c r="I867" s="230"/>
      <c r="J867" s="230"/>
      <c r="K867" s="230"/>
      <c r="L867" s="230"/>
      <c r="M867" s="230"/>
      <c r="N867" s="230"/>
      <c r="O867" s="230"/>
      <c r="P867" s="230"/>
      <c r="Q867" s="230"/>
      <c r="R867" s="230"/>
      <c r="S867" s="230"/>
      <c r="T867" s="230"/>
      <c r="U867" s="230"/>
      <c r="V867" s="230"/>
      <c r="W867" s="230"/>
      <c r="X867" s="230"/>
      <c r="Y867" s="230"/>
      <c r="Z867" s="230"/>
    </row>
    <row r="868" spans="1:26" ht="15.75" customHeight="1">
      <c r="A868" s="230"/>
      <c r="B868" s="230"/>
      <c r="C868" s="230"/>
      <c r="D868" s="230"/>
      <c r="E868" s="230"/>
      <c r="F868" s="230"/>
      <c r="G868" s="230"/>
      <c r="H868" s="230"/>
      <c r="I868" s="230"/>
      <c r="J868" s="230"/>
      <c r="K868" s="230"/>
      <c r="L868" s="230"/>
      <c r="M868" s="230"/>
      <c r="N868" s="230"/>
      <c r="O868" s="230"/>
      <c r="P868" s="230"/>
      <c r="Q868" s="230"/>
      <c r="R868" s="230"/>
      <c r="S868" s="230"/>
      <c r="T868" s="230"/>
      <c r="U868" s="230"/>
      <c r="V868" s="230"/>
      <c r="W868" s="230"/>
      <c r="X868" s="230"/>
      <c r="Y868" s="230"/>
      <c r="Z868" s="230"/>
    </row>
    <row r="869" spans="1:26" ht="15.75" customHeight="1">
      <c r="A869" s="230"/>
      <c r="B869" s="230"/>
      <c r="C869" s="230"/>
      <c r="D869" s="230"/>
      <c r="E869" s="230"/>
      <c r="F869" s="230"/>
      <c r="G869" s="230"/>
      <c r="H869" s="230"/>
      <c r="I869" s="230"/>
      <c r="J869" s="230"/>
      <c r="K869" s="230"/>
      <c r="L869" s="230"/>
      <c r="M869" s="230"/>
      <c r="N869" s="230"/>
      <c r="O869" s="230"/>
      <c r="P869" s="230"/>
      <c r="Q869" s="230"/>
      <c r="R869" s="230"/>
      <c r="S869" s="230"/>
      <c r="T869" s="230"/>
      <c r="U869" s="230"/>
      <c r="V869" s="230"/>
      <c r="W869" s="230"/>
      <c r="X869" s="230"/>
      <c r="Y869" s="230"/>
      <c r="Z869" s="230"/>
    </row>
    <row r="870" spans="1:26" ht="15.75" customHeight="1">
      <c r="A870" s="230"/>
      <c r="B870" s="230"/>
      <c r="C870" s="230"/>
      <c r="D870" s="230"/>
      <c r="E870" s="230"/>
      <c r="F870" s="230"/>
      <c r="G870" s="230"/>
      <c r="H870" s="230"/>
      <c r="I870" s="230"/>
      <c r="J870" s="230"/>
      <c r="K870" s="230"/>
      <c r="L870" s="230"/>
      <c r="M870" s="230"/>
      <c r="N870" s="230"/>
      <c r="O870" s="230"/>
      <c r="P870" s="230"/>
      <c r="Q870" s="230"/>
      <c r="R870" s="230"/>
      <c r="S870" s="230"/>
      <c r="T870" s="230"/>
      <c r="U870" s="230"/>
      <c r="V870" s="230"/>
      <c r="W870" s="230"/>
      <c r="X870" s="230"/>
      <c r="Y870" s="230"/>
      <c r="Z870" s="230"/>
    </row>
    <row r="871" spans="1:26" ht="15.75" customHeight="1">
      <c r="A871" s="230"/>
      <c r="B871" s="230"/>
      <c r="C871" s="230"/>
      <c r="D871" s="230"/>
      <c r="E871" s="230"/>
      <c r="F871" s="230"/>
      <c r="G871" s="230"/>
      <c r="H871" s="230"/>
      <c r="I871" s="230"/>
      <c r="J871" s="230"/>
      <c r="K871" s="230"/>
      <c r="L871" s="230"/>
      <c r="M871" s="230"/>
      <c r="N871" s="230"/>
      <c r="O871" s="230"/>
      <c r="P871" s="230"/>
      <c r="Q871" s="230"/>
      <c r="R871" s="230"/>
      <c r="S871" s="230"/>
      <c r="T871" s="230"/>
      <c r="U871" s="230"/>
      <c r="V871" s="230"/>
      <c r="W871" s="230"/>
      <c r="X871" s="230"/>
      <c r="Y871" s="230"/>
      <c r="Z871" s="230"/>
    </row>
    <row r="872" spans="1:26" ht="15.75" customHeight="1">
      <c r="A872" s="230"/>
      <c r="B872" s="230"/>
      <c r="C872" s="230"/>
      <c r="D872" s="230"/>
      <c r="E872" s="230"/>
      <c r="F872" s="230"/>
      <c r="G872" s="230"/>
      <c r="H872" s="230"/>
      <c r="I872" s="230"/>
      <c r="J872" s="230"/>
      <c r="K872" s="230"/>
      <c r="L872" s="230"/>
      <c r="M872" s="230"/>
      <c r="N872" s="230"/>
      <c r="O872" s="230"/>
      <c r="P872" s="230"/>
      <c r="Q872" s="230"/>
      <c r="R872" s="230"/>
      <c r="S872" s="230"/>
      <c r="T872" s="230"/>
      <c r="U872" s="230"/>
      <c r="V872" s="230"/>
      <c r="W872" s="230"/>
      <c r="X872" s="230"/>
      <c r="Y872" s="230"/>
      <c r="Z872" s="230"/>
    </row>
    <row r="873" spans="1:26" ht="15.75" customHeight="1">
      <c r="A873" s="230"/>
      <c r="B873" s="230"/>
      <c r="C873" s="230"/>
      <c r="D873" s="230"/>
      <c r="E873" s="230"/>
      <c r="F873" s="230"/>
      <c r="G873" s="230"/>
      <c r="H873" s="230"/>
      <c r="I873" s="230"/>
      <c r="J873" s="230"/>
      <c r="K873" s="230"/>
      <c r="L873" s="230"/>
      <c r="M873" s="230"/>
      <c r="N873" s="230"/>
      <c r="O873" s="230"/>
      <c r="P873" s="230"/>
      <c r="Q873" s="230"/>
      <c r="R873" s="230"/>
      <c r="S873" s="230"/>
      <c r="T873" s="230"/>
      <c r="U873" s="230"/>
      <c r="V873" s="230"/>
      <c r="W873" s="230"/>
      <c r="X873" s="230"/>
      <c r="Y873" s="230"/>
      <c r="Z873" s="230"/>
    </row>
    <row r="874" spans="1:26" ht="15.75" customHeight="1">
      <c r="A874" s="230"/>
      <c r="B874" s="230"/>
      <c r="C874" s="230"/>
      <c r="D874" s="230"/>
      <c r="E874" s="230"/>
      <c r="F874" s="230"/>
      <c r="G874" s="230"/>
      <c r="H874" s="230"/>
      <c r="I874" s="230"/>
      <c r="J874" s="230"/>
      <c r="K874" s="230"/>
      <c r="L874" s="230"/>
      <c r="M874" s="230"/>
      <c r="N874" s="230"/>
      <c r="O874" s="230"/>
      <c r="P874" s="230"/>
      <c r="Q874" s="230"/>
      <c r="R874" s="230"/>
      <c r="S874" s="230"/>
      <c r="T874" s="230"/>
      <c r="U874" s="230"/>
      <c r="V874" s="230"/>
      <c r="W874" s="230"/>
      <c r="X874" s="230"/>
      <c r="Y874" s="230"/>
      <c r="Z874" s="230"/>
    </row>
    <row r="875" spans="1:26" ht="15.75" customHeight="1">
      <c r="A875" s="230"/>
      <c r="B875" s="230"/>
      <c r="C875" s="230"/>
      <c r="D875" s="230"/>
      <c r="E875" s="230"/>
      <c r="F875" s="230"/>
      <c r="G875" s="230"/>
      <c r="H875" s="230"/>
      <c r="I875" s="230"/>
      <c r="J875" s="230"/>
      <c r="K875" s="230"/>
      <c r="L875" s="230"/>
      <c r="M875" s="230"/>
      <c r="N875" s="230"/>
      <c r="O875" s="230"/>
      <c r="P875" s="230"/>
      <c r="Q875" s="230"/>
      <c r="R875" s="230"/>
      <c r="S875" s="230"/>
      <c r="T875" s="230"/>
      <c r="U875" s="230"/>
      <c r="V875" s="230"/>
      <c r="W875" s="230"/>
      <c r="X875" s="230"/>
      <c r="Y875" s="230"/>
      <c r="Z875" s="230"/>
    </row>
    <row r="876" spans="1:26" ht="15.75" customHeight="1">
      <c r="A876" s="230"/>
      <c r="B876" s="230"/>
      <c r="C876" s="230"/>
      <c r="D876" s="230"/>
      <c r="E876" s="230"/>
      <c r="F876" s="230"/>
      <c r="G876" s="230"/>
      <c r="H876" s="230"/>
      <c r="I876" s="230"/>
      <c r="J876" s="230"/>
      <c r="K876" s="230"/>
      <c r="L876" s="230"/>
      <c r="M876" s="230"/>
      <c r="N876" s="230"/>
      <c r="O876" s="230"/>
      <c r="P876" s="230"/>
      <c r="Q876" s="230"/>
      <c r="R876" s="230"/>
      <c r="S876" s="230"/>
      <c r="T876" s="230"/>
      <c r="U876" s="230"/>
      <c r="V876" s="230"/>
      <c r="W876" s="230"/>
      <c r="X876" s="230"/>
      <c r="Y876" s="230"/>
      <c r="Z876" s="230"/>
    </row>
    <row r="877" spans="1:26" ht="15.75" customHeight="1">
      <c r="A877" s="230"/>
      <c r="B877" s="230"/>
      <c r="C877" s="230"/>
      <c r="D877" s="230"/>
      <c r="E877" s="230"/>
      <c r="F877" s="230"/>
      <c r="G877" s="230"/>
      <c r="H877" s="230"/>
      <c r="I877" s="230"/>
      <c r="J877" s="230"/>
      <c r="K877" s="230"/>
      <c r="L877" s="230"/>
      <c r="M877" s="230"/>
      <c r="N877" s="230"/>
      <c r="O877" s="230"/>
      <c r="P877" s="230"/>
      <c r="Q877" s="230"/>
      <c r="R877" s="230"/>
      <c r="S877" s="230"/>
      <c r="T877" s="230"/>
      <c r="U877" s="230"/>
      <c r="V877" s="230"/>
      <c r="W877" s="230"/>
      <c r="X877" s="230"/>
      <c r="Y877" s="230"/>
      <c r="Z877" s="230"/>
    </row>
    <row r="878" spans="1:26" ht="15.75" customHeight="1">
      <c r="A878" s="230"/>
      <c r="B878" s="230"/>
      <c r="C878" s="230"/>
      <c r="D878" s="230"/>
      <c r="E878" s="230"/>
      <c r="F878" s="230"/>
      <c r="G878" s="230"/>
      <c r="H878" s="230"/>
      <c r="I878" s="230"/>
      <c r="J878" s="230"/>
      <c r="K878" s="230"/>
      <c r="L878" s="230"/>
      <c r="M878" s="230"/>
      <c r="N878" s="230"/>
      <c r="O878" s="230"/>
      <c r="P878" s="230"/>
      <c r="Q878" s="230"/>
      <c r="R878" s="230"/>
      <c r="S878" s="230"/>
      <c r="T878" s="230"/>
      <c r="U878" s="230"/>
      <c r="V878" s="230"/>
      <c r="W878" s="230"/>
      <c r="X878" s="230"/>
      <c r="Y878" s="230"/>
      <c r="Z878" s="230"/>
    </row>
    <row r="879" spans="1:26" ht="15.75" customHeight="1">
      <c r="A879" s="230"/>
      <c r="B879" s="230"/>
      <c r="C879" s="230"/>
      <c r="D879" s="230"/>
      <c r="E879" s="230"/>
      <c r="F879" s="230"/>
      <c r="G879" s="230"/>
      <c r="H879" s="230"/>
      <c r="I879" s="230"/>
      <c r="J879" s="230"/>
      <c r="K879" s="230"/>
      <c r="L879" s="230"/>
      <c r="M879" s="230"/>
      <c r="N879" s="230"/>
      <c r="O879" s="230"/>
      <c r="P879" s="230"/>
      <c r="Q879" s="230"/>
      <c r="R879" s="230"/>
      <c r="S879" s="230"/>
      <c r="T879" s="230"/>
      <c r="U879" s="230"/>
      <c r="V879" s="230"/>
      <c r="W879" s="230"/>
      <c r="X879" s="230"/>
      <c r="Y879" s="230"/>
      <c r="Z879" s="230"/>
    </row>
    <row r="880" spans="1:26" ht="15.75" customHeight="1">
      <c r="A880" s="230"/>
      <c r="B880" s="230"/>
      <c r="C880" s="230"/>
      <c r="D880" s="230"/>
      <c r="E880" s="230"/>
      <c r="F880" s="230"/>
      <c r="G880" s="230"/>
      <c r="H880" s="230"/>
      <c r="I880" s="230"/>
      <c r="J880" s="230"/>
      <c r="K880" s="230"/>
      <c r="L880" s="230"/>
      <c r="M880" s="230"/>
      <c r="N880" s="230"/>
      <c r="O880" s="230"/>
      <c r="P880" s="230"/>
      <c r="Q880" s="230"/>
      <c r="R880" s="230"/>
      <c r="S880" s="230"/>
      <c r="T880" s="230"/>
      <c r="U880" s="230"/>
      <c r="V880" s="230"/>
      <c r="W880" s="230"/>
      <c r="X880" s="230"/>
      <c r="Y880" s="230"/>
      <c r="Z880" s="230"/>
    </row>
    <row r="881" spans="1:26" ht="15.75" customHeight="1">
      <c r="A881" s="230"/>
      <c r="B881" s="230"/>
      <c r="C881" s="230"/>
      <c r="D881" s="230"/>
      <c r="E881" s="230"/>
      <c r="F881" s="230"/>
      <c r="G881" s="230"/>
      <c r="H881" s="230"/>
      <c r="I881" s="230"/>
      <c r="J881" s="230"/>
      <c r="K881" s="230"/>
      <c r="L881" s="230"/>
      <c r="M881" s="230"/>
      <c r="N881" s="230"/>
      <c r="O881" s="230"/>
      <c r="P881" s="230"/>
      <c r="Q881" s="230"/>
      <c r="R881" s="230"/>
      <c r="S881" s="230"/>
      <c r="T881" s="230"/>
      <c r="U881" s="230"/>
      <c r="V881" s="230"/>
      <c r="W881" s="230"/>
      <c r="X881" s="230"/>
      <c r="Y881" s="230"/>
      <c r="Z881" s="230"/>
    </row>
    <row r="882" spans="1:26" ht="15.75" customHeight="1">
      <c r="A882" s="230"/>
      <c r="B882" s="230"/>
      <c r="C882" s="230"/>
      <c r="D882" s="230"/>
      <c r="E882" s="230"/>
      <c r="F882" s="230"/>
      <c r="G882" s="230"/>
      <c r="H882" s="230"/>
      <c r="I882" s="230"/>
      <c r="J882" s="230"/>
      <c r="K882" s="230"/>
      <c r="L882" s="230"/>
      <c r="M882" s="230"/>
      <c r="N882" s="230"/>
      <c r="O882" s="230"/>
      <c r="P882" s="230"/>
      <c r="Q882" s="230"/>
      <c r="R882" s="230"/>
      <c r="S882" s="230"/>
      <c r="T882" s="230"/>
      <c r="U882" s="230"/>
      <c r="V882" s="230"/>
      <c r="W882" s="230"/>
      <c r="X882" s="230"/>
      <c r="Y882" s="230"/>
      <c r="Z882" s="230"/>
    </row>
    <row r="883" spans="1:26" ht="15.75" customHeight="1">
      <c r="A883" s="230"/>
      <c r="B883" s="230"/>
      <c r="C883" s="230"/>
      <c r="D883" s="230"/>
      <c r="E883" s="230"/>
      <c r="F883" s="230"/>
      <c r="G883" s="230"/>
      <c r="H883" s="230"/>
      <c r="I883" s="230"/>
      <c r="J883" s="230"/>
      <c r="K883" s="230"/>
      <c r="L883" s="230"/>
      <c r="M883" s="230"/>
      <c r="N883" s="230"/>
      <c r="O883" s="230"/>
      <c r="P883" s="230"/>
      <c r="Q883" s="230"/>
      <c r="R883" s="230"/>
      <c r="S883" s="230"/>
      <c r="T883" s="230"/>
      <c r="U883" s="230"/>
      <c r="V883" s="230"/>
      <c r="W883" s="230"/>
      <c r="X883" s="230"/>
      <c r="Y883" s="230"/>
      <c r="Z883" s="230"/>
    </row>
    <row r="884" spans="1:26" ht="15.75" customHeight="1">
      <c r="A884" s="230"/>
      <c r="B884" s="230"/>
      <c r="C884" s="230"/>
      <c r="D884" s="230"/>
      <c r="E884" s="230"/>
      <c r="F884" s="230"/>
      <c r="G884" s="230"/>
      <c r="H884" s="230"/>
      <c r="I884" s="230"/>
      <c r="J884" s="230"/>
      <c r="K884" s="230"/>
      <c r="L884" s="230"/>
      <c r="M884" s="230"/>
      <c r="N884" s="230"/>
      <c r="O884" s="230"/>
      <c r="P884" s="230"/>
      <c r="Q884" s="230"/>
      <c r="R884" s="230"/>
      <c r="S884" s="230"/>
      <c r="T884" s="230"/>
      <c r="U884" s="230"/>
      <c r="V884" s="230"/>
      <c r="W884" s="230"/>
      <c r="X884" s="230"/>
      <c r="Y884" s="230"/>
      <c r="Z884" s="230"/>
    </row>
    <row r="885" spans="1:26" ht="15.75" customHeight="1">
      <c r="A885" s="230"/>
      <c r="B885" s="230"/>
      <c r="C885" s="230"/>
      <c r="D885" s="230"/>
      <c r="E885" s="230"/>
      <c r="F885" s="230"/>
      <c r="G885" s="230"/>
      <c r="H885" s="230"/>
      <c r="I885" s="230"/>
      <c r="J885" s="230"/>
      <c r="K885" s="230"/>
      <c r="L885" s="230"/>
      <c r="M885" s="230"/>
      <c r="N885" s="230"/>
      <c r="O885" s="230"/>
      <c r="P885" s="230"/>
      <c r="Q885" s="230"/>
      <c r="R885" s="230"/>
      <c r="S885" s="230"/>
      <c r="T885" s="230"/>
      <c r="U885" s="230"/>
      <c r="V885" s="230"/>
      <c r="W885" s="230"/>
      <c r="X885" s="230"/>
      <c r="Y885" s="230"/>
      <c r="Z885" s="230"/>
    </row>
    <row r="886" spans="1:26" ht="15.75" customHeight="1">
      <c r="A886" s="230"/>
      <c r="B886" s="230"/>
      <c r="C886" s="230"/>
      <c r="D886" s="230"/>
      <c r="E886" s="230"/>
      <c r="F886" s="230"/>
      <c r="G886" s="230"/>
      <c r="H886" s="230"/>
      <c r="I886" s="230"/>
      <c r="J886" s="230"/>
      <c r="K886" s="230"/>
      <c r="L886" s="230"/>
      <c r="M886" s="230"/>
      <c r="N886" s="230"/>
      <c r="O886" s="230"/>
      <c r="P886" s="230"/>
      <c r="Q886" s="230"/>
      <c r="R886" s="230"/>
      <c r="S886" s="230"/>
      <c r="T886" s="230"/>
      <c r="U886" s="230"/>
      <c r="V886" s="230"/>
      <c r="W886" s="230"/>
      <c r="X886" s="230"/>
      <c r="Y886" s="230"/>
      <c r="Z886" s="230"/>
    </row>
    <row r="887" spans="1:26" ht="15.75" customHeight="1">
      <c r="A887" s="230"/>
      <c r="B887" s="230"/>
      <c r="C887" s="230"/>
      <c r="D887" s="230"/>
      <c r="E887" s="230"/>
      <c r="F887" s="230"/>
      <c r="G887" s="230"/>
      <c r="H887" s="230"/>
      <c r="I887" s="230"/>
      <c r="J887" s="230"/>
      <c r="K887" s="230"/>
      <c r="L887" s="230"/>
      <c r="M887" s="230"/>
      <c r="N887" s="230"/>
      <c r="O887" s="230"/>
      <c r="P887" s="230"/>
      <c r="Q887" s="230"/>
      <c r="R887" s="230"/>
      <c r="S887" s="230"/>
      <c r="T887" s="230"/>
      <c r="U887" s="230"/>
      <c r="V887" s="230"/>
      <c r="W887" s="230"/>
      <c r="X887" s="230"/>
      <c r="Y887" s="230"/>
      <c r="Z887" s="230"/>
    </row>
    <row r="888" spans="1:26" ht="15.75" customHeight="1">
      <c r="A888" s="230"/>
      <c r="B888" s="230"/>
      <c r="C888" s="230"/>
      <c r="D888" s="230"/>
      <c r="E888" s="230"/>
      <c r="F888" s="230"/>
      <c r="G888" s="230"/>
      <c r="H888" s="230"/>
      <c r="I888" s="230"/>
      <c r="J888" s="230"/>
      <c r="K888" s="230"/>
      <c r="L888" s="230"/>
      <c r="M888" s="230"/>
      <c r="N888" s="230"/>
      <c r="O888" s="230"/>
      <c r="P888" s="230"/>
      <c r="Q888" s="230"/>
      <c r="R888" s="230"/>
      <c r="S888" s="230"/>
      <c r="T888" s="230"/>
      <c r="U888" s="230"/>
      <c r="V888" s="230"/>
      <c r="W888" s="230"/>
      <c r="X888" s="230"/>
      <c r="Y888" s="230"/>
      <c r="Z888" s="230"/>
    </row>
    <row r="889" spans="1:26" ht="15.75" customHeight="1">
      <c r="A889" s="230"/>
      <c r="B889" s="230"/>
      <c r="C889" s="230"/>
      <c r="D889" s="230"/>
      <c r="E889" s="230"/>
      <c r="F889" s="230"/>
      <c r="G889" s="230"/>
      <c r="H889" s="230"/>
      <c r="I889" s="230"/>
      <c r="J889" s="230"/>
      <c r="K889" s="230"/>
      <c r="L889" s="230"/>
      <c r="M889" s="230"/>
      <c r="N889" s="230"/>
      <c r="O889" s="230"/>
      <c r="P889" s="230"/>
      <c r="Q889" s="230"/>
      <c r="R889" s="230"/>
      <c r="S889" s="230"/>
      <c r="T889" s="230"/>
      <c r="U889" s="230"/>
      <c r="V889" s="230"/>
      <c r="W889" s="230"/>
      <c r="X889" s="230"/>
      <c r="Y889" s="230"/>
      <c r="Z889" s="230"/>
    </row>
    <row r="890" spans="1:26" ht="15.75" customHeight="1">
      <c r="A890" s="230"/>
      <c r="B890" s="230"/>
      <c r="C890" s="230"/>
      <c r="D890" s="230"/>
      <c r="E890" s="230"/>
      <c r="F890" s="230"/>
      <c r="G890" s="230"/>
      <c r="H890" s="230"/>
      <c r="I890" s="230"/>
      <c r="J890" s="230"/>
      <c r="K890" s="230"/>
      <c r="L890" s="230"/>
      <c r="M890" s="230"/>
      <c r="N890" s="230"/>
      <c r="O890" s="230"/>
      <c r="P890" s="230"/>
      <c r="Q890" s="230"/>
      <c r="R890" s="230"/>
      <c r="S890" s="230"/>
      <c r="T890" s="230"/>
      <c r="U890" s="230"/>
      <c r="V890" s="230"/>
      <c r="W890" s="230"/>
      <c r="X890" s="230"/>
      <c r="Y890" s="230"/>
      <c r="Z890" s="230"/>
    </row>
    <row r="891" spans="1:26" ht="15.75" customHeight="1">
      <c r="A891" s="230"/>
      <c r="B891" s="230"/>
      <c r="C891" s="230"/>
      <c r="D891" s="230"/>
      <c r="E891" s="230"/>
      <c r="F891" s="230"/>
      <c r="G891" s="230"/>
      <c r="H891" s="230"/>
      <c r="I891" s="230"/>
      <c r="J891" s="230"/>
      <c r="K891" s="230"/>
      <c r="L891" s="230"/>
      <c r="M891" s="230"/>
      <c r="N891" s="230"/>
      <c r="O891" s="230"/>
      <c r="P891" s="230"/>
      <c r="Q891" s="230"/>
      <c r="R891" s="230"/>
      <c r="S891" s="230"/>
      <c r="T891" s="230"/>
      <c r="U891" s="230"/>
      <c r="V891" s="230"/>
      <c r="W891" s="230"/>
      <c r="X891" s="230"/>
      <c r="Y891" s="230"/>
      <c r="Z891" s="230"/>
    </row>
    <row r="892" spans="1:26" ht="15.75" customHeight="1">
      <c r="A892" s="230"/>
      <c r="B892" s="230"/>
      <c r="C892" s="230"/>
      <c r="D892" s="230"/>
      <c r="E892" s="230"/>
      <c r="F892" s="230"/>
      <c r="G892" s="230"/>
      <c r="H892" s="230"/>
      <c r="I892" s="230"/>
      <c r="J892" s="230"/>
      <c r="K892" s="230"/>
      <c r="L892" s="230"/>
      <c r="M892" s="230"/>
      <c r="N892" s="230"/>
      <c r="O892" s="230"/>
      <c r="P892" s="230"/>
      <c r="Q892" s="230"/>
      <c r="R892" s="230"/>
      <c r="S892" s="230"/>
      <c r="T892" s="230"/>
      <c r="U892" s="230"/>
      <c r="V892" s="230"/>
      <c r="W892" s="230"/>
      <c r="X892" s="230"/>
      <c r="Y892" s="230"/>
      <c r="Z892" s="230"/>
    </row>
    <row r="893" spans="1:26" ht="15.75" customHeight="1">
      <c r="A893" s="230"/>
      <c r="B893" s="230"/>
      <c r="C893" s="230"/>
      <c r="D893" s="230"/>
      <c r="E893" s="230"/>
      <c r="F893" s="230"/>
      <c r="G893" s="230"/>
      <c r="H893" s="230"/>
      <c r="I893" s="230"/>
      <c r="J893" s="230"/>
      <c r="K893" s="230"/>
      <c r="L893" s="230"/>
      <c r="M893" s="230"/>
      <c r="N893" s="230"/>
      <c r="O893" s="230"/>
      <c r="P893" s="230"/>
      <c r="Q893" s="230"/>
      <c r="R893" s="230"/>
      <c r="S893" s="230"/>
      <c r="T893" s="230"/>
      <c r="U893" s="230"/>
      <c r="V893" s="230"/>
      <c r="W893" s="230"/>
      <c r="X893" s="230"/>
      <c r="Y893" s="230"/>
      <c r="Z893" s="230"/>
    </row>
    <row r="894" spans="1:26" ht="15.75" customHeight="1">
      <c r="A894" s="230"/>
      <c r="B894" s="230"/>
      <c r="C894" s="230"/>
      <c r="D894" s="230"/>
      <c r="E894" s="230"/>
      <c r="F894" s="230"/>
      <c r="G894" s="230"/>
      <c r="H894" s="230"/>
      <c r="I894" s="230"/>
      <c r="J894" s="230"/>
      <c r="K894" s="230"/>
      <c r="L894" s="230"/>
      <c r="M894" s="230"/>
      <c r="N894" s="230"/>
      <c r="O894" s="230"/>
      <c r="P894" s="230"/>
      <c r="Q894" s="230"/>
      <c r="R894" s="230"/>
      <c r="S894" s="230"/>
      <c r="T894" s="230"/>
      <c r="U894" s="230"/>
      <c r="V894" s="230"/>
      <c r="W894" s="230"/>
      <c r="X894" s="230"/>
      <c r="Y894" s="230"/>
      <c r="Z894" s="230"/>
    </row>
    <row r="895" spans="1:26" ht="15.75" customHeight="1">
      <c r="A895" s="230"/>
      <c r="B895" s="230"/>
      <c r="C895" s="230"/>
      <c r="D895" s="230"/>
      <c r="E895" s="230"/>
      <c r="F895" s="230"/>
      <c r="G895" s="230"/>
      <c r="H895" s="230"/>
      <c r="I895" s="230"/>
      <c r="J895" s="230"/>
      <c r="K895" s="230"/>
      <c r="L895" s="230"/>
      <c r="M895" s="230"/>
      <c r="N895" s="230"/>
      <c r="O895" s="230"/>
      <c r="P895" s="230"/>
      <c r="Q895" s="230"/>
      <c r="R895" s="230"/>
      <c r="S895" s="230"/>
      <c r="T895" s="230"/>
      <c r="U895" s="230"/>
      <c r="V895" s="230"/>
      <c r="W895" s="230"/>
      <c r="X895" s="230"/>
      <c r="Y895" s="230"/>
      <c r="Z895" s="230"/>
    </row>
    <row r="896" spans="1:26" ht="15.75" customHeight="1">
      <c r="A896" s="230"/>
      <c r="B896" s="230"/>
      <c r="C896" s="230"/>
      <c r="D896" s="230"/>
      <c r="E896" s="230"/>
      <c r="F896" s="230"/>
      <c r="G896" s="230"/>
      <c r="H896" s="230"/>
      <c r="I896" s="230"/>
      <c r="J896" s="230"/>
      <c r="K896" s="230"/>
      <c r="L896" s="230"/>
      <c r="M896" s="230"/>
      <c r="N896" s="230"/>
      <c r="O896" s="230"/>
      <c r="P896" s="230"/>
      <c r="Q896" s="230"/>
      <c r="R896" s="230"/>
      <c r="S896" s="230"/>
      <c r="T896" s="230"/>
      <c r="U896" s="230"/>
      <c r="V896" s="230"/>
      <c r="W896" s="230"/>
      <c r="X896" s="230"/>
      <c r="Y896" s="230"/>
      <c r="Z896" s="230"/>
    </row>
    <row r="897" spans="1:26" ht="15.75" customHeight="1">
      <c r="A897" s="230"/>
      <c r="B897" s="230"/>
      <c r="C897" s="230"/>
      <c r="D897" s="230"/>
      <c r="E897" s="230"/>
      <c r="F897" s="230"/>
      <c r="G897" s="230"/>
      <c r="H897" s="230"/>
      <c r="I897" s="230"/>
      <c r="J897" s="230"/>
      <c r="K897" s="230"/>
      <c r="L897" s="230"/>
      <c r="M897" s="230"/>
      <c r="N897" s="230"/>
      <c r="O897" s="230"/>
      <c r="P897" s="230"/>
      <c r="Q897" s="230"/>
      <c r="R897" s="230"/>
      <c r="S897" s="230"/>
      <c r="T897" s="230"/>
      <c r="U897" s="230"/>
      <c r="V897" s="230"/>
      <c r="W897" s="230"/>
      <c r="X897" s="230"/>
      <c r="Y897" s="230"/>
      <c r="Z897" s="230"/>
    </row>
    <row r="898" spans="1:26" ht="15.75" customHeight="1">
      <c r="A898" s="230"/>
      <c r="B898" s="230"/>
      <c r="C898" s="230"/>
      <c r="D898" s="230"/>
      <c r="E898" s="230"/>
      <c r="F898" s="230"/>
      <c r="G898" s="230"/>
      <c r="H898" s="230"/>
      <c r="I898" s="230"/>
      <c r="J898" s="230"/>
      <c r="K898" s="230"/>
      <c r="L898" s="230"/>
      <c r="M898" s="230"/>
      <c r="N898" s="230"/>
      <c r="O898" s="230"/>
      <c r="P898" s="230"/>
      <c r="Q898" s="230"/>
      <c r="R898" s="230"/>
      <c r="S898" s="230"/>
      <c r="T898" s="230"/>
      <c r="U898" s="230"/>
      <c r="V898" s="230"/>
      <c r="W898" s="230"/>
      <c r="X898" s="230"/>
      <c r="Y898" s="230"/>
      <c r="Z898" s="230"/>
    </row>
    <row r="899" spans="1:26" ht="15.75" customHeight="1">
      <c r="A899" s="230"/>
      <c r="B899" s="230"/>
      <c r="C899" s="230"/>
      <c r="D899" s="230"/>
      <c r="E899" s="230"/>
      <c r="F899" s="230"/>
      <c r="G899" s="230"/>
      <c r="H899" s="230"/>
      <c r="I899" s="230"/>
      <c r="J899" s="230"/>
      <c r="K899" s="230"/>
      <c r="L899" s="230"/>
      <c r="M899" s="230"/>
      <c r="N899" s="230"/>
      <c r="O899" s="230"/>
      <c r="P899" s="230"/>
      <c r="Q899" s="230"/>
      <c r="R899" s="230"/>
      <c r="S899" s="230"/>
      <c r="T899" s="230"/>
      <c r="U899" s="230"/>
      <c r="V899" s="230"/>
      <c r="W899" s="230"/>
      <c r="X899" s="230"/>
      <c r="Y899" s="230"/>
      <c r="Z899" s="230"/>
    </row>
    <row r="900" spans="1:26" ht="15.75" customHeight="1">
      <c r="A900" s="230"/>
      <c r="B900" s="230"/>
      <c r="C900" s="230"/>
      <c r="D900" s="230"/>
      <c r="E900" s="230"/>
      <c r="F900" s="230"/>
      <c r="G900" s="230"/>
      <c r="H900" s="230"/>
      <c r="I900" s="230"/>
      <c r="J900" s="230"/>
      <c r="K900" s="230"/>
      <c r="L900" s="230"/>
      <c r="M900" s="230"/>
      <c r="N900" s="230"/>
      <c r="O900" s="230"/>
      <c r="P900" s="230"/>
      <c r="Q900" s="230"/>
      <c r="R900" s="230"/>
      <c r="S900" s="230"/>
      <c r="T900" s="230"/>
      <c r="U900" s="230"/>
      <c r="V900" s="230"/>
      <c r="W900" s="230"/>
      <c r="X900" s="230"/>
      <c r="Y900" s="230"/>
      <c r="Z900" s="230"/>
    </row>
    <row r="901" spans="1:26" ht="15.75" customHeight="1">
      <c r="A901" s="230"/>
      <c r="B901" s="230"/>
      <c r="C901" s="230"/>
      <c r="D901" s="230"/>
      <c r="E901" s="230"/>
      <c r="F901" s="230"/>
      <c r="G901" s="230"/>
      <c r="H901" s="230"/>
      <c r="I901" s="230"/>
      <c r="J901" s="230"/>
      <c r="K901" s="230"/>
      <c r="L901" s="230"/>
      <c r="M901" s="230"/>
      <c r="N901" s="230"/>
      <c r="O901" s="230"/>
      <c r="P901" s="230"/>
      <c r="Q901" s="230"/>
      <c r="R901" s="230"/>
      <c r="S901" s="230"/>
      <c r="T901" s="230"/>
      <c r="U901" s="230"/>
      <c r="V901" s="230"/>
      <c r="W901" s="230"/>
      <c r="X901" s="230"/>
      <c r="Y901" s="230"/>
      <c r="Z901" s="230"/>
    </row>
    <row r="902" spans="1:26" ht="15.75" customHeight="1">
      <c r="A902" s="230"/>
      <c r="B902" s="230"/>
      <c r="C902" s="230"/>
      <c r="D902" s="230"/>
      <c r="E902" s="230"/>
      <c r="F902" s="230"/>
      <c r="G902" s="230"/>
      <c r="H902" s="230"/>
      <c r="I902" s="230"/>
      <c r="J902" s="230"/>
      <c r="K902" s="230"/>
      <c r="L902" s="230"/>
      <c r="M902" s="230"/>
      <c r="N902" s="230"/>
      <c r="O902" s="230"/>
      <c r="P902" s="230"/>
      <c r="Q902" s="230"/>
      <c r="R902" s="230"/>
      <c r="S902" s="230"/>
      <c r="T902" s="230"/>
      <c r="U902" s="230"/>
      <c r="V902" s="230"/>
      <c r="W902" s="230"/>
      <c r="X902" s="230"/>
      <c r="Y902" s="230"/>
      <c r="Z902" s="230"/>
    </row>
    <row r="903" spans="1:26" ht="15.75" customHeight="1">
      <c r="A903" s="230"/>
      <c r="B903" s="230"/>
      <c r="C903" s="230"/>
      <c r="D903" s="230"/>
      <c r="E903" s="230"/>
      <c r="F903" s="230"/>
      <c r="G903" s="230"/>
      <c r="H903" s="230"/>
      <c r="I903" s="230"/>
      <c r="J903" s="230"/>
      <c r="K903" s="230"/>
      <c r="L903" s="230"/>
      <c r="M903" s="230"/>
      <c r="N903" s="230"/>
      <c r="O903" s="230"/>
      <c r="P903" s="230"/>
      <c r="Q903" s="230"/>
      <c r="R903" s="230"/>
      <c r="S903" s="230"/>
      <c r="T903" s="230"/>
      <c r="U903" s="230"/>
      <c r="V903" s="230"/>
      <c r="W903" s="230"/>
      <c r="X903" s="230"/>
      <c r="Y903" s="230"/>
      <c r="Z903" s="230"/>
    </row>
    <row r="904" spans="1:26" ht="15.75" customHeight="1">
      <c r="A904" s="230"/>
      <c r="B904" s="230"/>
      <c r="C904" s="230"/>
      <c r="D904" s="230"/>
      <c r="E904" s="230"/>
      <c r="F904" s="230"/>
      <c r="G904" s="230"/>
      <c r="H904" s="230"/>
      <c r="I904" s="230"/>
      <c r="J904" s="230"/>
      <c r="K904" s="230"/>
      <c r="L904" s="230"/>
      <c r="M904" s="230"/>
      <c r="N904" s="230"/>
      <c r="O904" s="230"/>
      <c r="P904" s="230"/>
      <c r="Q904" s="230"/>
      <c r="R904" s="230"/>
      <c r="S904" s="230"/>
      <c r="T904" s="230"/>
      <c r="U904" s="230"/>
      <c r="V904" s="230"/>
      <c r="W904" s="230"/>
      <c r="X904" s="230"/>
      <c r="Y904" s="230"/>
      <c r="Z904" s="230"/>
    </row>
    <row r="905" spans="1:26" ht="15.75" customHeight="1">
      <c r="A905" s="230"/>
      <c r="B905" s="230"/>
      <c r="C905" s="230"/>
      <c r="D905" s="230"/>
      <c r="E905" s="230"/>
      <c r="F905" s="230"/>
      <c r="G905" s="230"/>
      <c r="H905" s="230"/>
      <c r="I905" s="230"/>
      <c r="J905" s="230"/>
      <c r="K905" s="230"/>
      <c r="L905" s="230"/>
      <c r="M905" s="230"/>
      <c r="N905" s="230"/>
      <c r="O905" s="230"/>
      <c r="P905" s="230"/>
      <c r="Q905" s="230"/>
      <c r="R905" s="230"/>
      <c r="S905" s="230"/>
      <c r="T905" s="230"/>
      <c r="U905" s="230"/>
      <c r="V905" s="230"/>
      <c r="W905" s="230"/>
      <c r="X905" s="230"/>
      <c r="Y905" s="230"/>
      <c r="Z905" s="230"/>
    </row>
    <row r="906" spans="1:26" ht="15.75" customHeight="1">
      <c r="A906" s="230"/>
      <c r="B906" s="230"/>
      <c r="C906" s="230"/>
      <c r="D906" s="230"/>
      <c r="E906" s="230"/>
      <c r="F906" s="230"/>
      <c r="G906" s="230"/>
      <c r="H906" s="230"/>
      <c r="I906" s="230"/>
      <c r="J906" s="230"/>
      <c r="K906" s="230"/>
      <c r="L906" s="230"/>
      <c r="M906" s="230"/>
      <c r="N906" s="230"/>
      <c r="O906" s="230"/>
      <c r="P906" s="230"/>
      <c r="Q906" s="230"/>
      <c r="R906" s="230"/>
      <c r="S906" s="230"/>
      <c r="T906" s="230"/>
      <c r="U906" s="230"/>
      <c r="V906" s="230"/>
      <c r="W906" s="230"/>
      <c r="X906" s="230"/>
      <c r="Y906" s="230"/>
      <c r="Z906" s="230"/>
    </row>
    <row r="907" spans="1:26" ht="15.75" customHeight="1">
      <c r="A907" s="230"/>
      <c r="B907" s="230"/>
      <c r="C907" s="230"/>
      <c r="D907" s="230"/>
      <c r="E907" s="230"/>
      <c r="F907" s="230"/>
      <c r="G907" s="230"/>
      <c r="H907" s="230"/>
      <c r="I907" s="230"/>
      <c r="J907" s="230"/>
      <c r="K907" s="230"/>
      <c r="L907" s="230"/>
      <c r="M907" s="230"/>
      <c r="N907" s="230"/>
      <c r="O907" s="230"/>
      <c r="P907" s="230"/>
      <c r="Q907" s="230"/>
      <c r="R907" s="230"/>
      <c r="S907" s="230"/>
      <c r="T907" s="230"/>
      <c r="U907" s="230"/>
      <c r="V907" s="230"/>
      <c r="W907" s="230"/>
      <c r="X907" s="230"/>
      <c r="Y907" s="230"/>
      <c r="Z907" s="230"/>
    </row>
    <row r="908" spans="1:26" ht="15.75" customHeight="1">
      <c r="A908" s="230"/>
      <c r="B908" s="230"/>
      <c r="C908" s="230"/>
      <c r="D908" s="230"/>
      <c r="E908" s="230"/>
      <c r="F908" s="230"/>
      <c r="G908" s="230"/>
      <c r="H908" s="230"/>
      <c r="I908" s="230"/>
      <c r="J908" s="230"/>
      <c r="K908" s="230"/>
      <c r="L908" s="230"/>
      <c r="M908" s="230"/>
      <c r="N908" s="230"/>
      <c r="O908" s="230"/>
      <c r="P908" s="230"/>
      <c r="Q908" s="230"/>
      <c r="R908" s="230"/>
      <c r="S908" s="230"/>
      <c r="T908" s="230"/>
      <c r="U908" s="230"/>
      <c r="V908" s="230"/>
      <c r="W908" s="230"/>
      <c r="X908" s="230"/>
      <c r="Y908" s="230"/>
      <c r="Z908" s="230"/>
    </row>
    <row r="909" spans="1:26" ht="15.75" customHeight="1">
      <c r="A909" s="230"/>
      <c r="B909" s="230"/>
      <c r="C909" s="230"/>
      <c r="D909" s="230"/>
      <c r="E909" s="230"/>
      <c r="F909" s="230"/>
      <c r="G909" s="230"/>
      <c r="H909" s="230"/>
      <c r="I909" s="230"/>
      <c r="J909" s="230"/>
      <c r="K909" s="230"/>
      <c r="L909" s="230"/>
      <c r="M909" s="230"/>
      <c r="N909" s="230"/>
      <c r="O909" s="230"/>
      <c r="P909" s="230"/>
      <c r="Q909" s="230"/>
      <c r="R909" s="230"/>
      <c r="S909" s="230"/>
      <c r="T909" s="230"/>
      <c r="U909" s="230"/>
      <c r="V909" s="230"/>
      <c r="W909" s="230"/>
      <c r="X909" s="230"/>
      <c r="Y909" s="230"/>
      <c r="Z909" s="230"/>
    </row>
    <row r="910" spans="1:26" ht="15.75" customHeight="1">
      <c r="A910" s="230"/>
      <c r="B910" s="230"/>
      <c r="C910" s="230"/>
      <c r="D910" s="230"/>
      <c r="E910" s="230"/>
      <c r="F910" s="230"/>
      <c r="G910" s="230"/>
      <c r="H910" s="230"/>
      <c r="I910" s="230"/>
      <c r="J910" s="230"/>
      <c r="K910" s="230"/>
      <c r="L910" s="230"/>
      <c r="M910" s="230"/>
      <c r="N910" s="230"/>
      <c r="O910" s="230"/>
      <c r="P910" s="230"/>
      <c r="Q910" s="230"/>
      <c r="R910" s="230"/>
      <c r="S910" s="230"/>
      <c r="T910" s="230"/>
      <c r="U910" s="230"/>
      <c r="V910" s="230"/>
      <c r="W910" s="230"/>
      <c r="X910" s="230"/>
      <c r="Y910" s="230"/>
      <c r="Z910" s="230"/>
    </row>
    <row r="911" spans="1:26" ht="15.75" customHeight="1">
      <c r="A911" s="230"/>
      <c r="B911" s="230"/>
      <c r="C911" s="230"/>
      <c r="D911" s="230"/>
      <c r="E911" s="230"/>
      <c r="F911" s="230"/>
      <c r="G911" s="230"/>
      <c r="H911" s="230"/>
      <c r="I911" s="230"/>
      <c r="J911" s="230"/>
      <c r="K911" s="230"/>
      <c r="L911" s="230"/>
      <c r="M911" s="230"/>
      <c r="N911" s="230"/>
      <c r="O911" s="230"/>
      <c r="P911" s="230"/>
      <c r="Q911" s="230"/>
      <c r="R911" s="230"/>
      <c r="S911" s="230"/>
      <c r="T911" s="230"/>
      <c r="U911" s="230"/>
      <c r="V911" s="230"/>
      <c r="W911" s="230"/>
      <c r="X911" s="230"/>
      <c r="Y911" s="230"/>
      <c r="Z911" s="230"/>
    </row>
    <row r="912" spans="1:26" ht="15.75" customHeight="1">
      <c r="A912" s="230"/>
      <c r="B912" s="230"/>
      <c r="C912" s="230"/>
      <c r="D912" s="230"/>
      <c r="E912" s="230"/>
      <c r="F912" s="230"/>
      <c r="G912" s="230"/>
      <c r="H912" s="230"/>
      <c r="I912" s="230"/>
      <c r="J912" s="230"/>
      <c r="K912" s="230"/>
      <c r="L912" s="230"/>
      <c r="M912" s="230"/>
      <c r="N912" s="230"/>
      <c r="O912" s="230"/>
      <c r="P912" s="230"/>
      <c r="Q912" s="230"/>
      <c r="R912" s="230"/>
      <c r="S912" s="230"/>
      <c r="T912" s="230"/>
      <c r="U912" s="230"/>
      <c r="V912" s="230"/>
      <c r="W912" s="230"/>
      <c r="X912" s="230"/>
      <c r="Y912" s="230"/>
      <c r="Z912" s="230"/>
    </row>
    <row r="913" spans="1:26" ht="15.75" customHeight="1">
      <c r="A913" s="230"/>
      <c r="B913" s="230"/>
      <c r="C913" s="230"/>
      <c r="D913" s="230"/>
      <c r="E913" s="230"/>
      <c r="F913" s="230"/>
      <c r="G913" s="230"/>
      <c r="H913" s="230"/>
      <c r="I913" s="230"/>
      <c r="J913" s="230"/>
      <c r="K913" s="230"/>
      <c r="L913" s="230"/>
      <c r="M913" s="230"/>
      <c r="N913" s="230"/>
      <c r="O913" s="230"/>
      <c r="P913" s="230"/>
      <c r="Q913" s="230"/>
      <c r="R913" s="230"/>
      <c r="S913" s="230"/>
      <c r="T913" s="230"/>
      <c r="U913" s="230"/>
      <c r="V913" s="230"/>
      <c r="W913" s="230"/>
      <c r="X913" s="230"/>
      <c r="Y913" s="230"/>
      <c r="Z913" s="230"/>
    </row>
    <row r="914" spans="1:26" ht="15.75" customHeight="1">
      <c r="A914" s="230"/>
      <c r="B914" s="230"/>
      <c r="C914" s="230"/>
      <c r="D914" s="230"/>
      <c r="E914" s="230"/>
      <c r="F914" s="230"/>
      <c r="G914" s="230"/>
      <c r="H914" s="230"/>
      <c r="I914" s="230"/>
      <c r="J914" s="230"/>
      <c r="K914" s="230"/>
      <c r="L914" s="230"/>
      <c r="M914" s="230"/>
      <c r="N914" s="230"/>
      <c r="O914" s="230"/>
      <c r="P914" s="230"/>
      <c r="Q914" s="230"/>
      <c r="R914" s="230"/>
      <c r="S914" s="230"/>
      <c r="T914" s="230"/>
      <c r="U914" s="230"/>
      <c r="V914" s="230"/>
      <c r="W914" s="230"/>
      <c r="X914" s="230"/>
      <c r="Y914" s="230"/>
      <c r="Z914" s="230"/>
    </row>
    <row r="915" spans="1:26" ht="15.75" customHeight="1">
      <c r="A915" s="230"/>
      <c r="B915" s="230"/>
      <c r="C915" s="230"/>
      <c r="D915" s="230"/>
      <c r="E915" s="230"/>
      <c r="F915" s="230"/>
      <c r="G915" s="230"/>
      <c r="H915" s="230"/>
      <c r="I915" s="230"/>
      <c r="J915" s="230"/>
      <c r="K915" s="230"/>
      <c r="L915" s="230"/>
      <c r="M915" s="230"/>
      <c r="N915" s="230"/>
      <c r="O915" s="230"/>
      <c r="P915" s="230"/>
      <c r="Q915" s="230"/>
      <c r="R915" s="230"/>
      <c r="S915" s="230"/>
      <c r="T915" s="230"/>
      <c r="U915" s="230"/>
      <c r="V915" s="230"/>
      <c r="W915" s="230"/>
      <c r="X915" s="230"/>
      <c r="Y915" s="230"/>
      <c r="Z915" s="230"/>
    </row>
    <row r="916" spans="1:26" ht="15.75" customHeight="1">
      <c r="A916" s="230"/>
      <c r="B916" s="230"/>
      <c r="C916" s="230"/>
      <c r="D916" s="230"/>
      <c r="E916" s="230"/>
      <c r="F916" s="230"/>
      <c r="G916" s="230"/>
      <c r="H916" s="230"/>
      <c r="I916" s="230"/>
      <c r="J916" s="230"/>
      <c r="K916" s="230"/>
      <c r="L916" s="230"/>
      <c r="M916" s="230"/>
      <c r="N916" s="230"/>
      <c r="O916" s="230"/>
      <c r="P916" s="230"/>
      <c r="Q916" s="230"/>
      <c r="R916" s="230"/>
      <c r="S916" s="230"/>
      <c r="T916" s="230"/>
      <c r="U916" s="230"/>
      <c r="V916" s="230"/>
      <c r="W916" s="230"/>
      <c r="X916" s="230"/>
      <c r="Y916" s="230"/>
      <c r="Z916" s="230"/>
    </row>
    <row r="917" spans="1:26" ht="15.75" customHeight="1">
      <c r="A917" s="230"/>
      <c r="B917" s="230"/>
      <c r="C917" s="230"/>
      <c r="D917" s="230"/>
      <c r="E917" s="230"/>
      <c r="F917" s="230"/>
      <c r="G917" s="230"/>
      <c r="H917" s="230"/>
      <c r="I917" s="230"/>
      <c r="J917" s="230"/>
      <c r="K917" s="230"/>
      <c r="L917" s="230"/>
      <c r="M917" s="230"/>
      <c r="N917" s="230"/>
      <c r="O917" s="230"/>
      <c r="P917" s="230"/>
      <c r="Q917" s="230"/>
      <c r="R917" s="230"/>
      <c r="S917" s="230"/>
      <c r="T917" s="230"/>
      <c r="U917" s="230"/>
      <c r="V917" s="230"/>
      <c r="W917" s="230"/>
      <c r="X917" s="230"/>
      <c r="Y917" s="230"/>
      <c r="Z917" s="230"/>
    </row>
    <row r="918" spans="1:26" ht="15.75" customHeight="1">
      <c r="A918" s="230"/>
      <c r="B918" s="230"/>
      <c r="C918" s="230"/>
      <c r="D918" s="230"/>
      <c r="E918" s="230"/>
      <c r="F918" s="230"/>
      <c r="G918" s="230"/>
      <c r="H918" s="230"/>
      <c r="I918" s="230"/>
      <c r="J918" s="230"/>
      <c r="K918" s="230"/>
      <c r="L918" s="230"/>
      <c r="M918" s="230"/>
      <c r="N918" s="230"/>
      <c r="O918" s="230"/>
      <c r="P918" s="230"/>
      <c r="Q918" s="230"/>
      <c r="R918" s="230"/>
      <c r="S918" s="230"/>
      <c r="T918" s="230"/>
      <c r="U918" s="230"/>
      <c r="V918" s="230"/>
      <c r="W918" s="230"/>
      <c r="X918" s="230"/>
      <c r="Y918" s="230"/>
      <c r="Z918" s="230"/>
    </row>
    <row r="919" spans="1:26" ht="15.75" customHeight="1">
      <c r="A919" s="230"/>
      <c r="B919" s="230"/>
      <c r="C919" s="230"/>
      <c r="D919" s="230"/>
      <c r="E919" s="230"/>
      <c r="F919" s="230"/>
      <c r="G919" s="230"/>
      <c r="H919" s="230"/>
      <c r="I919" s="230"/>
      <c r="J919" s="230"/>
      <c r="K919" s="230"/>
      <c r="L919" s="230"/>
      <c r="M919" s="230"/>
      <c r="N919" s="230"/>
      <c r="O919" s="230"/>
      <c r="P919" s="230"/>
      <c r="Q919" s="230"/>
      <c r="R919" s="230"/>
      <c r="S919" s="230"/>
      <c r="T919" s="230"/>
      <c r="U919" s="230"/>
      <c r="V919" s="230"/>
      <c r="W919" s="230"/>
      <c r="X919" s="230"/>
      <c r="Y919" s="230"/>
      <c r="Z919" s="230"/>
    </row>
    <row r="920" spans="1:26" ht="15.75" customHeight="1">
      <c r="A920" s="230"/>
      <c r="B920" s="230"/>
      <c r="C920" s="230"/>
      <c r="D920" s="230"/>
      <c r="E920" s="230"/>
      <c r="F920" s="230"/>
      <c r="G920" s="230"/>
      <c r="H920" s="230"/>
      <c r="I920" s="230"/>
      <c r="J920" s="230"/>
      <c r="K920" s="230"/>
      <c r="L920" s="230"/>
      <c r="M920" s="230"/>
      <c r="N920" s="230"/>
      <c r="O920" s="230"/>
      <c r="P920" s="230"/>
      <c r="Q920" s="230"/>
      <c r="R920" s="230"/>
      <c r="S920" s="230"/>
      <c r="T920" s="230"/>
      <c r="U920" s="230"/>
      <c r="V920" s="230"/>
      <c r="W920" s="230"/>
      <c r="X920" s="230"/>
      <c r="Y920" s="230"/>
      <c r="Z920" s="230"/>
    </row>
    <row r="921" spans="1:26" ht="15.75" customHeight="1">
      <c r="A921" s="230"/>
      <c r="B921" s="230"/>
      <c r="C921" s="230"/>
      <c r="D921" s="230"/>
      <c r="E921" s="230"/>
      <c r="F921" s="230"/>
      <c r="G921" s="230"/>
      <c r="H921" s="230"/>
      <c r="I921" s="230"/>
      <c r="J921" s="230"/>
      <c r="K921" s="230"/>
      <c r="L921" s="230"/>
      <c r="M921" s="230"/>
      <c r="N921" s="230"/>
      <c r="O921" s="230"/>
      <c r="P921" s="230"/>
      <c r="Q921" s="230"/>
      <c r="R921" s="230"/>
      <c r="S921" s="230"/>
      <c r="T921" s="230"/>
      <c r="U921" s="230"/>
      <c r="V921" s="230"/>
      <c r="W921" s="230"/>
      <c r="X921" s="230"/>
      <c r="Y921" s="230"/>
      <c r="Z921" s="230"/>
    </row>
    <row r="922" spans="1:26" ht="15.75" customHeight="1">
      <c r="A922" s="230"/>
      <c r="B922" s="230"/>
      <c r="C922" s="230"/>
      <c r="D922" s="230"/>
      <c r="E922" s="230"/>
      <c r="F922" s="230"/>
      <c r="G922" s="230"/>
      <c r="H922" s="230"/>
      <c r="I922" s="230"/>
      <c r="J922" s="230"/>
      <c r="K922" s="230"/>
      <c r="L922" s="230"/>
      <c r="M922" s="230"/>
      <c r="N922" s="230"/>
      <c r="O922" s="230"/>
      <c r="P922" s="230"/>
      <c r="Q922" s="230"/>
      <c r="R922" s="230"/>
      <c r="S922" s="230"/>
      <c r="T922" s="230"/>
      <c r="U922" s="230"/>
      <c r="V922" s="230"/>
      <c r="W922" s="230"/>
      <c r="X922" s="230"/>
      <c r="Y922" s="230"/>
      <c r="Z922" s="230"/>
    </row>
    <row r="923" spans="1:26" ht="15.75" customHeight="1">
      <c r="A923" s="230"/>
      <c r="B923" s="230"/>
      <c r="C923" s="230"/>
      <c r="D923" s="230"/>
      <c r="E923" s="230"/>
      <c r="F923" s="230"/>
      <c r="G923" s="230"/>
      <c r="H923" s="230"/>
      <c r="I923" s="230"/>
      <c r="J923" s="230"/>
      <c r="K923" s="230"/>
      <c r="L923" s="230"/>
      <c r="M923" s="230"/>
      <c r="N923" s="230"/>
      <c r="O923" s="230"/>
      <c r="P923" s="230"/>
      <c r="Q923" s="230"/>
      <c r="R923" s="230"/>
      <c r="S923" s="230"/>
      <c r="T923" s="230"/>
      <c r="U923" s="230"/>
      <c r="V923" s="230"/>
      <c r="W923" s="230"/>
      <c r="X923" s="230"/>
      <c r="Y923" s="230"/>
      <c r="Z923" s="230"/>
    </row>
    <row r="924" spans="1:26" ht="15.75" customHeight="1">
      <c r="A924" s="230"/>
      <c r="B924" s="230"/>
      <c r="C924" s="230"/>
      <c r="D924" s="230"/>
      <c r="E924" s="230"/>
      <c r="F924" s="230"/>
      <c r="G924" s="230"/>
      <c r="H924" s="230"/>
      <c r="I924" s="230"/>
      <c r="J924" s="230"/>
      <c r="K924" s="230"/>
      <c r="L924" s="230"/>
      <c r="M924" s="230"/>
      <c r="N924" s="230"/>
      <c r="O924" s="230"/>
      <c r="P924" s="230"/>
      <c r="Q924" s="230"/>
      <c r="R924" s="230"/>
      <c r="S924" s="230"/>
      <c r="T924" s="230"/>
      <c r="U924" s="230"/>
      <c r="V924" s="230"/>
      <c r="W924" s="230"/>
      <c r="X924" s="230"/>
      <c r="Y924" s="230"/>
      <c r="Z924" s="230"/>
    </row>
    <row r="925" spans="1:26" ht="15.75" customHeight="1">
      <c r="A925" s="230"/>
      <c r="B925" s="230"/>
      <c r="C925" s="230"/>
      <c r="D925" s="230"/>
      <c r="E925" s="230"/>
      <c r="F925" s="230"/>
      <c r="G925" s="230"/>
      <c r="H925" s="230"/>
      <c r="I925" s="230"/>
      <c r="J925" s="230"/>
      <c r="K925" s="230"/>
      <c r="L925" s="230"/>
      <c r="M925" s="230"/>
      <c r="N925" s="230"/>
      <c r="O925" s="230"/>
      <c r="P925" s="230"/>
      <c r="Q925" s="230"/>
      <c r="R925" s="230"/>
      <c r="S925" s="230"/>
      <c r="T925" s="230"/>
      <c r="U925" s="230"/>
      <c r="V925" s="230"/>
      <c r="W925" s="230"/>
      <c r="X925" s="230"/>
      <c r="Y925" s="230"/>
      <c r="Z925" s="230"/>
    </row>
    <row r="926" spans="1:26" ht="15.75" customHeight="1">
      <c r="A926" s="230"/>
      <c r="B926" s="230"/>
      <c r="C926" s="230"/>
      <c r="D926" s="230"/>
      <c r="E926" s="230"/>
      <c r="F926" s="230"/>
      <c r="G926" s="230"/>
      <c r="H926" s="230"/>
      <c r="I926" s="230"/>
      <c r="J926" s="230"/>
      <c r="K926" s="230"/>
      <c r="L926" s="230"/>
      <c r="M926" s="230"/>
      <c r="N926" s="230"/>
      <c r="O926" s="230"/>
      <c r="P926" s="230"/>
      <c r="Q926" s="230"/>
      <c r="R926" s="230"/>
      <c r="S926" s="230"/>
      <c r="T926" s="230"/>
      <c r="U926" s="230"/>
      <c r="V926" s="230"/>
      <c r="W926" s="230"/>
      <c r="X926" s="230"/>
      <c r="Y926" s="230"/>
      <c r="Z926" s="230"/>
    </row>
    <row r="927" spans="1:26" ht="15.75" customHeight="1">
      <c r="A927" s="230"/>
      <c r="B927" s="230"/>
      <c r="C927" s="230"/>
      <c r="D927" s="230"/>
      <c r="E927" s="230"/>
      <c r="F927" s="230"/>
      <c r="G927" s="230"/>
      <c r="H927" s="230"/>
      <c r="I927" s="230"/>
      <c r="J927" s="230"/>
      <c r="K927" s="230"/>
      <c r="L927" s="230"/>
      <c r="M927" s="230"/>
      <c r="N927" s="230"/>
      <c r="O927" s="230"/>
      <c r="P927" s="230"/>
      <c r="Q927" s="230"/>
      <c r="R927" s="230"/>
      <c r="S927" s="230"/>
      <c r="T927" s="230"/>
      <c r="U927" s="230"/>
      <c r="V927" s="230"/>
      <c r="W927" s="230"/>
      <c r="X927" s="230"/>
      <c r="Y927" s="230"/>
      <c r="Z927" s="230"/>
    </row>
    <row r="928" spans="1:26" ht="15.75" customHeight="1">
      <c r="A928" s="230"/>
      <c r="B928" s="230"/>
      <c r="C928" s="230"/>
      <c r="D928" s="230"/>
      <c r="E928" s="230"/>
      <c r="F928" s="230"/>
      <c r="G928" s="230"/>
      <c r="H928" s="230"/>
      <c r="I928" s="230"/>
      <c r="J928" s="230"/>
      <c r="K928" s="230"/>
      <c r="L928" s="230"/>
      <c r="M928" s="230"/>
      <c r="N928" s="230"/>
      <c r="O928" s="230"/>
      <c r="P928" s="230"/>
      <c r="Q928" s="230"/>
      <c r="R928" s="230"/>
      <c r="S928" s="230"/>
      <c r="T928" s="230"/>
      <c r="U928" s="230"/>
      <c r="V928" s="230"/>
      <c r="W928" s="230"/>
      <c r="X928" s="230"/>
      <c r="Y928" s="230"/>
      <c r="Z928" s="230"/>
    </row>
    <row r="929" spans="1:26" ht="15.75" customHeight="1">
      <c r="A929" s="230"/>
      <c r="B929" s="230"/>
      <c r="C929" s="230"/>
      <c r="D929" s="230"/>
      <c r="E929" s="230"/>
      <c r="F929" s="230"/>
      <c r="G929" s="230"/>
      <c r="H929" s="230"/>
      <c r="I929" s="230"/>
      <c r="J929" s="230"/>
      <c r="K929" s="230"/>
      <c r="L929" s="230"/>
      <c r="M929" s="230"/>
      <c r="N929" s="230"/>
      <c r="O929" s="230"/>
      <c r="P929" s="230"/>
      <c r="Q929" s="230"/>
      <c r="R929" s="230"/>
      <c r="S929" s="230"/>
      <c r="T929" s="230"/>
      <c r="U929" s="230"/>
      <c r="V929" s="230"/>
      <c r="W929" s="230"/>
      <c r="X929" s="230"/>
      <c r="Y929" s="230"/>
      <c r="Z929" s="230"/>
    </row>
    <row r="930" spans="1:26" ht="15.75" customHeight="1">
      <c r="A930" s="230"/>
      <c r="B930" s="230"/>
      <c r="C930" s="230"/>
      <c r="D930" s="230"/>
      <c r="E930" s="230"/>
      <c r="F930" s="230"/>
      <c r="G930" s="230"/>
      <c r="H930" s="230"/>
      <c r="I930" s="230"/>
      <c r="J930" s="230"/>
      <c r="K930" s="230"/>
      <c r="L930" s="230"/>
      <c r="M930" s="230"/>
      <c r="N930" s="230"/>
      <c r="O930" s="230"/>
      <c r="P930" s="230"/>
      <c r="Q930" s="230"/>
      <c r="R930" s="230"/>
      <c r="S930" s="230"/>
      <c r="T930" s="230"/>
      <c r="U930" s="230"/>
      <c r="V930" s="230"/>
      <c r="W930" s="230"/>
      <c r="X930" s="230"/>
      <c r="Y930" s="230"/>
      <c r="Z930" s="230"/>
    </row>
    <row r="931" spans="1:26" ht="15.75" customHeight="1">
      <c r="A931" s="230"/>
      <c r="B931" s="230"/>
      <c r="C931" s="230"/>
      <c r="D931" s="230"/>
      <c r="E931" s="230"/>
      <c r="F931" s="230"/>
      <c r="G931" s="230"/>
      <c r="H931" s="230"/>
      <c r="I931" s="230"/>
      <c r="J931" s="230"/>
      <c r="K931" s="230"/>
      <c r="L931" s="230"/>
      <c r="M931" s="230"/>
      <c r="N931" s="230"/>
      <c r="O931" s="230"/>
      <c r="P931" s="230"/>
      <c r="Q931" s="230"/>
      <c r="R931" s="230"/>
      <c r="S931" s="230"/>
      <c r="T931" s="230"/>
      <c r="U931" s="230"/>
      <c r="V931" s="230"/>
      <c r="W931" s="230"/>
      <c r="X931" s="230"/>
      <c r="Y931" s="230"/>
      <c r="Z931" s="230"/>
    </row>
    <row r="932" spans="1:26" ht="15.75" customHeight="1">
      <c r="A932" s="230"/>
      <c r="B932" s="230"/>
      <c r="C932" s="230"/>
      <c r="D932" s="230"/>
      <c r="E932" s="230"/>
      <c r="F932" s="230"/>
      <c r="G932" s="230"/>
      <c r="H932" s="230"/>
      <c r="I932" s="230"/>
      <c r="J932" s="230"/>
      <c r="K932" s="230"/>
      <c r="L932" s="230"/>
      <c r="M932" s="230"/>
      <c r="N932" s="230"/>
      <c r="O932" s="230"/>
      <c r="P932" s="230"/>
      <c r="Q932" s="230"/>
      <c r="R932" s="230"/>
      <c r="S932" s="230"/>
      <c r="T932" s="230"/>
      <c r="U932" s="230"/>
      <c r="V932" s="230"/>
      <c r="W932" s="230"/>
      <c r="X932" s="230"/>
      <c r="Y932" s="230"/>
      <c r="Z932" s="230"/>
    </row>
    <row r="933" spans="1:26" ht="15.75" customHeight="1">
      <c r="A933" s="230"/>
      <c r="B933" s="230"/>
      <c r="C933" s="230"/>
      <c r="D933" s="230"/>
      <c r="E933" s="230"/>
      <c r="F933" s="230"/>
      <c r="G933" s="230"/>
      <c r="H933" s="230"/>
      <c r="I933" s="230"/>
      <c r="J933" s="230"/>
      <c r="K933" s="230"/>
      <c r="L933" s="230"/>
      <c r="M933" s="230"/>
      <c r="N933" s="230"/>
      <c r="O933" s="230"/>
      <c r="P933" s="230"/>
      <c r="Q933" s="230"/>
      <c r="R933" s="230"/>
      <c r="S933" s="230"/>
      <c r="T933" s="230"/>
      <c r="U933" s="230"/>
      <c r="V933" s="230"/>
      <c r="W933" s="230"/>
      <c r="X933" s="230"/>
      <c r="Y933" s="230"/>
      <c r="Z933" s="230"/>
    </row>
    <row r="934" spans="1:26" ht="15.75" customHeight="1">
      <c r="A934" s="230"/>
      <c r="B934" s="230"/>
      <c r="C934" s="230"/>
      <c r="D934" s="230"/>
      <c r="E934" s="230"/>
      <c r="F934" s="230"/>
      <c r="G934" s="230"/>
      <c r="H934" s="230"/>
      <c r="I934" s="230"/>
      <c r="J934" s="230"/>
      <c r="K934" s="230"/>
      <c r="L934" s="230"/>
      <c r="M934" s="230"/>
      <c r="N934" s="230"/>
      <c r="O934" s="230"/>
      <c r="P934" s="230"/>
      <c r="Q934" s="230"/>
      <c r="R934" s="230"/>
      <c r="S934" s="230"/>
      <c r="T934" s="230"/>
      <c r="U934" s="230"/>
      <c r="V934" s="230"/>
      <c r="W934" s="230"/>
      <c r="X934" s="230"/>
      <c r="Y934" s="230"/>
      <c r="Z934" s="230"/>
    </row>
    <row r="935" spans="1:26" ht="15.75" customHeight="1">
      <c r="A935" s="230"/>
      <c r="B935" s="230"/>
      <c r="C935" s="230"/>
      <c r="D935" s="230"/>
      <c r="E935" s="230"/>
      <c r="F935" s="230"/>
      <c r="G935" s="230"/>
      <c r="H935" s="230"/>
      <c r="I935" s="230"/>
      <c r="J935" s="230"/>
      <c r="K935" s="230"/>
      <c r="L935" s="230"/>
      <c r="M935" s="230"/>
      <c r="N935" s="230"/>
      <c r="O935" s="230"/>
      <c r="P935" s="230"/>
      <c r="Q935" s="230"/>
      <c r="R935" s="230"/>
      <c r="S935" s="230"/>
      <c r="T935" s="230"/>
      <c r="U935" s="230"/>
      <c r="V935" s="230"/>
      <c r="W935" s="230"/>
      <c r="X935" s="230"/>
      <c r="Y935" s="230"/>
      <c r="Z935" s="230"/>
    </row>
    <row r="936" spans="1:26" ht="15.75" customHeight="1">
      <c r="A936" s="230"/>
      <c r="B936" s="230"/>
      <c r="C936" s="230"/>
      <c r="D936" s="230"/>
      <c r="E936" s="230"/>
      <c r="F936" s="230"/>
      <c r="G936" s="230"/>
      <c r="H936" s="230"/>
      <c r="I936" s="230"/>
      <c r="J936" s="230"/>
      <c r="K936" s="230"/>
      <c r="L936" s="230"/>
      <c r="M936" s="230"/>
      <c r="N936" s="230"/>
      <c r="O936" s="230"/>
      <c r="P936" s="230"/>
      <c r="Q936" s="230"/>
      <c r="R936" s="230"/>
      <c r="S936" s="230"/>
      <c r="T936" s="230"/>
      <c r="U936" s="230"/>
      <c r="V936" s="230"/>
      <c r="W936" s="230"/>
      <c r="X936" s="230"/>
      <c r="Y936" s="230"/>
      <c r="Z936" s="230"/>
    </row>
    <row r="937" spans="1:26" ht="15.75" customHeight="1">
      <c r="A937" s="230"/>
      <c r="B937" s="230"/>
      <c r="C937" s="230"/>
      <c r="D937" s="230"/>
      <c r="E937" s="230"/>
      <c r="F937" s="230"/>
      <c r="G937" s="230"/>
      <c r="H937" s="230"/>
      <c r="I937" s="230"/>
      <c r="J937" s="230"/>
      <c r="K937" s="230"/>
      <c r="L937" s="230"/>
      <c r="M937" s="230"/>
      <c r="N937" s="230"/>
      <c r="O937" s="230"/>
      <c r="P937" s="230"/>
      <c r="Q937" s="230"/>
      <c r="R937" s="230"/>
      <c r="S937" s="230"/>
      <c r="T937" s="230"/>
      <c r="U937" s="230"/>
      <c r="V937" s="230"/>
      <c r="W937" s="230"/>
      <c r="X937" s="230"/>
      <c r="Y937" s="230"/>
      <c r="Z937" s="230"/>
    </row>
    <row r="938" spans="1:26" ht="15.75" customHeight="1">
      <c r="A938" s="230"/>
      <c r="B938" s="230"/>
      <c r="C938" s="230"/>
      <c r="D938" s="230"/>
      <c r="E938" s="230"/>
      <c r="F938" s="230"/>
      <c r="G938" s="230"/>
      <c r="H938" s="230"/>
      <c r="I938" s="230"/>
      <c r="J938" s="230"/>
      <c r="K938" s="230"/>
      <c r="L938" s="230"/>
      <c r="M938" s="230"/>
      <c r="N938" s="230"/>
      <c r="O938" s="230"/>
      <c r="P938" s="230"/>
      <c r="Q938" s="230"/>
      <c r="R938" s="230"/>
      <c r="S938" s="230"/>
      <c r="T938" s="230"/>
      <c r="U938" s="230"/>
      <c r="V938" s="230"/>
      <c r="W938" s="230"/>
      <c r="X938" s="230"/>
      <c r="Y938" s="230"/>
      <c r="Z938" s="230"/>
    </row>
    <row r="939" spans="1:26" ht="15.75" customHeight="1">
      <c r="A939" s="230"/>
      <c r="B939" s="230"/>
      <c r="C939" s="230"/>
      <c r="D939" s="230"/>
      <c r="E939" s="230"/>
      <c r="F939" s="230"/>
      <c r="G939" s="230"/>
      <c r="H939" s="230"/>
      <c r="I939" s="230"/>
      <c r="J939" s="230"/>
      <c r="K939" s="230"/>
      <c r="L939" s="230"/>
      <c r="M939" s="230"/>
      <c r="N939" s="230"/>
      <c r="O939" s="230"/>
      <c r="P939" s="230"/>
      <c r="Q939" s="230"/>
      <c r="R939" s="230"/>
      <c r="S939" s="230"/>
      <c r="T939" s="230"/>
      <c r="U939" s="230"/>
      <c r="V939" s="230"/>
      <c r="W939" s="230"/>
      <c r="X939" s="230"/>
      <c r="Y939" s="230"/>
      <c r="Z939" s="230"/>
    </row>
    <row r="940" spans="1:26" ht="15.75" customHeight="1">
      <c r="A940" s="230"/>
      <c r="B940" s="230"/>
      <c r="C940" s="230"/>
      <c r="D940" s="230"/>
      <c r="E940" s="230"/>
      <c r="F940" s="230"/>
      <c r="G940" s="230"/>
      <c r="H940" s="230"/>
      <c r="I940" s="230"/>
      <c r="J940" s="230"/>
      <c r="K940" s="230"/>
      <c r="L940" s="230"/>
      <c r="M940" s="230"/>
      <c r="N940" s="230"/>
      <c r="O940" s="230"/>
      <c r="P940" s="230"/>
      <c r="Q940" s="230"/>
      <c r="R940" s="230"/>
      <c r="S940" s="230"/>
      <c r="T940" s="230"/>
      <c r="U940" s="230"/>
      <c r="V940" s="230"/>
      <c r="W940" s="230"/>
      <c r="X940" s="230"/>
      <c r="Y940" s="230"/>
      <c r="Z940" s="230"/>
    </row>
    <row r="941" spans="1:26" ht="15.75" customHeight="1">
      <c r="A941" s="230"/>
      <c r="B941" s="230"/>
      <c r="C941" s="230"/>
      <c r="D941" s="230"/>
      <c r="E941" s="230"/>
      <c r="F941" s="230"/>
      <c r="G941" s="230"/>
      <c r="H941" s="230"/>
      <c r="I941" s="230"/>
      <c r="J941" s="230"/>
      <c r="K941" s="230"/>
      <c r="L941" s="230"/>
      <c r="M941" s="230"/>
      <c r="N941" s="230"/>
      <c r="O941" s="230"/>
      <c r="P941" s="230"/>
      <c r="Q941" s="230"/>
      <c r="R941" s="230"/>
      <c r="S941" s="230"/>
      <c r="T941" s="230"/>
      <c r="U941" s="230"/>
      <c r="V941" s="230"/>
      <c r="W941" s="230"/>
      <c r="X941" s="230"/>
      <c r="Y941" s="230"/>
      <c r="Z941" s="230"/>
    </row>
    <row r="942" spans="1:26" ht="15.75" customHeight="1">
      <c r="A942" s="230"/>
      <c r="B942" s="230"/>
      <c r="C942" s="230"/>
      <c r="D942" s="230"/>
      <c r="E942" s="230"/>
      <c r="F942" s="230"/>
      <c r="G942" s="230"/>
      <c r="H942" s="230"/>
      <c r="I942" s="230"/>
      <c r="J942" s="230"/>
      <c r="K942" s="230"/>
      <c r="L942" s="230"/>
      <c r="M942" s="230"/>
      <c r="N942" s="230"/>
      <c r="O942" s="230"/>
      <c r="P942" s="230"/>
      <c r="Q942" s="230"/>
      <c r="R942" s="230"/>
      <c r="S942" s="230"/>
      <c r="T942" s="230"/>
      <c r="U942" s="230"/>
      <c r="V942" s="230"/>
      <c r="W942" s="230"/>
      <c r="X942" s="230"/>
      <c r="Y942" s="230"/>
      <c r="Z942" s="230"/>
    </row>
    <row r="943" spans="1:26" ht="15.75" customHeight="1">
      <c r="A943" s="230"/>
      <c r="B943" s="230"/>
      <c r="C943" s="230"/>
      <c r="D943" s="230"/>
      <c r="E943" s="230"/>
      <c r="F943" s="230"/>
      <c r="G943" s="230"/>
      <c r="H943" s="230"/>
      <c r="I943" s="230"/>
      <c r="J943" s="230"/>
      <c r="K943" s="230"/>
      <c r="L943" s="230"/>
      <c r="M943" s="230"/>
      <c r="N943" s="230"/>
      <c r="O943" s="230"/>
      <c r="P943" s="230"/>
      <c r="Q943" s="230"/>
      <c r="R943" s="230"/>
      <c r="S943" s="230"/>
      <c r="T943" s="230"/>
      <c r="U943" s="230"/>
      <c r="V943" s="230"/>
      <c r="W943" s="230"/>
      <c r="X943" s="230"/>
      <c r="Y943" s="230"/>
      <c r="Z943" s="230"/>
    </row>
    <row r="944" spans="1:26" ht="15.75" customHeight="1">
      <c r="A944" s="230"/>
      <c r="B944" s="230"/>
      <c r="C944" s="230"/>
      <c r="D944" s="230"/>
      <c r="E944" s="230"/>
      <c r="F944" s="230"/>
      <c r="G944" s="230"/>
      <c r="H944" s="230"/>
      <c r="I944" s="230"/>
      <c r="J944" s="230"/>
      <c r="K944" s="230"/>
      <c r="L944" s="230"/>
      <c r="M944" s="230"/>
      <c r="N944" s="230"/>
      <c r="O944" s="230"/>
      <c r="P944" s="230"/>
      <c r="Q944" s="230"/>
      <c r="R944" s="230"/>
      <c r="S944" s="230"/>
      <c r="T944" s="230"/>
      <c r="U944" s="230"/>
      <c r="V944" s="230"/>
      <c r="W944" s="230"/>
      <c r="X944" s="230"/>
      <c r="Y944" s="230"/>
      <c r="Z944" s="230"/>
    </row>
    <row r="945" spans="1:26" ht="15.75" customHeight="1">
      <c r="A945" s="230"/>
      <c r="B945" s="230"/>
      <c r="C945" s="230"/>
      <c r="D945" s="230"/>
      <c r="E945" s="230"/>
      <c r="F945" s="230"/>
      <c r="G945" s="230"/>
      <c r="H945" s="230"/>
      <c r="I945" s="230"/>
      <c r="J945" s="230"/>
      <c r="K945" s="230"/>
      <c r="L945" s="230"/>
      <c r="M945" s="230"/>
      <c r="N945" s="230"/>
      <c r="O945" s="230"/>
      <c r="P945" s="230"/>
      <c r="Q945" s="230"/>
      <c r="R945" s="230"/>
      <c r="S945" s="230"/>
      <c r="T945" s="230"/>
      <c r="U945" s="230"/>
      <c r="V945" s="230"/>
      <c r="W945" s="230"/>
      <c r="X945" s="230"/>
      <c r="Y945" s="230"/>
      <c r="Z945" s="230"/>
    </row>
    <row r="946" spans="1:26" ht="15.75" customHeight="1">
      <c r="A946" s="230"/>
      <c r="B946" s="230"/>
      <c r="C946" s="230"/>
      <c r="D946" s="230"/>
      <c r="E946" s="230"/>
      <c r="F946" s="230"/>
      <c r="G946" s="230"/>
      <c r="H946" s="230"/>
      <c r="I946" s="230"/>
      <c r="J946" s="230"/>
      <c r="K946" s="230"/>
      <c r="L946" s="230"/>
      <c r="M946" s="230"/>
      <c r="N946" s="230"/>
      <c r="O946" s="230"/>
      <c r="P946" s="230"/>
      <c r="Q946" s="230"/>
      <c r="R946" s="230"/>
      <c r="S946" s="230"/>
      <c r="T946" s="230"/>
      <c r="U946" s="230"/>
      <c r="V946" s="230"/>
      <c r="W946" s="230"/>
      <c r="X946" s="230"/>
      <c r="Y946" s="230"/>
      <c r="Z946" s="230"/>
    </row>
    <row r="947" spans="1:26" ht="15.75" customHeight="1">
      <c r="A947" s="230"/>
      <c r="B947" s="230"/>
      <c r="C947" s="230"/>
      <c r="D947" s="230"/>
      <c r="E947" s="230"/>
      <c r="F947" s="230"/>
      <c r="G947" s="230"/>
      <c r="H947" s="230"/>
      <c r="I947" s="230"/>
      <c r="J947" s="230"/>
      <c r="K947" s="230"/>
      <c r="L947" s="230"/>
      <c r="M947" s="230"/>
      <c r="N947" s="230"/>
      <c r="O947" s="230"/>
      <c r="P947" s="230"/>
      <c r="Q947" s="230"/>
      <c r="R947" s="230"/>
      <c r="S947" s="230"/>
      <c r="T947" s="230"/>
      <c r="U947" s="230"/>
      <c r="V947" s="230"/>
      <c r="W947" s="230"/>
      <c r="X947" s="230"/>
      <c r="Y947" s="230"/>
      <c r="Z947" s="230"/>
    </row>
    <row r="948" spans="1:26" ht="15.75" customHeight="1">
      <c r="A948" s="230"/>
      <c r="B948" s="230"/>
      <c r="C948" s="230"/>
      <c r="D948" s="230"/>
      <c r="E948" s="230"/>
      <c r="F948" s="230"/>
      <c r="G948" s="230"/>
      <c r="H948" s="230"/>
      <c r="I948" s="230"/>
      <c r="J948" s="230"/>
      <c r="K948" s="230"/>
      <c r="L948" s="230"/>
      <c r="M948" s="230"/>
      <c r="N948" s="230"/>
      <c r="O948" s="230"/>
      <c r="P948" s="230"/>
      <c r="Q948" s="230"/>
      <c r="R948" s="230"/>
      <c r="S948" s="230"/>
      <c r="T948" s="230"/>
      <c r="U948" s="230"/>
      <c r="V948" s="230"/>
      <c r="W948" s="230"/>
      <c r="X948" s="230"/>
      <c r="Y948" s="230"/>
      <c r="Z948" s="230"/>
    </row>
    <row r="949" spans="1:26" ht="15.75" customHeight="1">
      <c r="A949" s="230"/>
      <c r="B949" s="230"/>
      <c r="C949" s="230"/>
      <c r="D949" s="230"/>
      <c r="E949" s="230"/>
      <c r="F949" s="230"/>
      <c r="G949" s="230"/>
      <c r="H949" s="230"/>
      <c r="I949" s="230"/>
      <c r="J949" s="230"/>
      <c r="K949" s="230"/>
      <c r="L949" s="230"/>
      <c r="M949" s="230"/>
      <c r="N949" s="230"/>
      <c r="O949" s="230"/>
      <c r="P949" s="230"/>
      <c r="Q949" s="230"/>
      <c r="R949" s="230"/>
      <c r="S949" s="230"/>
      <c r="T949" s="230"/>
      <c r="U949" s="230"/>
      <c r="V949" s="230"/>
      <c r="W949" s="230"/>
      <c r="X949" s="230"/>
      <c r="Y949" s="230"/>
      <c r="Z949" s="230"/>
    </row>
    <row r="950" spans="1:26" ht="15.75" customHeight="1">
      <c r="A950" s="230"/>
      <c r="B950" s="230"/>
      <c r="C950" s="230"/>
      <c r="D950" s="230"/>
      <c r="E950" s="230"/>
      <c r="F950" s="230"/>
      <c r="G950" s="230"/>
      <c r="H950" s="230"/>
      <c r="I950" s="230"/>
      <c r="J950" s="230"/>
      <c r="K950" s="230"/>
      <c r="L950" s="230"/>
      <c r="M950" s="230"/>
      <c r="N950" s="230"/>
      <c r="O950" s="230"/>
      <c r="P950" s="230"/>
      <c r="Q950" s="230"/>
      <c r="R950" s="230"/>
      <c r="S950" s="230"/>
      <c r="T950" s="230"/>
      <c r="U950" s="230"/>
      <c r="V950" s="230"/>
      <c r="W950" s="230"/>
      <c r="X950" s="230"/>
      <c r="Y950" s="230"/>
      <c r="Z950" s="230"/>
    </row>
    <row r="951" spans="1:26" ht="15.75" customHeight="1">
      <c r="A951" s="230"/>
      <c r="B951" s="230"/>
      <c r="C951" s="230"/>
      <c r="D951" s="230"/>
      <c r="E951" s="230"/>
      <c r="F951" s="230"/>
      <c r="G951" s="230"/>
      <c r="H951" s="230"/>
      <c r="I951" s="230"/>
      <c r="J951" s="230"/>
      <c r="K951" s="230"/>
      <c r="L951" s="230"/>
      <c r="M951" s="230"/>
      <c r="N951" s="230"/>
      <c r="O951" s="230"/>
      <c r="P951" s="230"/>
      <c r="Q951" s="230"/>
      <c r="R951" s="230"/>
      <c r="S951" s="230"/>
      <c r="T951" s="230"/>
      <c r="U951" s="230"/>
      <c r="V951" s="230"/>
      <c r="W951" s="230"/>
      <c r="X951" s="230"/>
      <c r="Y951" s="230"/>
      <c r="Z951" s="230"/>
    </row>
    <row r="952" spans="1:26" ht="15.75" customHeight="1">
      <c r="A952" s="230"/>
      <c r="B952" s="230"/>
      <c r="C952" s="230"/>
      <c r="D952" s="230"/>
      <c r="E952" s="230"/>
      <c r="F952" s="230"/>
      <c r="G952" s="230"/>
      <c r="H952" s="230"/>
      <c r="I952" s="230"/>
      <c r="J952" s="230"/>
      <c r="K952" s="230"/>
      <c r="L952" s="230"/>
      <c r="M952" s="230"/>
      <c r="N952" s="230"/>
      <c r="O952" s="230"/>
      <c r="P952" s="230"/>
      <c r="Q952" s="230"/>
      <c r="R952" s="230"/>
      <c r="S952" s="230"/>
      <c r="T952" s="230"/>
      <c r="U952" s="230"/>
      <c r="V952" s="230"/>
      <c r="W952" s="230"/>
      <c r="X952" s="230"/>
      <c r="Y952" s="230"/>
      <c r="Z952" s="230"/>
    </row>
    <row r="953" spans="1:26" ht="15.75" customHeight="1">
      <c r="A953" s="230"/>
      <c r="B953" s="230"/>
      <c r="C953" s="230"/>
      <c r="D953" s="230"/>
      <c r="E953" s="230"/>
      <c r="F953" s="230"/>
      <c r="G953" s="230"/>
      <c r="H953" s="230"/>
      <c r="I953" s="230"/>
      <c r="J953" s="230"/>
      <c r="K953" s="230"/>
      <c r="L953" s="230"/>
      <c r="M953" s="230"/>
      <c r="N953" s="230"/>
      <c r="O953" s="230"/>
      <c r="P953" s="230"/>
      <c r="Q953" s="230"/>
      <c r="R953" s="230"/>
      <c r="S953" s="230"/>
      <c r="T953" s="230"/>
      <c r="U953" s="230"/>
      <c r="V953" s="230"/>
      <c r="W953" s="230"/>
      <c r="X953" s="230"/>
      <c r="Y953" s="230"/>
      <c r="Z953" s="230"/>
    </row>
    <row r="954" spans="1:26" ht="15.75" customHeight="1">
      <c r="A954" s="230"/>
      <c r="B954" s="230"/>
      <c r="C954" s="230"/>
      <c r="D954" s="230"/>
      <c r="E954" s="230"/>
      <c r="F954" s="230"/>
      <c r="G954" s="230"/>
      <c r="H954" s="230"/>
      <c r="I954" s="230"/>
      <c r="J954" s="230"/>
      <c r="K954" s="230"/>
      <c r="L954" s="230"/>
      <c r="M954" s="230"/>
      <c r="N954" s="230"/>
      <c r="O954" s="230"/>
      <c r="P954" s="230"/>
      <c r="Q954" s="230"/>
      <c r="R954" s="230"/>
      <c r="S954" s="230"/>
      <c r="T954" s="230"/>
      <c r="U954" s="230"/>
      <c r="V954" s="230"/>
      <c r="W954" s="230"/>
      <c r="X954" s="230"/>
      <c r="Y954" s="230"/>
      <c r="Z954" s="230"/>
    </row>
    <row r="955" spans="1:26" ht="15.75" customHeight="1">
      <c r="A955" s="230"/>
      <c r="B955" s="230"/>
      <c r="C955" s="230"/>
      <c r="D955" s="230"/>
      <c r="E955" s="230"/>
      <c r="F955" s="230"/>
      <c r="G955" s="230"/>
      <c r="H955" s="230"/>
      <c r="I955" s="230"/>
      <c r="J955" s="230"/>
      <c r="K955" s="230"/>
      <c r="L955" s="230"/>
      <c r="M955" s="230"/>
      <c r="N955" s="230"/>
      <c r="O955" s="230"/>
      <c r="P955" s="230"/>
      <c r="Q955" s="230"/>
      <c r="R955" s="230"/>
      <c r="S955" s="230"/>
      <c r="T955" s="230"/>
      <c r="U955" s="230"/>
      <c r="V955" s="230"/>
      <c r="W955" s="230"/>
      <c r="X955" s="230"/>
      <c r="Y955" s="230"/>
      <c r="Z955" s="230"/>
    </row>
    <row r="956" spans="1:26" ht="15.75" customHeight="1">
      <c r="A956" s="230"/>
      <c r="B956" s="230"/>
      <c r="C956" s="230"/>
      <c r="D956" s="230"/>
      <c r="E956" s="230"/>
      <c r="F956" s="230"/>
      <c r="G956" s="230"/>
      <c r="H956" s="230"/>
      <c r="I956" s="230"/>
      <c r="J956" s="230"/>
      <c r="K956" s="230"/>
      <c r="L956" s="230"/>
      <c r="M956" s="230"/>
      <c r="N956" s="230"/>
      <c r="O956" s="230"/>
      <c r="P956" s="230"/>
      <c r="Q956" s="230"/>
      <c r="R956" s="230"/>
      <c r="S956" s="230"/>
      <c r="T956" s="230"/>
      <c r="U956" s="230"/>
      <c r="V956" s="230"/>
      <c r="W956" s="230"/>
      <c r="X956" s="230"/>
      <c r="Y956" s="230"/>
      <c r="Z956" s="230"/>
    </row>
    <row r="957" spans="1:26" ht="15.75" customHeight="1">
      <c r="A957" s="230"/>
      <c r="B957" s="230"/>
      <c r="C957" s="230"/>
      <c r="D957" s="230"/>
      <c r="E957" s="230"/>
      <c r="F957" s="230"/>
      <c r="G957" s="230"/>
      <c r="H957" s="230"/>
      <c r="I957" s="230"/>
      <c r="J957" s="230"/>
      <c r="K957" s="230"/>
      <c r="L957" s="230"/>
      <c r="M957" s="230"/>
      <c r="N957" s="230"/>
      <c r="O957" s="230"/>
      <c r="P957" s="230"/>
      <c r="Q957" s="230"/>
      <c r="R957" s="230"/>
      <c r="S957" s="230"/>
      <c r="T957" s="230"/>
      <c r="U957" s="230"/>
      <c r="V957" s="230"/>
      <c r="W957" s="230"/>
      <c r="X957" s="230"/>
      <c r="Y957" s="230"/>
      <c r="Z957" s="230"/>
    </row>
    <row r="958" spans="1:26" ht="15.75" customHeight="1">
      <c r="A958" s="230"/>
      <c r="B958" s="230"/>
      <c r="C958" s="230"/>
      <c r="D958" s="230"/>
      <c r="E958" s="230"/>
      <c r="F958" s="230"/>
      <c r="G958" s="230"/>
      <c r="H958" s="230"/>
      <c r="I958" s="230"/>
      <c r="J958" s="230"/>
      <c r="K958" s="230"/>
      <c r="L958" s="230"/>
      <c r="M958" s="230"/>
      <c r="N958" s="230"/>
      <c r="O958" s="230"/>
      <c r="P958" s="230"/>
      <c r="Q958" s="230"/>
      <c r="R958" s="230"/>
      <c r="S958" s="230"/>
      <c r="T958" s="230"/>
      <c r="U958" s="230"/>
      <c r="V958" s="230"/>
      <c r="W958" s="230"/>
      <c r="X958" s="230"/>
      <c r="Y958" s="230"/>
      <c r="Z958" s="230"/>
    </row>
    <row r="959" spans="1:26" ht="15.75" customHeight="1">
      <c r="A959" s="230"/>
      <c r="B959" s="230"/>
      <c r="C959" s="230"/>
      <c r="D959" s="230"/>
      <c r="E959" s="230"/>
      <c r="F959" s="230"/>
      <c r="G959" s="230"/>
      <c r="H959" s="230"/>
      <c r="I959" s="230"/>
      <c r="J959" s="230"/>
      <c r="K959" s="230"/>
      <c r="L959" s="230"/>
      <c r="M959" s="230"/>
      <c r="N959" s="230"/>
      <c r="O959" s="230"/>
      <c r="P959" s="230"/>
      <c r="Q959" s="230"/>
      <c r="R959" s="230"/>
      <c r="S959" s="230"/>
      <c r="T959" s="230"/>
      <c r="U959" s="230"/>
      <c r="V959" s="230"/>
      <c r="W959" s="230"/>
      <c r="X959" s="230"/>
      <c r="Y959" s="230"/>
      <c r="Z959" s="230"/>
    </row>
    <row r="960" spans="1:26" ht="15.75" customHeight="1">
      <c r="A960" s="230"/>
      <c r="B960" s="230"/>
      <c r="C960" s="230"/>
      <c r="D960" s="230"/>
      <c r="E960" s="230"/>
      <c r="F960" s="230"/>
      <c r="G960" s="230"/>
      <c r="H960" s="230"/>
      <c r="I960" s="230"/>
      <c r="J960" s="230"/>
      <c r="K960" s="230"/>
      <c r="L960" s="230"/>
      <c r="M960" s="230"/>
      <c r="N960" s="230"/>
      <c r="O960" s="230"/>
      <c r="P960" s="230"/>
      <c r="Q960" s="230"/>
      <c r="R960" s="230"/>
      <c r="S960" s="230"/>
      <c r="T960" s="230"/>
      <c r="U960" s="230"/>
      <c r="V960" s="230"/>
      <c r="W960" s="230"/>
      <c r="X960" s="230"/>
      <c r="Y960" s="230"/>
      <c r="Z960" s="230"/>
    </row>
    <row r="961" spans="1:26" ht="15.75" customHeight="1">
      <c r="A961" s="230"/>
      <c r="B961" s="230"/>
      <c r="C961" s="230"/>
      <c r="D961" s="230"/>
      <c r="E961" s="230"/>
      <c r="F961" s="230"/>
      <c r="G961" s="230"/>
      <c r="H961" s="230"/>
      <c r="I961" s="230"/>
      <c r="J961" s="230"/>
      <c r="K961" s="230"/>
      <c r="L961" s="230"/>
      <c r="M961" s="230"/>
      <c r="N961" s="230"/>
      <c r="O961" s="230"/>
      <c r="P961" s="230"/>
      <c r="Q961" s="230"/>
      <c r="R961" s="230"/>
      <c r="S961" s="230"/>
      <c r="T961" s="230"/>
      <c r="U961" s="230"/>
      <c r="V961" s="230"/>
      <c r="W961" s="230"/>
      <c r="X961" s="230"/>
      <c r="Y961" s="230"/>
      <c r="Z961" s="230"/>
    </row>
    <row r="962" spans="1:26" ht="15.75" customHeight="1">
      <c r="A962" s="230"/>
      <c r="B962" s="230"/>
      <c r="C962" s="230"/>
      <c r="D962" s="230"/>
      <c r="E962" s="230"/>
      <c r="F962" s="230"/>
      <c r="G962" s="230"/>
      <c r="H962" s="230"/>
      <c r="I962" s="230"/>
      <c r="J962" s="230"/>
      <c r="K962" s="230"/>
      <c r="L962" s="230"/>
      <c r="M962" s="230"/>
      <c r="N962" s="230"/>
      <c r="O962" s="230"/>
      <c r="P962" s="230"/>
      <c r="Q962" s="230"/>
      <c r="R962" s="230"/>
      <c r="S962" s="230"/>
      <c r="T962" s="230"/>
      <c r="U962" s="230"/>
      <c r="V962" s="230"/>
      <c r="W962" s="230"/>
      <c r="X962" s="230"/>
      <c r="Y962" s="230"/>
      <c r="Z962" s="230"/>
    </row>
    <row r="963" spans="1:26" ht="15.75" customHeight="1">
      <c r="A963" s="230"/>
      <c r="B963" s="230"/>
      <c r="C963" s="230"/>
      <c r="D963" s="230"/>
      <c r="E963" s="230"/>
      <c r="F963" s="230"/>
      <c r="G963" s="230"/>
      <c r="H963" s="230"/>
      <c r="I963" s="230"/>
      <c r="J963" s="230"/>
      <c r="K963" s="230"/>
      <c r="L963" s="230"/>
      <c r="M963" s="230"/>
      <c r="N963" s="230"/>
      <c r="O963" s="230"/>
      <c r="P963" s="230"/>
      <c r="Q963" s="230"/>
      <c r="R963" s="230"/>
      <c r="S963" s="230"/>
      <c r="T963" s="230"/>
      <c r="U963" s="230"/>
      <c r="V963" s="230"/>
      <c r="W963" s="230"/>
      <c r="X963" s="230"/>
      <c r="Y963" s="230"/>
      <c r="Z963" s="230"/>
    </row>
    <row r="964" spans="1:26" ht="15.75" customHeight="1">
      <c r="A964" s="230"/>
      <c r="B964" s="230"/>
      <c r="C964" s="230"/>
      <c r="D964" s="230"/>
      <c r="E964" s="230"/>
      <c r="F964" s="230"/>
      <c r="G964" s="230"/>
      <c r="H964" s="230"/>
      <c r="I964" s="230"/>
      <c r="J964" s="230"/>
      <c r="K964" s="230"/>
      <c r="L964" s="230"/>
      <c r="M964" s="230"/>
      <c r="N964" s="230"/>
      <c r="O964" s="230"/>
      <c r="P964" s="230"/>
      <c r="Q964" s="230"/>
      <c r="R964" s="230"/>
      <c r="S964" s="230"/>
      <c r="T964" s="230"/>
      <c r="U964" s="230"/>
      <c r="V964" s="230"/>
      <c r="W964" s="230"/>
      <c r="X964" s="230"/>
      <c r="Y964" s="230"/>
      <c r="Z964" s="230"/>
    </row>
    <row r="965" spans="1:26" ht="15.75" customHeight="1">
      <c r="A965" s="230"/>
      <c r="B965" s="230"/>
      <c r="C965" s="230"/>
      <c r="D965" s="230"/>
      <c r="E965" s="230"/>
      <c r="F965" s="230"/>
      <c r="G965" s="230"/>
      <c r="H965" s="230"/>
      <c r="I965" s="230"/>
      <c r="J965" s="230"/>
      <c r="K965" s="230"/>
      <c r="L965" s="230"/>
      <c r="M965" s="230"/>
      <c r="N965" s="230"/>
      <c r="O965" s="230"/>
      <c r="P965" s="230"/>
      <c r="Q965" s="230"/>
      <c r="R965" s="230"/>
      <c r="S965" s="230"/>
      <c r="T965" s="230"/>
      <c r="U965" s="230"/>
      <c r="V965" s="230"/>
      <c r="W965" s="230"/>
      <c r="X965" s="230"/>
      <c r="Y965" s="230"/>
      <c r="Z965" s="230"/>
    </row>
    <row r="966" spans="1:26" ht="15.75" customHeight="1">
      <c r="A966" s="230"/>
      <c r="B966" s="230"/>
      <c r="C966" s="230"/>
      <c r="D966" s="230"/>
      <c r="E966" s="230"/>
      <c r="F966" s="230"/>
      <c r="G966" s="230"/>
      <c r="H966" s="230"/>
      <c r="I966" s="230"/>
      <c r="J966" s="230"/>
      <c r="K966" s="230"/>
      <c r="L966" s="230"/>
      <c r="M966" s="230"/>
      <c r="N966" s="230"/>
      <c r="O966" s="230"/>
      <c r="P966" s="230"/>
      <c r="Q966" s="230"/>
      <c r="R966" s="230"/>
      <c r="S966" s="230"/>
      <c r="T966" s="230"/>
      <c r="U966" s="230"/>
      <c r="V966" s="230"/>
      <c r="W966" s="230"/>
      <c r="X966" s="230"/>
      <c r="Y966" s="230"/>
      <c r="Z966" s="230"/>
    </row>
    <row r="967" spans="1:26" ht="15.75" customHeight="1">
      <c r="A967" s="230"/>
      <c r="B967" s="230"/>
      <c r="C967" s="230"/>
      <c r="D967" s="230"/>
      <c r="E967" s="230"/>
      <c r="F967" s="230"/>
      <c r="G967" s="230"/>
      <c r="H967" s="230"/>
      <c r="I967" s="230"/>
      <c r="J967" s="230"/>
      <c r="K967" s="230"/>
      <c r="L967" s="230"/>
      <c r="M967" s="230"/>
      <c r="N967" s="230"/>
      <c r="O967" s="230"/>
      <c r="P967" s="230"/>
      <c r="Q967" s="230"/>
      <c r="R967" s="230"/>
      <c r="S967" s="230"/>
      <c r="T967" s="230"/>
      <c r="U967" s="230"/>
      <c r="V967" s="230"/>
      <c r="W967" s="230"/>
      <c r="X967" s="230"/>
      <c r="Y967" s="230"/>
      <c r="Z967" s="230"/>
    </row>
    <row r="968" spans="1:26" ht="15.75" customHeight="1">
      <c r="A968" s="230"/>
      <c r="B968" s="230"/>
      <c r="C968" s="230"/>
      <c r="D968" s="230"/>
      <c r="E968" s="230"/>
      <c r="F968" s="230"/>
      <c r="G968" s="230"/>
      <c r="H968" s="230"/>
      <c r="I968" s="230"/>
      <c r="J968" s="230"/>
      <c r="K968" s="230"/>
      <c r="L968" s="230"/>
      <c r="M968" s="230"/>
      <c r="N968" s="230"/>
      <c r="O968" s="230"/>
      <c r="P968" s="230"/>
      <c r="Q968" s="230"/>
      <c r="R968" s="230"/>
      <c r="S968" s="230"/>
      <c r="T968" s="230"/>
      <c r="U968" s="230"/>
      <c r="V968" s="230"/>
      <c r="W968" s="230"/>
      <c r="X968" s="230"/>
      <c r="Y968" s="230"/>
      <c r="Z968" s="230"/>
    </row>
    <row r="969" spans="1:26" ht="15.75" customHeight="1">
      <c r="A969" s="230"/>
      <c r="B969" s="230"/>
      <c r="C969" s="230"/>
      <c r="D969" s="230"/>
      <c r="E969" s="230"/>
      <c r="F969" s="230"/>
      <c r="G969" s="230"/>
      <c r="H969" s="230"/>
      <c r="I969" s="230"/>
      <c r="J969" s="230"/>
      <c r="K969" s="230"/>
      <c r="L969" s="230"/>
      <c r="M969" s="230"/>
      <c r="N969" s="230"/>
      <c r="O969" s="230"/>
      <c r="P969" s="230"/>
      <c r="Q969" s="230"/>
      <c r="R969" s="230"/>
      <c r="S969" s="230"/>
      <c r="T969" s="230"/>
      <c r="U969" s="230"/>
      <c r="V969" s="230"/>
      <c r="W969" s="230"/>
      <c r="X969" s="230"/>
      <c r="Y969" s="230"/>
      <c r="Z969" s="230"/>
    </row>
    <row r="970" spans="1:26" ht="15.75" customHeight="1">
      <c r="A970" s="230"/>
      <c r="B970" s="230"/>
      <c r="C970" s="230"/>
      <c r="D970" s="230"/>
      <c r="E970" s="230"/>
      <c r="F970" s="230"/>
      <c r="G970" s="230"/>
      <c r="H970" s="230"/>
      <c r="I970" s="230"/>
      <c r="J970" s="230"/>
      <c r="K970" s="230"/>
      <c r="L970" s="230"/>
      <c r="M970" s="230"/>
      <c r="N970" s="230"/>
      <c r="O970" s="230"/>
      <c r="P970" s="230"/>
      <c r="Q970" s="230"/>
      <c r="R970" s="230"/>
      <c r="S970" s="230"/>
      <c r="T970" s="230"/>
      <c r="U970" s="230"/>
      <c r="V970" s="230"/>
      <c r="W970" s="230"/>
      <c r="X970" s="230"/>
      <c r="Y970" s="230"/>
      <c r="Z970" s="230"/>
    </row>
    <row r="971" spans="1:26" ht="15.75" customHeight="1">
      <c r="A971" s="230"/>
      <c r="B971" s="230"/>
      <c r="C971" s="230"/>
      <c r="D971" s="230"/>
      <c r="E971" s="230"/>
      <c r="F971" s="230"/>
      <c r="G971" s="230"/>
      <c r="H971" s="230"/>
      <c r="I971" s="230"/>
      <c r="J971" s="230"/>
      <c r="K971" s="230"/>
      <c r="L971" s="230"/>
      <c r="M971" s="230"/>
      <c r="N971" s="230"/>
      <c r="O971" s="230"/>
      <c r="P971" s="230"/>
      <c r="Q971" s="230"/>
      <c r="R971" s="230"/>
      <c r="S971" s="230"/>
      <c r="T971" s="230"/>
      <c r="U971" s="230"/>
      <c r="V971" s="230"/>
      <c r="W971" s="230"/>
      <c r="X971" s="230"/>
      <c r="Y971" s="230"/>
      <c r="Z971" s="230"/>
    </row>
    <row r="972" spans="1:26" ht="15.75" customHeight="1">
      <c r="A972" s="230"/>
      <c r="B972" s="230"/>
      <c r="C972" s="230"/>
      <c r="D972" s="230"/>
      <c r="E972" s="230"/>
      <c r="F972" s="230"/>
      <c r="G972" s="230"/>
      <c r="H972" s="230"/>
      <c r="I972" s="230"/>
      <c r="J972" s="230"/>
      <c r="K972" s="230"/>
      <c r="L972" s="230"/>
      <c r="M972" s="230"/>
      <c r="N972" s="230"/>
      <c r="O972" s="230"/>
      <c r="P972" s="230"/>
      <c r="Q972" s="230"/>
      <c r="R972" s="230"/>
      <c r="S972" s="230"/>
      <c r="T972" s="230"/>
      <c r="U972" s="230"/>
      <c r="V972" s="230"/>
      <c r="W972" s="230"/>
      <c r="X972" s="230"/>
      <c r="Y972" s="230"/>
      <c r="Z972" s="230"/>
    </row>
    <row r="973" spans="1:26" ht="15.75" customHeight="1">
      <c r="A973" s="230"/>
      <c r="B973" s="230"/>
      <c r="C973" s="230"/>
      <c r="D973" s="230"/>
      <c r="E973" s="230"/>
      <c r="F973" s="230"/>
      <c r="G973" s="230"/>
      <c r="H973" s="230"/>
      <c r="I973" s="230"/>
      <c r="J973" s="230"/>
      <c r="K973" s="230"/>
      <c r="L973" s="230"/>
      <c r="M973" s="230"/>
      <c r="N973" s="230"/>
      <c r="O973" s="230"/>
      <c r="P973" s="230"/>
      <c r="Q973" s="230"/>
      <c r="R973" s="230"/>
      <c r="S973" s="230"/>
      <c r="T973" s="230"/>
      <c r="U973" s="230"/>
      <c r="V973" s="230"/>
      <c r="W973" s="230"/>
      <c r="X973" s="230"/>
      <c r="Y973" s="230"/>
      <c r="Z973" s="230"/>
    </row>
    <row r="974" spans="1:26" ht="15.75" customHeight="1">
      <c r="A974" s="230"/>
      <c r="B974" s="230"/>
      <c r="C974" s="230"/>
      <c r="D974" s="230"/>
      <c r="E974" s="230"/>
      <c r="F974" s="230"/>
      <c r="G974" s="230"/>
      <c r="H974" s="230"/>
      <c r="I974" s="230"/>
      <c r="J974" s="230"/>
      <c r="K974" s="230"/>
      <c r="L974" s="230"/>
      <c r="M974" s="230"/>
      <c r="N974" s="230"/>
      <c r="O974" s="230"/>
      <c r="P974" s="230"/>
      <c r="Q974" s="230"/>
      <c r="R974" s="230"/>
      <c r="S974" s="230"/>
      <c r="T974" s="230"/>
      <c r="U974" s="230"/>
      <c r="V974" s="230"/>
      <c r="W974" s="230"/>
      <c r="X974" s="230"/>
      <c r="Y974" s="230"/>
      <c r="Z974" s="230"/>
    </row>
    <row r="975" spans="1:26" ht="15.75" customHeight="1">
      <c r="A975" s="230"/>
      <c r="B975" s="230"/>
      <c r="C975" s="230"/>
      <c r="D975" s="230"/>
      <c r="E975" s="230"/>
      <c r="F975" s="230"/>
      <c r="G975" s="230"/>
      <c r="H975" s="230"/>
      <c r="I975" s="230"/>
      <c r="J975" s="230"/>
      <c r="K975" s="230"/>
      <c r="L975" s="230"/>
      <c r="M975" s="230"/>
      <c r="N975" s="230"/>
      <c r="O975" s="230"/>
      <c r="P975" s="230"/>
      <c r="Q975" s="230"/>
      <c r="R975" s="230"/>
      <c r="S975" s="230"/>
      <c r="T975" s="230"/>
      <c r="U975" s="230"/>
      <c r="V975" s="230"/>
      <c r="W975" s="230"/>
      <c r="X975" s="230"/>
      <c r="Y975" s="230"/>
      <c r="Z975" s="230"/>
    </row>
    <row r="976" spans="1:26" ht="15.75" customHeight="1">
      <c r="A976" s="230"/>
      <c r="B976" s="230"/>
      <c r="C976" s="230"/>
      <c r="D976" s="230"/>
      <c r="E976" s="230"/>
      <c r="F976" s="230"/>
      <c r="G976" s="230"/>
      <c r="H976" s="230"/>
      <c r="I976" s="230"/>
      <c r="J976" s="230"/>
      <c r="K976" s="230"/>
      <c r="L976" s="230"/>
      <c r="M976" s="230"/>
      <c r="N976" s="230"/>
      <c r="O976" s="230"/>
      <c r="P976" s="230"/>
      <c r="Q976" s="230"/>
      <c r="R976" s="230"/>
      <c r="S976" s="230"/>
      <c r="T976" s="230"/>
      <c r="U976" s="230"/>
      <c r="V976" s="230"/>
      <c r="W976" s="230"/>
      <c r="X976" s="230"/>
      <c r="Y976" s="230"/>
      <c r="Z976" s="230"/>
    </row>
    <row r="977" spans="1:26" ht="15.75" customHeight="1">
      <c r="A977" s="230"/>
      <c r="B977" s="230"/>
      <c r="C977" s="230"/>
      <c r="D977" s="230"/>
      <c r="E977" s="230"/>
      <c r="F977" s="230"/>
      <c r="G977" s="230"/>
      <c r="H977" s="230"/>
      <c r="I977" s="230"/>
      <c r="J977" s="230"/>
      <c r="K977" s="230"/>
      <c r="L977" s="230"/>
      <c r="M977" s="230"/>
      <c r="N977" s="230"/>
      <c r="O977" s="230"/>
      <c r="P977" s="230"/>
      <c r="Q977" s="230"/>
      <c r="R977" s="230"/>
      <c r="S977" s="230"/>
      <c r="T977" s="230"/>
      <c r="U977" s="230"/>
      <c r="V977" s="230"/>
      <c r="W977" s="230"/>
      <c r="X977" s="230"/>
      <c r="Y977" s="230"/>
      <c r="Z977" s="230"/>
    </row>
    <row r="978" spans="1:26" ht="15.75" customHeight="1">
      <c r="A978" s="230"/>
      <c r="B978" s="230"/>
      <c r="C978" s="230"/>
      <c r="D978" s="230"/>
      <c r="E978" s="230"/>
      <c r="F978" s="230"/>
      <c r="G978" s="230"/>
      <c r="H978" s="230"/>
      <c r="I978" s="230"/>
      <c r="J978" s="230"/>
      <c r="K978" s="230"/>
      <c r="L978" s="230"/>
      <c r="M978" s="230"/>
      <c r="N978" s="230"/>
      <c r="O978" s="230"/>
      <c r="P978" s="230"/>
      <c r="Q978" s="230"/>
      <c r="R978" s="230"/>
      <c r="S978" s="230"/>
      <c r="T978" s="230"/>
      <c r="U978" s="230"/>
      <c r="V978" s="230"/>
      <c r="W978" s="230"/>
      <c r="X978" s="230"/>
      <c r="Y978" s="230"/>
      <c r="Z978" s="230"/>
    </row>
    <row r="979" spans="1:26" ht="15.75" customHeight="1">
      <c r="A979" s="230"/>
      <c r="B979" s="230"/>
      <c r="C979" s="230"/>
      <c r="D979" s="230"/>
      <c r="E979" s="230"/>
      <c r="F979" s="230"/>
      <c r="G979" s="230"/>
      <c r="H979" s="230"/>
      <c r="I979" s="230"/>
      <c r="J979" s="230"/>
      <c r="K979" s="230"/>
      <c r="L979" s="230"/>
      <c r="M979" s="230"/>
      <c r="N979" s="230"/>
      <c r="O979" s="230"/>
      <c r="P979" s="230"/>
      <c r="Q979" s="230"/>
      <c r="R979" s="230"/>
      <c r="S979" s="230"/>
      <c r="T979" s="230"/>
      <c r="U979" s="230"/>
      <c r="V979" s="230"/>
      <c r="W979" s="230"/>
      <c r="X979" s="230"/>
      <c r="Y979" s="230"/>
      <c r="Z979" s="230"/>
    </row>
    <row r="980" spans="1:26" ht="15.75" customHeight="1">
      <c r="A980" s="230"/>
      <c r="B980" s="230"/>
      <c r="C980" s="230"/>
      <c r="D980" s="230"/>
      <c r="E980" s="230"/>
      <c r="F980" s="230"/>
      <c r="G980" s="230"/>
      <c r="H980" s="230"/>
      <c r="I980" s="230"/>
      <c r="J980" s="230"/>
      <c r="K980" s="230"/>
      <c r="L980" s="230"/>
      <c r="M980" s="230"/>
      <c r="N980" s="230"/>
      <c r="O980" s="230"/>
      <c r="P980" s="230"/>
      <c r="Q980" s="230"/>
      <c r="R980" s="230"/>
      <c r="S980" s="230"/>
      <c r="T980" s="230"/>
      <c r="U980" s="230"/>
      <c r="V980" s="230"/>
      <c r="W980" s="230"/>
      <c r="X980" s="230"/>
      <c r="Y980" s="230"/>
      <c r="Z980" s="230"/>
    </row>
    <row r="981" spans="1:26" ht="15.75" customHeight="1">
      <c r="A981" s="230"/>
      <c r="B981" s="230"/>
      <c r="C981" s="230"/>
      <c r="D981" s="230"/>
      <c r="E981" s="230"/>
      <c r="F981" s="230"/>
      <c r="G981" s="230"/>
      <c r="H981" s="230"/>
      <c r="I981" s="230"/>
      <c r="J981" s="230"/>
      <c r="K981" s="230"/>
      <c r="L981" s="230"/>
      <c r="M981" s="230"/>
      <c r="N981" s="230"/>
      <c r="O981" s="230"/>
      <c r="P981" s="230"/>
      <c r="Q981" s="230"/>
      <c r="R981" s="230"/>
      <c r="S981" s="230"/>
      <c r="T981" s="230"/>
      <c r="U981" s="230"/>
      <c r="V981" s="230"/>
      <c r="W981" s="230"/>
      <c r="X981" s="230"/>
      <c r="Y981" s="230"/>
      <c r="Z981" s="230"/>
    </row>
    <row r="982" spans="1:26" ht="15.75" customHeight="1">
      <c r="A982" s="230"/>
      <c r="B982" s="230"/>
      <c r="C982" s="230"/>
      <c r="D982" s="230"/>
      <c r="E982" s="230"/>
      <c r="F982" s="230"/>
      <c r="G982" s="230"/>
      <c r="H982" s="230"/>
      <c r="I982" s="230"/>
      <c r="J982" s="230"/>
      <c r="K982" s="230"/>
      <c r="L982" s="230"/>
      <c r="M982" s="230"/>
      <c r="N982" s="230"/>
      <c r="O982" s="230"/>
      <c r="P982" s="230"/>
      <c r="Q982" s="230"/>
      <c r="R982" s="230"/>
      <c r="S982" s="230"/>
      <c r="T982" s="230"/>
      <c r="U982" s="230"/>
      <c r="V982" s="230"/>
      <c r="W982" s="230"/>
      <c r="X982" s="230"/>
      <c r="Y982" s="230"/>
      <c r="Z982" s="230"/>
    </row>
    <row r="983" spans="1:26" ht="15.75" customHeight="1">
      <c r="A983" s="230"/>
      <c r="B983" s="230"/>
      <c r="C983" s="230"/>
      <c r="D983" s="230"/>
      <c r="E983" s="230"/>
      <c r="F983" s="230"/>
      <c r="G983" s="230"/>
      <c r="H983" s="230"/>
      <c r="I983" s="230"/>
      <c r="J983" s="230"/>
      <c r="K983" s="230"/>
      <c r="L983" s="230"/>
      <c r="M983" s="230"/>
      <c r="N983" s="230"/>
      <c r="O983" s="230"/>
      <c r="P983" s="230"/>
      <c r="Q983" s="230"/>
      <c r="R983" s="230"/>
      <c r="S983" s="230"/>
      <c r="T983" s="230"/>
      <c r="U983" s="230"/>
      <c r="V983" s="230"/>
      <c r="W983" s="230"/>
      <c r="X983" s="230"/>
      <c r="Y983" s="230"/>
      <c r="Z983" s="230"/>
    </row>
    <row r="984" spans="1:26" ht="15.75" customHeight="1">
      <c r="A984" s="230"/>
      <c r="B984" s="230"/>
      <c r="C984" s="230"/>
      <c r="D984" s="230"/>
      <c r="E984" s="230"/>
      <c r="F984" s="230"/>
      <c r="G984" s="230"/>
      <c r="H984" s="230"/>
      <c r="I984" s="230"/>
      <c r="J984" s="230"/>
      <c r="K984" s="230"/>
      <c r="L984" s="230"/>
      <c r="M984" s="230"/>
      <c r="N984" s="230"/>
      <c r="O984" s="230"/>
      <c r="P984" s="230"/>
      <c r="Q984" s="230"/>
      <c r="R984" s="230"/>
      <c r="S984" s="230"/>
      <c r="T984" s="230"/>
      <c r="U984" s="230"/>
      <c r="V984" s="230"/>
      <c r="W984" s="230"/>
      <c r="X984" s="230"/>
      <c r="Y984" s="230"/>
      <c r="Z984" s="230"/>
    </row>
    <row r="985" spans="1:26" ht="15.75" customHeight="1">
      <c r="A985" s="230"/>
      <c r="B985" s="230"/>
      <c r="C985" s="230"/>
      <c r="D985" s="230"/>
      <c r="E985" s="230"/>
      <c r="F985" s="230"/>
      <c r="G985" s="230"/>
      <c r="H985" s="230"/>
      <c r="I985" s="230"/>
      <c r="J985" s="230"/>
      <c r="K985" s="230"/>
      <c r="L985" s="230"/>
      <c r="M985" s="230"/>
      <c r="N985" s="230"/>
      <c r="O985" s="230"/>
      <c r="P985" s="230"/>
      <c r="Q985" s="230"/>
      <c r="R985" s="230"/>
      <c r="S985" s="230"/>
      <c r="T985" s="230"/>
      <c r="U985" s="230"/>
      <c r="V985" s="230"/>
      <c r="W985" s="230"/>
      <c r="X985" s="230"/>
      <c r="Y985" s="230"/>
      <c r="Z985" s="230"/>
    </row>
    <row r="986" spans="1:26" ht="15.75" customHeight="1">
      <c r="A986" s="230"/>
      <c r="B986" s="230"/>
      <c r="C986" s="230"/>
      <c r="D986" s="230"/>
      <c r="E986" s="230"/>
      <c r="F986" s="230"/>
      <c r="G986" s="230"/>
      <c r="H986" s="230"/>
      <c r="I986" s="230"/>
      <c r="J986" s="230"/>
      <c r="K986" s="230"/>
      <c r="L986" s="230"/>
      <c r="M986" s="230"/>
      <c r="N986" s="230"/>
      <c r="O986" s="230"/>
      <c r="P986" s="230"/>
      <c r="Q986" s="230"/>
      <c r="R986" s="230"/>
      <c r="S986" s="230"/>
      <c r="T986" s="230"/>
      <c r="U986" s="230"/>
      <c r="V986" s="230"/>
      <c r="W986" s="230"/>
      <c r="X986" s="230"/>
      <c r="Y986" s="230"/>
      <c r="Z986" s="230"/>
    </row>
    <row r="987" spans="1:26" ht="15.75" customHeight="1">
      <c r="A987" s="230"/>
      <c r="B987" s="230"/>
      <c r="C987" s="230"/>
      <c r="D987" s="230"/>
      <c r="E987" s="230"/>
      <c r="F987" s="230"/>
      <c r="G987" s="230"/>
      <c r="H987" s="230"/>
      <c r="I987" s="230"/>
      <c r="J987" s="230"/>
      <c r="K987" s="230"/>
      <c r="L987" s="230"/>
      <c r="M987" s="230"/>
      <c r="N987" s="230"/>
      <c r="O987" s="230"/>
      <c r="P987" s="230"/>
      <c r="Q987" s="230"/>
      <c r="R987" s="230"/>
      <c r="S987" s="230"/>
      <c r="T987" s="230"/>
      <c r="U987" s="230"/>
      <c r="V987" s="230"/>
      <c r="W987" s="230"/>
      <c r="X987" s="230"/>
      <c r="Y987" s="230"/>
      <c r="Z987" s="230"/>
    </row>
    <row r="988" spans="1:26" ht="15.75" customHeight="1">
      <c r="A988" s="230"/>
      <c r="B988" s="230"/>
      <c r="C988" s="230"/>
      <c r="D988" s="230"/>
      <c r="E988" s="230"/>
      <c r="F988" s="230"/>
      <c r="G988" s="230"/>
      <c r="H988" s="230"/>
      <c r="I988" s="230"/>
      <c r="J988" s="230"/>
      <c r="K988" s="230"/>
      <c r="L988" s="230"/>
      <c r="M988" s="230"/>
      <c r="N988" s="230"/>
      <c r="O988" s="230"/>
      <c r="P988" s="230"/>
      <c r="Q988" s="230"/>
      <c r="R988" s="230"/>
      <c r="S988" s="230"/>
      <c r="T988" s="230"/>
      <c r="U988" s="230"/>
      <c r="V988" s="230"/>
      <c r="W988" s="230"/>
      <c r="X988" s="230"/>
      <c r="Y988" s="230"/>
      <c r="Z988" s="230"/>
    </row>
    <row r="989" spans="1:26" ht="15.75" customHeight="1">
      <c r="A989" s="230"/>
      <c r="B989" s="230"/>
      <c r="C989" s="230"/>
      <c r="D989" s="230"/>
      <c r="E989" s="230"/>
      <c r="F989" s="230"/>
      <c r="G989" s="230"/>
      <c r="H989" s="230"/>
      <c r="I989" s="230"/>
      <c r="J989" s="230"/>
      <c r="K989" s="230"/>
      <c r="L989" s="230"/>
      <c r="M989" s="230"/>
      <c r="N989" s="230"/>
      <c r="O989" s="230"/>
      <c r="P989" s="230"/>
      <c r="Q989" s="230"/>
      <c r="R989" s="230"/>
      <c r="S989" s="230"/>
      <c r="T989" s="230"/>
      <c r="U989" s="230"/>
      <c r="V989" s="230"/>
      <c r="W989" s="230"/>
      <c r="X989" s="230"/>
      <c r="Y989" s="230"/>
      <c r="Z989" s="230"/>
    </row>
    <row r="990" spans="1:26" ht="15.75" customHeight="1">
      <c r="A990" s="230"/>
      <c r="B990" s="230"/>
      <c r="C990" s="230"/>
      <c r="D990" s="230"/>
      <c r="E990" s="230"/>
      <c r="F990" s="230"/>
      <c r="G990" s="230"/>
      <c r="H990" s="230"/>
      <c r="I990" s="230"/>
      <c r="J990" s="230"/>
      <c r="K990" s="230"/>
      <c r="L990" s="230"/>
      <c r="M990" s="230"/>
      <c r="N990" s="230"/>
      <c r="O990" s="230"/>
      <c r="P990" s="230"/>
      <c r="Q990" s="230"/>
      <c r="R990" s="230"/>
      <c r="S990" s="230"/>
      <c r="T990" s="230"/>
      <c r="U990" s="230"/>
      <c r="V990" s="230"/>
      <c r="W990" s="230"/>
      <c r="X990" s="230"/>
      <c r="Y990" s="230"/>
      <c r="Z990" s="230"/>
    </row>
    <row r="991" spans="1:26" ht="15.75" customHeight="1">
      <c r="A991" s="230"/>
      <c r="B991" s="230"/>
      <c r="C991" s="230"/>
      <c r="D991" s="230"/>
      <c r="E991" s="230"/>
      <c r="F991" s="230"/>
      <c r="G991" s="230"/>
      <c r="H991" s="230"/>
      <c r="I991" s="230"/>
      <c r="J991" s="230"/>
      <c r="K991" s="230"/>
      <c r="L991" s="230"/>
      <c r="M991" s="230"/>
      <c r="N991" s="230"/>
      <c r="O991" s="230"/>
      <c r="P991" s="230"/>
      <c r="Q991" s="230"/>
      <c r="R991" s="230"/>
      <c r="S991" s="230"/>
      <c r="T991" s="230"/>
      <c r="U991" s="230"/>
      <c r="V991" s="230"/>
      <c r="W991" s="230"/>
      <c r="X991" s="230"/>
      <c r="Y991" s="230"/>
      <c r="Z991" s="230"/>
    </row>
    <row r="992" spans="1:26" ht="15.75" customHeight="1">
      <c r="A992" s="230"/>
      <c r="B992" s="230"/>
      <c r="C992" s="230"/>
      <c r="D992" s="230"/>
      <c r="E992" s="230"/>
      <c r="F992" s="230"/>
      <c r="G992" s="230"/>
      <c r="H992" s="230"/>
      <c r="I992" s="230"/>
      <c r="J992" s="230"/>
      <c r="K992" s="230"/>
      <c r="L992" s="230"/>
      <c r="M992" s="230"/>
      <c r="N992" s="230"/>
      <c r="O992" s="230"/>
      <c r="P992" s="230"/>
      <c r="Q992" s="230"/>
      <c r="R992" s="230"/>
      <c r="S992" s="230"/>
      <c r="T992" s="230"/>
      <c r="U992" s="230"/>
      <c r="V992" s="230"/>
      <c r="W992" s="230"/>
      <c r="X992" s="230"/>
      <c r="Y992" s="230"/>
      <c r="Z992" s="230"/>
    </row>
    <row r="993" spans="1:26" ht="15.75" customHeight="1">
      <c r="A993" s="230"/>
      <c r="B993" s="230"/>
      <c r="C993" s="230"/>
      <c r="D993" s="230"/>
      <c r="E993" s="230"/>
      <c r="F993" s="230"/>
      <c r="G993" s="230"/>
      <c r="H993" s="230"/>
      <c r="I993" s="230"/>
      <c r="J993" s="230"/>
      <c r="K993" s="230"/>
      <c r="L993" s="230"/>
      <c r="M993" s="230"/>
      <c r="N993" s="230"/>
      <c r="O993" s="230"/>
      <c r="P993" s="230"/>
      <c r="Q993" s="230"/>
      <c r="R993" s="230"/>
      <c r="S993" s="230"/>
      <c r="T993" s="230"/>
      <c r="U993" s="230"/>
      <c r="V993" s="230"/>
      <c r="W993" s="230"/>
      <c r="X993" s="230"/>
      <c r="Y993" s="230"/>
      <c r="Z993" s="230"/>
    </row>
    <row r="994" spans="1:26" ht="15.75" customHeight="1">
      <c r="A994" s="230"/>
      <c r="B994" s="230"/>
      <c r="C994" s="230"/>
      <c r="D994" s="230"/>
      <c r="E994" s="230"/>
      <c r="F994" s="230"/>
      <c r="G994" s="230"/>
      <c r="H994" s="230"/>
      <c r="I994" s="230"/>
      <c r="J994" s="230"/>
      <c r="K994" s="230"/>
      <c r="L994" s="230"/>
      <c r="M994" s="230"/>
      <c r="N994" s="230"/>
      <c r="O994" s="230"/>
      <c r="P994" s="230"/>
      <c r="Q994" s="230"/>
      <c r="R994" s="230"/>
      <c r="S994" s="230"/>
      <c r="T994" s="230"/>
      <c r="U994" s="230"/>
      <c r="V994" s="230"/>
      <c r="W994" s="230"/>
      <c r="X994" s="230"/>
      <c r="Y994" s="230"/>
      <c r="Z994" s="230"/>
    </row>
    <row r="995" spans="1:26" ht="15.75" customHeight="1">
      <c r="A995" s="230"/>
      <c r="B995" s="230"/>
      <c r="C995" s="230"/>
      <c r="D995" s="230"/>
      <c r="E995" s="230"/>
      <c r="F995" s="230"/>
      <c r="G995" s="230"/>
      <c r="H995" s="230"/>
      <c r="I995" s="230"/>
      <c r="J995" s="230"/>
      <c r="K995" s="230"/>
      <c r="L995" s="230"/>
      <c r="M995" s="230"/>
      <c r="N995" s="230"/>
      <c r="O995" s="230"/>
      <c r="P995" s="230"/>
      <c r="Q995" s="230"/>
      <c r="R995" s="230"/>
      <c r="S995" s="230"/>
      <c r="T995" s="230"/>
      <c r="U995" s="230"/>
      <c r="V995" s="230"/>
      <c r="W995" s="230"/>
      <c r="X995" s="230"/>
      <c r="Y995" s="230"/>
      <c r="Z995" s="230"/>
    </row>
    <row r="996" spans="1:26" ht="15.75" customHeight="1">
      <c r="A996" s="230"/>
      <c r="B996" s="230"/>
      <c r="C996" s="230"/>
      <c r="D996" s="230"/>
      <c r="E996" s="230"/>
      <c r="F996" s="230"/>
      <c r="G996" s="230"/>
      <c r="H996" s="230"/>
      <c r="I996" s="230"/>
      <c r="J996" s="230"/>
      <c r="K996" s="230"/>
      <c r="L996" s="230"/>
      <c r="M996" s="230"/>
      <c r="N996" s="230"/>
      <c r="O996" s="230"/>
      <c r="P996" s="230"/>
      <c r="Q996" s="230"/>
      <c r="R996" s="230"/>
      <c r="S996" s="230"/>
      <c r="T996" s="230"/>
      <c r="U996" s="230"/>
      <c r="V996" s="230"/>
      <c r="W996" s="230"/>
      <c r="X996" s="230"/>
      <c r="Y996" s="230"/>
      <c r="Z996" s="230"/>
    </row>
    <row r="997" spans="1:26" ht="15.75" customHeight="1">
      <c r="A997" s="230"/>
      <c r="B997" s="230"/>
      <c r="C997" s="230"/>
      <c r="D997" s="230"/>
      <c r="E997" s="230"/>
      <c r="F997" s="230"/>
      <c r="G997" s="230"/>
      <c r="H997" s="230"/>
      <c r="I997" s="230"/>
      <c r="J997" s="230"/>
      <c r="K997" s="230"/>
      <c r="L997" s="230"/>
      <c r="M997" s="230"/>
      <c r="N997" s="230"/>
      <c r="O997" s="230"/>
      <c r="P997" s="230"/>
      <c r="Q997" s="230"/>
      <c r="R997" s="230"/>
      <c r="S997" s="230"/>
      <c r="T997" s="230"/>
      <c r="U997" s="230"/>
      <c r="V997" s="230"/>
      <c r="W997" s="230"/>
      <c r="X997" s="230"/>
      <c r="Y997" s="230"/>
      <c r="Z997" s="230"/>
    </row>
    <row r="998" spans="1:26" ht="15.75" customHeight="1">
      <c r="A998" s="230"/>
      <c r="B998" s="230"/>
      <c r="C998" s="230"/>
      <c r="D998" s="230"/>
      <c r="E998" s="230"/>
      <c r="F998" s="230"/>
      <c r="G998" s="230"/>
      <c r="H998" s="230"/>
      <c r="I998" s="230"/>
      <c r="J998" s="230"/>
      <c r="K998" s="230"/>
      <c r="L998" s="230"/>
      <c r="M998" s="230"/>
      <c r="N998" s="230"/>
      <c r="O998" s="230"/>
      <c r="P998" s="230"/>
      <c r="Q998" s="230"/>
      <c r="R998" s="230"/>
      <c r="S998" s="230"/>
      <c r="T998" s="230"/>
      <c r="U998" s="230"/>
      <c r="V998" s="230"/>
      <c r="W998" s="230"/>
      <c r="X998" s="230"/>
      <c r="Y998" s="230"/>
      <c r="Z998" s="230"/>
    </row>
    <row r="999" spans="1:26" ht="15.75" customHeight="1">
      <c r="A999" s="230"/>
      <c r="B999" s="230"/>
      <c r="C999" s="230"/>
      <c r="D999" s="230"/>
      <c r="E999" s="230"/>
      <c r="F999" s="230"/>
      <c r="G999" s="230"/>
      <c r="H999" s="230"/>
      <c r="I999" s="230"/>
      <c r="J999" s="230"/>
      <c r="K999" s="230"/>
      <c r="L999" s="230"/>
      <c r="M999" s="230"/>
      <c r="N999" s="230"/>
      <c r="O999" s="230"/>
      <c r="P999" s="230"/>
      <c r="Q999" s="230"/>
      <c r="R999" s="230"/>
      <c r="S999" s="230"/>
      <c r="T999" s="230"/>
      <c r="U999" s="230"/>
      <c r="V999" s="230"/>
      <c r="W999" s="230"/>
      <c r="X999" s="230"/>
      <c r="Y999" s="230"/>
      <c r="Z999" s="230"/>
    </row>
    <row r="1000" spans="1:26" ht="15.75" customHeight="1">
      <c r="A1000" s="230"/>
      <c r="B1000" s="230"/>
      <c r="C1000" s="230"/>
      <c r="D1000" s="230"/>
      <c r="E1000" s="230"/>
      <c r="F1000" s="230"/>
      <c r="G1000" s="230"/>
      <c r="H1000" s="230"/>
      <c r="I1000" s="230"/>
      <c r="J1000" s="230"/>
      <c r="K1000" s="230"/>
      <c r="L1000" s="230"/>
      <c r="M1000" s="230"/>
      <c r="N1000" s="230"/>
      <c r="O1000" s="230"/>
      <c r="P1000" s="230"/>
      <c r="Q1000" s="230"/>
      <c r="R1000" s="230"/>
      <c r="S1000" s="230"/>
      <c r="T1000" s="230"/>
      <c r="U1000" s="230"/>
      <c r="V1000" s="230"/>
      <c r="W1000" s="230"/>
      <c r="X1000" s="230"/>
      <c r="Y1000" s="230"/>
      <c r="Z1000" s="230"/>
    </row>
    <row r="1001" spans="1:26" ht="15.75" customHeight="1">
      <c r="A1001" s="230"/>
      <c r="B1001" s="230"/>
      <c r="C1001" s="230"/>
      <c r="D1001" s="230"/>
      <c r="E1001" s="230"/>
      <c r="F1001" s="230"/>
      <c r="G1001" s="230"/>
      <c r="H1001" s="230"/>
      <c r="I1001" s="230"/>
      <c r="J1001" s="230"/>
      <c r="K1001" s="230"/>
      <c r="L1001" s="230"/>
      <c r="M1001" s="230"/>
      <c r="N1001" s="230"/>
      <c r="O1001" s="230"/>
      <c r="P1001" s="230"/>
      <c r="Q1001" s="230"/>
      <c r="R1001" s="230"/>
      <c r="S1001" s="230"/>
      <c r="T1001" s="230"/>
      <c r="U1001" s="230"/>
      <c r="V1001" s="230"/>
      <c r="W1001" s="230"/>
      <c r="X1001" s="230"/>
      <c r="Y1001" s="230"/>
      <c r="Z1001" s="230"/>
    </row>
    <row r="1002" spans="1:26" ht="15.75" customHeight="1">
      <c r="A1002" s="230"/>
      <c r="B1002" s="230"/>
      <c r="C1002" s="230"/>
      <c r="D1002" s="230"/>
      <c r="E1002" s="230"/>
      <c r="F1002" s="230"/>
      <c r="G1002" s="230"/>
      <c r="H1002" s="230"/>
      <c r="I1002" s="230"/>
      <c r="J1002" s="230"/>
      <c r="K1002" s="230"/>
      <c r="L1002" s="230"/>
      <c r="M1002" s="230"/>
      <c r="N1002" s="230"/>
      <c r="O1002" s="230"/>
      <c r="P1002" s="230"/>
      <c r="Q1002" s="230"/>
      <c r="R1002" s="230"/>
      <c r="S1002" s="230"/>
      <c r="T1002" s="230"/>
      <c r="U1002" s="230"/>
      <c r="V1002" s="230"/>
      <c r="W1002" s="230"/>
      <c r="X1002" s="230"/>
      <c r="Y1002" s="230"/>
      <c r="Z1002" s="230"/>
    </row>
  </sheetData>
  <mergeCells count="4">
    <mergeCell ref="G13:I13"/>
    <mergeCell ref="E48:E49"/>
    <mergeCell ref="G48:G49"/>
    <mergeCell ref="M48:M49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C6AC-3EF4-4B3A-8B25-B1B40319A0BF}">
  <dimension ref="A1:M16"/>
  <sheetViews>
    <sheetView showGridLines="0" topLeftCell="A5" zoomScale="130" zoomScaleNormal="130" workbookViewId="0">
      <selection activeCell="G19" sqref="G19"/>
    </sheetView>
  </sheetViews>
  <sheetFormatPr defaultRowHeight="14.5"/>
  <cols>
    <col min="2" max="2" width="21.81640625" bestFit="1" customWidth="1"/>
  </cols>
  <sheetData>
    <row r="1" spans="1:13">
      <c r="B1" s="386" t="s">
        <v>699</v>
      </c>
      <c r="C1" s="386"/>
      <c r="D1" s="386"/>
      <c r="E1" s="386"/>
      <c r="F1" s="386"/>
      <c r="G1" s="386"/>
      <c r="H1" s="386"/>
      <c r="I1" s="386"/>
      <c r="J1" s="386"/>
    </row>
    <row r="2" spans="1:13" ht="15" thickBot="1"/>
    <row r="3" spans="1:13">
      <c r="E3" s="439" t="s">
        <v>698</v>
      </c>
      <c r="F3" s="439"/>
      <c r="H3" s="439" t="s">
        <v>697</v>
      </c>
      <c r="I3" s="439"/>
      <c r="K3" s="385" t="s">
        <v>696</v>
      </c>
      <c r="L3" s="440" t="s">
        <v>695</v>
      </c>
      <c r="M3" s="441"/>
    </row>
    <row r="4" spans="1:13">
      <c r="D4" t="s">
        <v>511</v>
      </c>
      <c r="E4" s="384" t="s">
        <v>510</v>
      </c>
      <c r="F4" s="384" t="s">
        <v>509</v>
      </c>
      <c r="H4" s="384" t="s">
        <v>510</v>
      </c>
      <c r="I4" s="384" t="s">
        <v>509</v>
      </c>
      <c r="K4" s="192"/>
      <c r="L4" s="384" t="s">
        <v>694</v>
      </c>
      <c r="M4" s="383" t="s">
        <v>693</v>
      </c>
    </row>
    <row r="5" spans="1:13">
      <c r="A5" t="s">
        <v>692</v>
      </c>
      <c r="K5" s="192" t="s">
        <v>692</v>
      </c>
      <c r="L5" t="s">
        <v>691</v>
      </c>
      <c r="M5" s="184" t="s">
        <v>691</v>
      </c>
    </row>
    <row r="6" spans="1:13">
      <c r="B6" t="s">
        <v>690</v>
      </c>
      <c r="E6" s="33">
        <v>2.1999999999999999E-2</v>
      </c>
      <c r="F6" s="33">
        <v>2.8000000000000001E-2</v>
      </c>
      <c r="H6">
        <v>70.25</v>
      </c>
      <c r="I6" s="10">
        <v>92.55</v>
      </c>
      <c r="K6" s="192"/>
      <c r="M6" s="184"/>
    </row>
    <row r="7" spans="1:13">
      <c r="B7" t="s">
        <v>433</v>
      </c>
      <c r="E7">
        <v>16.100000000000001</v>
      </c>
      <c r="F7">
        <v>16.8</v>
      </c>
      <c r="H7">
        <v>121.05</v>
      </c>
      <c r="I7">
        <v>134.02000000000001</v>
      </c>
      <c r="K7" s="192"/>
      <c r="M7" s="184"/>
    </row>
    <row r="8" spans="1:13">
      <c r="K8" s="192"/>
      <c r="M8" s="184"/>
    </row>
    <row r="9" spans="1:13">
      <c r="A9" t="s">
        <v>689</v>
      </c>
      <c r="B9" t="s">
        <v>688</v>
      </c>
      <c r="K9" s="192"/>
      <c r="M9" s="184"/>
    </row>
    <row r="10" spans="1:13">
      <c r="A10" t="s">
        <v>615</v>
      </c>
      <c r="B10" t="s">
        <v>543</v>
      </c>
      <c r="E10" s="388">
        <f ca="1">'Valuation '!C8</f>
        <v>27.81897575496183</v>
      </c>
      <c r="F10" s="388">
        <f ca="1">'Valuation '!D8</f>
        <v>34.000970367175576</v>
      </c>
      <c r="G10" s="390"/>
      <c r="H10" s="390">
        <f ca="1">'Valuation '!O8</f>
        <v>149.05652690534376</v>
      </c>
      <c r="I10" s="390">
        <f ca="1">'Valuation '!P8</f>
        <v>184.30625083072678</v>
      </c>
      <c r="K10" s="192"/>
      <c r="M10" s="184"/>
    </row>
    <row r="11" spans="1:13">
      <c r="A11" t="s">
        <v>614</v>
      </c>
      <c r="B11" t="s">
        <v>543</v>
      </c>
      <c r="E11" s="390">
        <f ca="1">'Valuation '!C9</f>
        <v>23.725819166015626</v>
      </c>
      <c r="F11" s="390">
        <f ca="1">'Valuation '!D9</f>
        <v>28.99822342513021</v>
      </c>
      <c r="G11" s="390"/>
      <c r="H11" s="390">
        <f ca="1">'Valuation '!O9</f>
        <v>148.05373806217128</v>
      </c>
      <c r="I11" s="390">
        <f ca="1">'Valuation '!P9</f>
        <v>183.08062002240482</v>
      </c>
      <c r="K11" s="192"/>
      <c r="M11" s="184"/>
    </row>
    <row r="12" spans="1:13">
      <c r="K12" s="192"/>
      <c r="M12" s="184"/>
    </row>
    <row r="13" spans="1:13">
      <c r="K13" s="192"/>
      <c r="M13" s="184"/>
    </row>
    <row r="14" spans="1:13">
      <c r="A14" t="s">
        <v>687</v>
      </c>
      <c r="H14" s="11">
        <v>76</v>
      </c>
      <c r="I14" s="11">
        <v>125</v>
      </c>
      <c r="K14" s="192"/>
      <c r="M14" s="184"/>
    </row>
    <row r="15" spans="1:13">
      <c r="K15" s="192"/>
      <c r="M15" s="184"/>
    </row>
    <row r="16" spans="1:13" ht="15" thickBot="1">
      <c r="A16" t="s">
        <v>686</v>
      </c>
      <c r="H16" s="11">
        <v>72</v>
      </c>
      <c r="I16" s="11">
        <v>117</v>
      </c>
      <c r="K16" s="193"/>
      <c r="L16" s="187"/>
      <c r="M16" s="382"/>
    </row>
  </sheetData>
  <mergeCells count="3">
    <mergeCell ref="E3:F3"/>
    <mergeCell ref="H3:I3"/>
    <mergeCell ref="L3:M3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772F-7CCC-4C07-ABF1-D89E6275967E}">
  <dimension ref="C2:G10"/>
  <sheetViews>
    <sheetView showGridLines="0" zoomScale="99" zoomScaleNormal="130" workbookViewId="0">
      <selection activeCell="E17" sqref="E17"/>
    </sheetView>
  </sheetViews>
  <sheetFormatPr defaultRowHeight="14.5"/>
  <cols>
    <col min="3" max="3" width="21.81640625" bestFit="1" customWidth="1"/>
    <col min="4" max="4" width="6.54296875" bestFit="1" customWidth="1"/>
    <col min="5" max="5" width="9.453125" bestFit="1" customWidth="1"/>
    <col min="6" max="6" width="6.54296875" bestFit="1" customWidth="1"/>
  </cols>
  <sheetData>
    <row r="2" spans="3:7">
      <c r="C2" s="389" t="s">
        <v>696</v>
      </c>
      <c r="D2" s="389" t="s">
        <v>510</v>
      </c>
      <c r="E2" s="389" t="s">
        <v>702</v>
      </c>
      <c r="F2" s="389" t="s">
        <v>509</v>
      </c>
    </row>
    <row r="3" spans="3:7">
      <c r="C3" t="str">
        <f>'Input Sheet (FFA)'!B6</f>
        <v>Perpetual Growth</v>
      </c>
      <c r="D3">
        <f>'Input Sheet (FFA)'!H6</f>
        <v>70.25</v>
      </c>
      <c r="E3" s="388">
        <f>F3-D3</f>
        <v>22.299999999999997</v>
      </c>
      <c r="F3" s="10">
        <f>'Input Sheet (FFA)'!I6</f>
        <v>92.55</v>
      </c>
    </row>
    <row r="4" spans="3:7">
      <c r="C4" t="s">
        <v>433</v>
      </c>
      <c r="D4">
        <f>'Input Sheet (FFA)'!H7</f>
        <v>121.05</v>
      </c>
      <c r="E4" s="388">
        <f t="shared" ref="E4:E8" si="0">F4-D4</f>
        <v>12.970000000000013</v>
      </c>
      <c r="F4" s="10">
        <f>'Input Sheet (FFA)'!I7</f>
        <v>134.02000000000001</v>
      </c>
    </row>
    <row r="5" spans="3:7">
      <c r="C5" t="s">
        <v>703</v>
      </c>
      <c r="D5">
        <f ca="1">'Input Sheet (FFA)'!H10</f>
        <v>149.05652690534376</v>
      </c>
      <c r="E5" s="388">
        <f t="shared" ca="1" si="0"/>
        <v>35.249723925383023</v>
      </c>
      <c r="F5">
        <f ca="1">'Input Sheet (FFA)'!I10</f>
        <v>184.30625083072678</v>
      </c>
    </row>
    <row r="6" spans="3:7">
      <c r="C6" t="s">
        <v>704</v>
      </c>
      <c r="D6">
        <f ca="1">'Input Sheet (FFA)'!H11</f>
        <v>148.05373806217128</v>
      </c>
      <c r="E6" s="388">
        <f t="shared" ca="1" si="0"/>
        <v>35.026881960233538</v>
      </c>
      <c r="F6">
        <f ca="1">'Input Sheet (FFA)'!I11</f>
        <v>183.08062002240482</v>
      </c>
    </row>
    <row r="7" spans="3:7">
      <c r="C7" t="str">
        <f>'Input Sheet (FFA)'!A14</f>
        <v>Market Consensus</v>
      </c>
      <c r="D7" s="11">
        <f>'Input Sheet (FFA)'!H14</f>
        <v>76</v>
      </c>
      <c r="E7" s="388">
        <f t="shared" si="0"/>
        <v>49</v>
      </c>
      <c r="F7" s="11">
        <f>'Input Sheet (FFA)'!I14</f>
        <v>125</v>
      </c>
    </row>
    <row r="8" spans="3:7">
      <c r="C8" t="str">
        <f>'Input Sheet (FFA)'!A16</f>
        <v>52 week range</v>
      </c>
      <c r="D8" s="11">
        <f>'Input Sheet (FFA)'!H16</f>
        <v>72</v>
      </c>
      <c r="E8" s="388">
        <f t="shared" si="0"/>
        <v>45</v>
      </c>
      <c r="F8" s="11">
        <f>'Input Sheet (FFA)'!I16</f>
        <v>117</v>
      </c>
    </row>
    <row r="9" spans="3:7">
      <c r="C9" s="386" t="s">
        <v>701</v>
      </c>
      <c r="D9" s="391">
        <v>112.55</v>
      </c>
      <c r="E9" s="386"/>
      <c r="F9" s="391">
        <v>112.55</v>
      </c>
      <c r="G9" t="s">
        <v>706</v>
      </c>
    </row>
    <row r="10" spans="3:7">
      <c r="C10" s="386" t="s">
        <v>700</v>
      </c>
      <c r="D10" s="386">
        <v>70.25</v>
      </c>
      <c r="E10" s="386"/>
      <c r="F10" s="387">
        <v>184.3</v>
      </c>
      <c r="G10" t="s">
        <v>705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Revenue Segment</vt:lpstr>
      <vt:lpstr>IS</vt:lpstr>
      <vt:lpstr>FAS</vt:lpstr>
      <vt:lpstr>DS</vt:lpstr>
      <vt:lpstr>Dupont Analysis</vt:lpstr>
      <vt:lpstr>Ratio Analysis</vt:lpstr>
      <vt:lpstr>BS</vt:lpstr>
      <vt:lpstr>CFS</vt:lpstr>
      <vt:lpstr>FCFF</vt:lpstr>
      <vt:lpstr>WACC</vt:lpstr>
      <vt:lpstr>Regression Beta</vt:lpstr>
      <vt:lpstr>UB &amp; LB</vt:lpstr>
      <vt:lpstr>Valuation </vt:lpstr>
      <vt:lpstr>Output</vt:lpstr>
      <vt:lpstr>Chipotle</vt:lpstr>
      <vt:lpstr>YumBrands</vt:lpstr>
      <vt:lpstr>Darden</vt:lpstr>
      <vt:lpstr>Dominos</vt:lpstr>
      <vt:lpstr>Cava</vt:lpstr>
      <vt:lpstr>Input Sheet (FFA)</vt:lpstr>
      <vt:lpstr>Football Field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Kohli</dc:creator>
  <cp:lastModifiedBy>Ritika Kohli</cp:lastModifiedBy>
  <dcterms:created xsi:type="dcterms:W3CDTF">2024-12-12T21:20:33Z</dcterms:created>
  <dcterms:modified xsi:type="dcterms:W3CDTF">2025-03-19T15:39:32Z</dcterms:modified>
</cp:coreProperties>
</file>