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BME\MikMak\"/>
    </mc:Choice>
  </mc:AlternateContent>
  <xr:revisionPtr revIDLastSave="0" documentId="13_ncr:1_{7717645E-D888-4FF1-9B34-2F64A7DE7FC3}" xr6:coauthVersionLast="45" xr6:coauthVersionMax="45" xr10:uidLastSave="{00000000-0000-0000-0000-000000000000}"/>
  <bookViews>
    <workbookView xWindow="-120" yWindow="-120" windowWidth="29040" windowHeight="15840" firstSheet="5" activeTab="3" xr2:uid="{00000000-000D-0000-FFFF-FFFF00000000}"/>
  </bookViews>
  <sheets>
    <sheet name="KeresletKínálat" sheetId="1" r:id="rId1"/>
    <sheet name="Bevételmaximalizálás" sheetId="2" r:id="rId2"/>
    <sheet name="Optimalizált helyzet" sheetId="3" r:id="rId3"/>
    <sheet name="Vállalatok száma" sheetId="4" r:id="rId4"/>
    <sheet name="Árbevétel" sheetId="5" r:id="rId5"/>
    <sheet name="Éves jövedelem" sheetId="6" r:id="rId6"/>
    <sheet name="Határköltség" sheetId="7" r:id="rId7"/>
    <sheet name="Kereslet rugalmasság" sheetId="8" r:id="rId8"/>
    <sheet name="Ívrugalmasság" sheetId="9" r:id="rId9"/>
    <sheet name="Pénzteremtés" sheetId="10" r:id="rId10"/>
    <sheet name="EPIC pénzteremtés" sheetId="11" r:id="rId11"/>
    <sheet name="EPIC államosítás" sheetId="12" r:id="rId12"/>
    <sheet name="EPIC GDP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  <c r="B10" i="2"/>
  <c r="F61" i="13"/>
  <c r="E61" i="13"/>
  <c r="D61" i="13"/>
  <c r="B61" i="13" s="1"/>
  <c r="C61" i="13"/>
  <c r="F60" i="13"/>
  <c r="E60" i="13"/>
  <c r="D60" i="13"/>
  <c r="F59" i="13"/>
  <c r="E59" i="13"/>
  <c r="B59" i="13" s="1"/>
  <c r="D59" i="13"/>
  <c r="C59" i="13" s="1"/>
  <c r="F55" i="13"/>
  <c r="C55" i="13" s="1"/>
  <c r="J16" i="13" s="1"/>
  <c r="E55" i="13"/>
  <c r="D55" i="13"/>
  <c r="B55" i="13"/>
  <c r="F54" i="13"/>
  <c r="E54" i="13"/>
  <c r="D54" i="13"/>
  <c r="B54" i="13" s="1"/>
  <c r="C54" i="13"/>
  <c r="J11" i="13" s="1"/>
  <c r="F53" i="13"/>
  <c r="E53" i="13"/>
  <c r="B53" i="13" s="1"/>
  <c r="D53" i="13"/>
  <c r="C53" i="13" s="1"/>
  <c r="G49" i="13"/>
  <c r="F49" i="13"/>
  <c r="C49" i="13" s="1"/>
  <c r="E49" i="13"/>
  <c r="D49" i="13"/>
  <c r="G48" i="13"/>
  <c r="F48" i="13"/>
  <c r="E48" i="13"/>
  <c r="D48" i="13"/>
  <c r="G47" i="13"/>
  <c r="F47" i="13"/>
  <c r="C47" i="13" s="1"/>
  <c r="E47" i="13"/>
  <c r="D47" i="13"/>
  <c r="G46" i="13"/>
  <c r="F46" i="13"/>
  <c r="E46" i="13"/>
  <c r="B46" i="13" s="1"/>
  <c r="D46" i="13"/>
  <c r="C46" i="13" s="1"/>
  <c r="I12" i="13" s="1"/>
  <c r="G42" i="13"/>
  <c r="F42" i="13"/>
  <c r="C42" i="13" s="1"/>
  <c r="E42" i="13"/>
  <c r="D42" i="13"/>
  <c r="B42" i="13"/>
  <c r="G41" i="13"/>
  <c r="F41" i="13"/>
  <c r="E41" i="13"/>
  <c r="D41" i="13"/>
  <c r="G40" i="13"/>
  <c r="F40" i="13"/>
  <c r="C40" i="13" s="1"/>
  <c r="H10" i="13" s="1"/>
  <c r="E40" i="13"/>
  <c r="D40" i="13"/>
  <c r="B40" i="13"/>
  <c r="G39" i="13"/>
  <c r="F39" i="13"/>
  <c r="E39" i="13"/>
  <c r="B39" i="13" s="1"/>
  <c r="D39" i="13"/>
  <c r="C39" i="13" s="1"/>
  <c r="F35" i="13"/>
  <c r="E35" i="13"/>
  <c r="B35" i="13" s="1"/>
  <c r="D35" i="13"/>
  <c r="C35" i="13" s="1"/>
  <c r="G4" i="13" s="1"/>
  <c r="F34" i="13"/>
  <c r="C34" i="13" s="1"/>
  <c r="E34" i="13"/>
  <c r="D34" i="13"/>
  <c r="B34" i="13"/>
  <c r="F33" i="13"/>
  <c r="E33" i="13"/>
  <c r="D33" i="13"/>
  <c r="C33" i="13"/>
  <c r="G10" i="13" s="1"/>
  <c r="B33" i="13"/>
  <c r="F29" i="13"/>
  <c r="E29" i="13"/>
  <c r="D29" i="13"/>
  <c r="F28" i="13"/>
  <c r="E28" i="13"/>
  <c r="D28" i="13"/>
  <c r="C28" i="13" s="1"/>
  <c r="F5" i="13" s="1"/>
  <c r="B28" i="13"/>
  <c r="F27" i="13"/>
  <c r="C27" i="13" s="1"/>
  <c r="E27" i="13"/>
  <c r="D27" i="13"/>
  <c r="B27" i="13"/>
  <c r="F23" i="13"/>
  <c r="E23" i="13"/>
  <c r="D23" i="13"/>
  <c r="B23" i="13" s="1"/>
  <c r="C23" i="13"/>
  <c r="E16" i="13" s="1"/>
  <c r="F22" i="13"/>
  <c r="E22" i="13"/>
  <c r="D22" i="13"/>
  <c r="F21" i="13"/>
  <c r="E21" i="13"/>
  <c r="B21" i="13" s="1"/>
  <c r="D21" i="13"/>
  <c r="K16" i="13"/>
  <c r="C16" i="13"/>
  <c r="K15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H81" i="12"/>
  <c r="G81" i="12"/>
  <c r="F81" i="12"/>
  <c r="E81" i="12"/>
  <c r="D81" i="12"/>
  <c r="H80" i="12"/>
  <c r="G80" i="12"/>
  <c r="F80" i="12"/>
  <c r="E80" i="12"/>
  <c r="D80" i="12"/>
  <c r="H79" i="12"/>
  <c r="G79" i="12"/>
  <c r="F79" i="12"/>
  <c r="E79" i="12"/>
  <c r="D79" i="12"/>
  <c r="B79" i="12" s="1"/>
  <c r="J14" i="12" s="1"/>
  <c r="C79" i="12"/>
  <c r="H78" i="12"/>
  <c r="G78" i="12"/>
  <c r="F78" i="12"/>
  <c r="C78" i="12" s="1"/>
  <c r="E78" i="12"/>
  <c r="D78" i="12"/>
  <c r="H77" i="12"/>
  <c r="G77" i="12"/>
  <c r="F77" i="12"/>
  <c r="E77" i="12"/>
  <c r="D77" i="12"/>
  <c r="I73" i="12"/>
  <c r="H73" i="12"/>
  <c r="G73" i="12"/>
  <c r="F73" i="12"/>
  <c r="E73" i="12"/>
  <c r="D73" i="12"/>
  <c r="I72" i="12"/>
  <c r="H72" i="12"/>
  <c r="G72" i="12"/>
  <c r="F72" i="12"/>
  <c r="E72" i="12"/>
  <c r="D72" i="12"/>
  <c r="I71" i="12"/>
  <c r="H71" i="12"/>
  <c r="G71" i="12"/>
  <c r="F71" i="12"/>
  <c r="E71" i="12"/>
  <c r="D71" i="12"/>
  <c r="I70" i="12"/>
  <c r="H70" i="12"/>
  <c r="G70" i="12"/>
  <c r="F70" i="12"/>
  <c r="E70" i="12"/>
  <c r="D70" i="12"/>
  <c r="I69" i="12"/>
  <c r="H69" i="12"/>
  <c r="G69" i="12"/>
  <c r="B69" i="12" s="1"/>
  <c r="F69" i="12"/>
  <c r="E69" i="12"/>
  <c r="C69" i="12" s="1"/>
  <c r="D69" i="12"/>
  <c r="I68" i="12"/>
  <c r="H68" i="12"/>
  <c r="G68" i="12"/>
  <c r="F68" i="12"/>
  <c r="E68" i="12"/>
  <c r="C68" i="12" s="1"/>
  <c r="D68" i="12"/>
  <c r="F64" i="12"/>
  <c r="E64" i="12"/>
  <c r="D64" i="12"/>
  <c r="C64" i="12" s="1"/>
  <c r="B64" i="12"/>
  <c r="F63" i="12"/>
  <c r="E63" i="12"/>
  <c r="D63" i="12"/>
  <c r="B63" i="12" s="1"/>
  <c r="C63" i="12"/>
  <c r="H16" i="12" s="1"/>
  <c r="F62" i="12"/>
  <c r="E62" i="12"/>
  <c r="D62" i="12"/>
  <c r="C62" i="12" s="1"/>
  <c r="H11" i="12" s="1"/>
  <c r="B62" i="12"/>
  <c r="I58" i="12"/>
  <c r="H58" i="12"/>
  <c r="G58" i="12"/>
  <c r="F58" i="12"/>
  <c r="E58" i="12"/>
  <c r="D58" i="12"/>
  <c r="I57" i="12"/>
  <c r="H57" i="12"/>
  <c r="G57" i="12"/>
  <c r="F57" i="12"/>
  <c r="E57" i="12"/>
  <c r="D57" i="12"/>
  <c r="I56" i="12"/>
  <c r="H56" i="12"/>
  <c r="G56" i="12"/>
  <c r="F56" i="12"/>
  <c r="E56" i="12"/>
  <c r="D56" i="12"/>
  <c r="I55" i="12"/>
  <c r="H55" i="12"/>
  <c r="G55" i="12"/>
  <c r="F55" i="12"/>
  <c r="E55" i="12"/>
  <c r="D55" i="12"/>
  <c r="I54" i="12"/>
  <c r="H54" i="12"/>
  <c r="G54" i="12"/>
  <c r="F54" i="12"/>
  <c r="E54" i="12"/>
  <c r="D54" i="12"/>
  <c r="C54" i="12" s="1"/>
  <c r="I53" i="12"/>
  <c r="H53" i="12"/>
  <c r="B53" i="12" s="1"/>
  <c r="G53" i="12"/>
  <c r="F53" i="12"/>
  <c r="E53" i="12"/>
  <c r="D53" i="12"/>
  <c r="C53" i="12" s="1"/>
  <c r="G6" i="12" s="1"/>
  <c r="H49" i="12"/>
  <c r="G49" i="12"/>
  <c r="F49" i="12"/>
  <c r="E49" i="12"/>
  <c r="D49" i="12"/>
  <c r="B49" i="12" s="1"/>
  <c r="C49" i="12"/>
  <c r="H48" i="12"/>
  <c r="G48" i="12"/>
  <c r="F48" i="12"/>
  <c r="C48" i="12" s="1"/>
  <c r="E48" i="12"/>
  <c r="D48" i="12"/>
  <c r="B48" i="12"/>
  <c r="H47" i="12"/>
  <c r="G47" i="12"/>
  <c r="F47" i="12"/>
  <c r="E47" i="12"/>
  <c r="D47" i="12"/>
  <c r="H46" i="12"/>
  <c r="G46" i="12"/>
  <c r="F46" i="12"/>
  <c r="E46" i="12"/>
  <c r="D46" i="12"/>
  <c r="C46" i="12" s="1"/>
  <c r="H45" i="12"/>
  <c r="G45" i="12"/>
  <c r="B45" i="12" s="1"/>
  <c r="F45" i="12"/>
  <c r="E45" i="12"/>
  <c r="D45" i="12"/>
  <c r="C45" i="12"/>
  <c r="F17" i="12" s="1"/>
  <c r="H41" i="12"/>
  <c r="G41" i="12"/>
  <c r="F41" i="12"/>
  <c r="C41" i="12" s="1"/>
  <c r="E3" i="12" s="1"/>
  <c r="E41" i="12"/>
  <c r="D41" i="12"/>
  <c r="B41" i="12"/>
  <c r="H40" i="12"/>
  <c r="G40" i="12"/>
  <c r="F40" i="12"/>
  <c r="E40" i="12"/>
  <c r="C40" i="12" s="1"/>
  <c r="D40" i="12"/>
  <c r="H39" i="12"/>
  <c r="G39" i="12"/>
  <c r="F39" i="12"/>
  <c r="E39" i="12"/>
  <c r="D39" i="12"/>
  <c r="B39" i="12"/>
  <c r="H38" i="12"/>
  <c r="G38" i="12"/>
  <c r="F38" i="12"/>
  <c r="E38" i="12"/>
  <c r="D38" i="12"/>
  <c r="C38" i="12" s="1"/>
  <c r="H37" i="12"/>
  <c r="G37" i="12"/>
  <c r="F37" i="12"/>
  <c r="C37" i="12" s="1"/>
  <c r="E12" i="12" s="1"/>
  <c r="E37" i="12"/>
  <c r="D37" i="12"/>
  <c r="B37" i="12"/>
  <c r="B20" i="12"/>
  <c r="C17" i="12"/>
  <c r="C16" i="12"/>
  <c r="C15" i="12"/>
  <c r="C14" i="12"/>
  <c r="C13" i="12"/>
  <c r="C12" i="12"/>
  <c r="C11" i="12"/>
  <c r="I10" i="12"/>
  <c r="H10" i="12"/>
  <c r="C10" i="12"/>
  <c r="C9" i="12"/>
  <c r="C8" i="12"/>
  <c r="C7" i="12"/>
  <c r="C6" i="12"/>
  <c r="C5" i="12"/>
  <c r="C4" i="12"/>
  <c r="C3" i="12"/>
  <c r="F54" i="11"/>
  <c r="E54" i="11"/>
  <c r="C54" i="11" s="1"/>
  <c r="D54" i="11"/>
  <c r="F53" i="11"/>
  <c r="C53" i="11" s="1"/>
  <c r="L9" i="11" s="1"/>
  <c r="E53" i="11"/>
  <c r="D53" i="11"/>
  <c r="B53" i="11"/>
  <c r="F52" i="11"/>
  <c r="E52" i="11"/>
  <c r="B52" i="11" s="1"/>
  <c r="D52" i="11"/>
  <c r="C52" i="11"/>
  <c r="L7" i="11" s="1"/>
  <c r="F49" i="11"/>
  <c r="E49" i="11"/>
  <c r="D49" i="11"/>
  <c r="C49" i="11" s="1"/>
  <c r="B49" i="11"/>
  <c r="F48" i="11"/>
  <c r="E48" i="11"/>
  <c r="D48" i="11"/>
  <c r="C48" i="11"/>
  <c r="K3" i="11" s="1"/>
  <c r="B48" i="11"/>
  <c r="F47" i="11"/>
  <c r="E47" i="11"/>
  <c r="D47" i="11"/>
  <c r="C47" i="11" s="1"/>
  <c r="K5" i="11" s="1"/>
  <c r="B47" i="11"/>
  <c r="F44" i="11"/>
  <c r="E44" i="11"/>
  <c r="C44" i="11" s="1"/>
  <c r="D44" i="11"/>
  <c r="F43" i="11"/>
  <c r="B43" i="11" s="1"/>
  <c r="E43" i="11"/>
  <c r="D43" i="11"/>
  <c r="F42" i="11"/>
  <c r="E42" i="11"/>
  <c r="C42" i="11" s="1"/>
  <c r="J5" i="11" s="1"/>
  <c r="D42" i="11"/>
  <c r="G38" i="11"/>
  <c r="F38" i="11"/>
  <c r="C38" i="11" s="1"/>
  <c r="I5" i="11" s="1"/>
  <c r="E38" i="11"/>
  <c r="D38" i="11"/>
  <c r="B38" i="11"/>
  <c r="G37" i="11"/>
  <c r="F37" i="11"/>
  <c r="E37" i="11"/>
  <c r="D37" i="11"/>
  <c r="C37" i="11" s="1"/>
  <c r="G36" i="11"/>
  <c r="F36" i="11"/>
  <c r="C36" i="11" s="1"/>
  <c r="I4" i="11" s="1"/>
  <c r="E36" i="11"/>
  <c r="D36" i="11"/>
  <c r="B36" i="11"/>
  <c r="G35" i="11"/>
  <c r="F35" i="11"/>
  <c r="E35" i="11"/>
  <c r="D35" i="11"/>
  <c r="C35" i="11" s="1"/>
  <c r="B35" i="11"/>
  <c r="C34" i="11"/>
  <c r="F32" i="11"/>
  <c r="E32" i="11"/>
  <c r="D32" i="11"/>
  <c r="C32" i="11" s="1"/>
  <c r="F31" i="11"/>
  <c r="E31" i="11"/>
  <c r="C31" i="11" s="1"/>
  <c r="H7" i="11" s="1"/>
  <c r="D31" i="11"/>
  <c r="B31" i="11" s="1"/>
  <c r="F30" i="11"/>
  <c r="E30" i="11"/>
  <c r="B30" i="11" s="1"/>
  <c r="D30" i="11"/>
  <c r="F27" i="11"/>
  <c r="E27" i="11"/>
  <c r="C27" i="11" s="1"/>
  <c r="D27" i="11"/>
  <c r="F26" i="11"/>
  <c r="B26" i="11" s="1"/>
  <c r="E26" i="11"/>
  <c r="D26" i="11"/>
  <c r="F25" i="11"/>
  <c r="E25" i="11"/>
  <c r="B25" i="11" s="1"/>
  <c r="D25" i="11"/>
  <c r="C25" i="11"/>
  <c r="F22" i="11"/>
  <c r="E22" i="11"/>
  <c r="D22" i="11"/>
  <c r="C22" i="11" s="1"/>
  <c r="B22" i="11"/>
  <c r="F21" i="11"/>
  <c r="E21" i="11"/>
  <c r="D21" i="11"/>
  <c r="C21" i="11"/>
  <c r="F4" i="11" s="1"/>
  <c r="B21" i="11"/>
  <c r="F20" i="11"/>
  <c r="E20" i="11"/>
  <c r="D20" i="11"/>
  <c r="C20" i="11" s="1"/>
  <c r="F8" i="11" s="1"/>
  <c r="B20" i="11"/>
  <c r="C11" i="11"/>
  <c r="G10" i="11"/>
  <c r="C10" i="11"/>
  <c r="C9" i="11"/>
  <c r="C8" i="11"/>
  <c r="C7" i="11"/>
  <c r="F6" i="11"/>
  <c r="C6" i="11"/>
  <c r="C5" i="11"/>
  <c r="C4" i="11"/>
  <c r="C3" i="11"/>
  <c r="B13" i="10"/>
  <c r="B9" i="10"/>
  <c r="C8" i="10"/>
  <c r="B8" i="10" s="1"/>
  <c r="C2" i="10" s="1"/>
  <c r="C6" i="10"/>
  <c r="C5" i="10"/>
  <c r="B6" i="10" s="1"/>
  <c r="B16" i="10" s="1"/>
  <c r="B5" i="10"/>
  <c r="B2" i="10"/>
  <c r="B11" i="9"/>
  <c r="B8" i="9"/>
  <c r="B10" i="9" s="1"/>
  <c r="B9" i="8"/>
  <c r="B15" i="8" s="1"/>
  <c r="B8" i="8"/>
  <c r="B14" i="8" s="1"/>
  <c r="B8" i="7"/>
  <c r="B7" i="7"/>
  <c r="B22" i="6"/>
  <c r="B21" i="6"/>
  <c r="B20" i="6"/>
  <c r="B19" i="6"/>
  <c r="B18" i="6"/>
  <c r="B17" i="6"/>
  <c r="B16" i="6"/>
  <c r="B15" i="6"/>
  <c r="B14" i="6"/>
  <c r="B13" i="6"/>
  <c r="C12" i="4"/>
  <c r="B12" i="4"/>
  <c r="E5" i="4"/>
  <c r="D5" i="4"/>
  <c r="C5" i="4"/>
  <c r="D4" i="4"/>
  <c r="C4" i="4"/>
  <c r="D7" i="3"/>
  <c r="D8" i="3" s="1"/>
  <c r="C7" i="3"/>
  <c r="D6" i="3"/>
  <c r="C6" i="3"/>
  <c r="B7" i="2"/>
  <c r="D6" i="2"/>
  <c r="C7" i="2" s="1"/>
  <c r="B9" i="2" s="1"/>
  <c r="C6" i="2"/>
  <c r="B53" i="1"/>
  <c r="B52" i="1"/>
  <c r="B45" i="1"/>
  <c r="B44" i="1"/>
  <c r="B37" i="1"/>
  <c r="B31" i="1"/>
  <c r="B30" i="1"/>
  <c r="B16" i="1"/>
  <c r="B20" i="1" s="1"/>
  <c r="B22" i="1" s="1"/>
  <c r="B15" i="1"/>
  <c r="B8" i="1"/>
  <c r="B9" i="1" s="1"/>
  <c r="B7" i="6"/>
  <c r="B13" i="4" l="1"/>
  <c r="B14" i="4" s="1"/>
  <c r="B32" i="1"/>
  <c r="B19" i="1"/>
  <c r="B21" i="1" s="1"/>
  <c r="B55" i="1"/>
  <c r="B46" i="1"/>
  <c r="B54" i="1"/>
  <c r="B18" i="1"/>
  <c r="B25" i="1"/>
  <c r="B17" i="1"/>
  <c r="B23" i="1"/>
  <c r="B11" i="2"/>
  <c r="E8" i="12"/>
  <c r="E6" i="12"/>
  <c r="L3" i="11"/>
  <c r="C55" i="12"/>
  <c r="B55" i="12"/>
  <c r="C57" i="12"/>
  <c r="G15" i="12" s="1"/>
  <c r="B57" i="12"/>
  <c r="C29" i="13"/>
  <c r="B29" i="13"/>
  <c r="C41" i="13"/>
  <c r="H6" i="13" s="1"/>
  <c r="B41" i="13"/>
  <c r="C8" i="3"/>
  <c r="B8" i="3" s="1"/>
  <c r="B12" i="3"/>
  <c r="C26" i="11"/>
  <c r="G3" i="11" s="1"/>
  <c r="B27" i="11"/>
  <c r="G5" i="11" s="1"/>
  <c r="B54" i="11"/>
  <c r="C70" i="12"/>
  <c r="I3" i="12" s="1"/>
  <c r="B70" i="12"/>
  <c r="C77" i="12"/>
  <c r="B77" i="12"/>
  <c r="C80" i="12"/>
  <c r="J15" i="12" s="1"/>
  <c r="B80" i="12"/>
  <c r="C22" i="13"/>
  <c r="B22" i="13"/>
  <c r="B47" i="13"/>
  <c r="C60" i="13"/>
  <c r="B60" i="13"/>
  <c r="B47" i="1"/>
  <c r="B32" i="11"/>
  <c r="H6" i="11" s="1"/>
  <c r="C39" i="12"/>
  <c r="E13" i="12" s="1"/>
  <c r="B46" i="12"/>
  <c r="F9" i="12" s="1"/>
  <c r="F12" i="12"/>
  <c r="B54" i="12"/>
  <c r="G7" i="12" s="1"/>
  <c r="C56" i="12"/>
  <c r="B56" i="12"/>
  <c r="C58" i="12"/>
  <c r="G5" i="12" s="1"/>
  <c r="B58" i="12"/>
  <c r="C21" i="13"/>
  <c r="E13" i="13" s="1"/>
  <c r="C48" i="13"/>
  <c r="B48" i="13"/>
  <c r="B49" i="13"/>
  <c r="I9" i="13" s="1"/>
  <c r="C47" i="12"/>
  <c r="B47" i="12"/>
  <c r="I11" i="13"/>
  <c r="B24" i="1"/>
  <c r="B10" i="1"/>
  <c r="B38" i="1"/>
  <c r="B39" i="1" s="1"/>
  <c r="B10" i="8"/>
  <c r="C3" i="10"/>
  <c r="I3" i="11"/>
  <c r="K11" i="11"/>
  <c r="C72" i="12"/>
  <c r="I5" i="12" s="1"/>
  <c r="B72" i="12"/>
  <c r="B78" i="12"/>
  <c r="J13" i="12" s="1"/>
  <c r="B11" i="1"/>
  <c r="B12" i="1" s="1"/>
  <c r="B9" i="9"/>
  <c r="C30" i="11"/>
  <c r="H9" i="11" s="1"/>
  <c r="B37" i="11"/>
  <c r="I6" i="11" s="1"/>
  <c r="C43" i="11"/>
  <c r="J7" i="11" s="1"/>
  <c r="B44" i="11"/>
  <c r="J4" i="11" s="1"/>
  <c r="B38" i="12"/>
  <c r="B40" i="12"/>
  <c r="F7" i="12"/>
  <c r="B68" i="12"/>
  <c r="I17" i="12" s="1"/>
  <c r="C71" i="12"/>
  <c r="B71" i="12"/>
  <c r="C73" i="12"/>
  <c r="B73" i="12"/>
  <c r="C81" i="12"/>
  <c r="B81" i="12"/>
  <c r="F10" i="13"/>
  <c r="G3" i="13"/>
  <c r="H11" i="13"/>
  <c r="H7" i="13"/>
  <c r="J14" i="13"/>
  <c r="B11" i="3" l="1"/>
  <c r="B10" i="3"/>
  <c r="B9" i="3"/>
  <c r="B11" i="8"/>
  <c r="C10" i="8"/>
  <c r="B12" i="8"/>
  <c r="I8" i="13"/>
  <c r="F14" i="12"/>
  <c r="G9" i="12"/>
  <c r="K12" i="13"/>
  <c r="E10" i="13"/>
  <c r="J4" i="12"/>
  <c r="F7" i="13"/>
  <c r="G8" i="12"/>
  <c r="I11" i="12"/>
  <c r="J16" i="12"/>
  <c r="I4" i="12"/>
  <c r="B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900-000001000000}">
      <text>
        <r>
          <rPr>
            <sz val="10"/>
            <color rgb="FF000000"/>
            <rFont val="Arial"/>
          </rPr>
          <t>M = H
M = KP + LB</t>
        </r>
      </text>
    </comment>
    <comment ref="D5" authorId="0" shapeId="0" xr:uid="{00000000-0006-0000-0900-000002000000}">
      <text>
        <r>
          <rPr>
            <sz val="10"/>
            <color rgb="FF000000"/>
            <rFont val="Arial"/>
          </rPr>
          <t>LB = M - KP</t>
        </r>
      </text>
    </comment>
    <comment ref="A6" authorId="0" shapeId="0" xr:uid="{00000000-0006-0000-0900-000003000000}">
      <text>
        <r>
          <rPr>
            <sz val="10"/>
            <color rgb="FF000000"/>
            <rFont val="Arial"/>
          </rPr>
          <t>R = REF - KP</t>
        </r>
      </text>
    </comment>
    <comment ref="D6" authorId="0" shapeId="0" xr:uid="{00000000-0006-0000-0900-000004000000}">
      <text>
        <r>
          <rPr>
            <sz val="10"/>
            <color rgb="FF000000"/>
            <rFont val="Arial"/>
          </rPr>
          <t>REF = R + KP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B00-000001000000}">
      <text>
        <r>
          <rPr>
            <sz val="10"/>
            <color rgb="FF000000"/>
            <rFont val="Arial"/>
          </rPr>
          <t>Ha ide kijön egy szám, akkor másold a B oszlopba</t>
        </r>
      </text>
    </comment>
    <comment ref="A6" authorId="0" shapeId="0" xr:uid="{00000000-0006-0000-0B00-000002000000}">
      <text>
        <r>
          <rPr>
            <sz val="10"/>
            <color rgb="FF000000"/>
            <rFont val="Arial"/>
          </rPr>
          <t>Háztartások adója</t>
        </r>
      </text>
    </comment>
    <comment ref="A7" authorId="0" shapeId="0" xr:uid="{00000000-0006-0000-0B00-000003000000}">
      <text>
        <r>
          <rPr>
            <sz val="10"/>
            <color rgb="FF000000"/>
            <rFont val="Arial"/>
          </rPr>
          <t>Vállalatok adója</t>
        </r>
      </text>
    </comment>
    <comment ref="A8" authorId="0" shapeId="0" xr:uid="{00000000-0006-0000-0B00-000004000000}">
      <text>
        <r>
          <rPr>
            <sz val="10"/>
            <color rgb="FF000000"/>
            <rFont val="Arial"/>
          </rPr>
          <t>Állam -&gt; Háztartás
Pl.: Családi pótlék</t>
        </r>
      </text>
    </comment>
    <comment ref="A9" authorId="0" shapeId="0" xr:uid="{00000000-0006-0000-0B00-000005000000}">
      <text>
        <r>
          <rPr>
            <sz val="10"/>
            <color rgb="FF000000"/>
            <rFont val="Arial"/>
          </rPr>
          <t>Állam -&gt; Vállalat</t>
        </r>
      </text>
    </comment>
    <comment ref="A12" authorId="0" shapeId="0" xr:uid="{00000000-0006-0000-0B00-000006000000}">
      <text>
        <r>
          <rPr>
            <sz val="10"/>
            <color rgb="FF000000"/>
            <rFont val="Arial"/>
          </rPr>
          <t>Munkabér kifizetés</t>
        </r>
      </text>
    </comment>
    <comment ref="A13" authorId="0" shapeId="0" xr:uid="{00000000-0006-0000-0B00-000007000000}">
      <text>
        <r>
          <rPr>
            <sz val="10"/>
            <color rgb="FF000000"/>
            <rFont val="Arial"/>
          </rPr>
          <t>Háztartási elszivárgás
Pl.: megtakarítás</t>
        </r>
      </text>
    </comment>
    <comment ref="A14" authorId="0" shapeId="0" xr:uid="{00000000-0006-0000-0B00-000008000000}">
      <text>
        <r>
          <rPr>
            <sz val="10"/>
            <color rgb="FF000000"/>
            <rFont val="Arial"/>
          </rPr>
          <t>Vállalati elszivárgás</t>
        </r>
      </text>
    </comment>
    <comment ref="A15" authorId="0" shapeId="0" xr:uid="{00000000-0006-0000-0B00-000009000000}">
      <text>
        <r>
          <rPr>
            <sz val="10"/>
            <color rgb="FF000000"/>
            <rFont val="Arial"/>
          </rPr>
          <t>Állami elszivárgás</t>
        </r>
      </text>
    </comment>
    <comment ref="A16" authorId="0" shapeId="0" xr:uid="{00000000-0006-0000-0B00-00000A000000}">
      <text>
        <r>
          <rPr>
            <sz val="10"/>
            <color rgb="FF000000"/>
            <rFont val="Arial"/>
          </rPr>
          <t>Külföldi elszivárgás</t>
        </r>
      </text>
    </comment>
  </commentList>
</comments>
</file>

<file path=xl/sharedStrings.xml><?xml version="1.0" encoding="utf-8"?>
<sst xmlns="http://schemas.openxmlformats.org/spreadsheetml/2006/main" count="393" uniqueCount="197">
  <si>
    <t>p</t>
  </si>
  <si>
    <t>szám</t>
  </si>
  <si>
    <t>Példák</t>
  </si>
  <si>
    <t>Kereslet(Q)</t>
  </si>
  <si>
    <r>
      <t>Q=6500-10</t>
    </r>
    <r>
      <rPr>
        <b/>
        <sz val="10"/>
        <rFont val="Arial"/>
      </rPr>
      <t>p</t>
    </r>
  </si>
  <si>
    <t>Kínálat(Q)</t>
  </si>
  <si>
    <r>
      <t>Q=20</t>
    </r>
    <r>
      <rPr>
        <b/>
        <sz val="10"/>
        <rFont val="Arial"/>
      </rPr>
      <t>p</t>
    </r>
    <r>
      <rPr>
        <sz val="10"/>
        <color rgb="FF000000"/>
        <rFont val="Arial"/>
      </rPr>
      <t>-1000</t>
    </r>
  </si>
  <si>
    <t>Egyensúlyi pontban</t>
  </si>
  <si>
    <t>Egyensúlyi Ár(p)</t>
  </si>
  <si>
    <t>Egyensúlyi Mennyiség(Q)</t>
  </si>
  <si>
    <t>&lt;&lt; Ezzel felülírható</t>
  </si>
  <si>
    <t>Kínálat rugalmasság(ES)</t>
  </si>
  <si>
    <t>Kereslet rugalmasság(ED)</t>
  </si>
  <si>
    <t>Megállapítás</t>
  </si>
  <si>
    <t>Mennyiségi adó(t)</t>
  </si>
  <si>
    <t>Adóztatás utáni ár</t>
  </si>
  <si>
    <t>Adózás utáni mennyiség</t>
  </si>
  <si>
    <t>Eredeti ár</t>
  </si>
  <si>
    <t>Holtteherveszteség</t>
  </si>
  <si>
    <t>Pb</t>
  </si>
  <si>
    <t>Pn</t>
  </si>
  <si>
    <t>Fogyasztói többlet</t>
  </si>
  <si>
    <t>Termék többlet</t>
  </si>
  <si>
    <t>Adó</t>
  </si>
  <si>
    <t>Eredeti fogyasztói többlet(FT)</t>
  </si>
  <si>
    <t>Eredeti termelői többlet(TT)</t>
  </si>
  <si>
    <t>Túlkínálat/Túlhiány</t>
  </si>
  <si>
    <t>Ár(p)</t>
  </si>
  <si>
    <t>Ármódosulás</t>
  </si>
  <si>
    <t>Árrugalmasság</t>
  </si>
  <si>
    <t>Ármaximálás</t>
  </si>
  <si>
    <t>Maximális Ár(PMax)</t>
  </si>
  <si>
    <t>QD</t>
  </si>
  <si>
    <t>QS</t>
  </si>
  <si>
    <t>Túlkereslet</t>
  </si>
  <si>
    <t>Árminimálás</t>
  </si>
  <si>
    <t>Minimális Ár(PMin)</t>
  </si>
  <si>
    <t>Túlkínálat</t>
  </si>
  <si>
    <t>P</t>
  </si>
  <si>
    <t>Szám</t>
  </si>
  <si>
    <t>Q^2</t>
  </si>
  <si>
    <t>Q</t>
  </si>
  <si>
    <t>Ár(P)</t>
  </si>
  <si>
    <t>Teljes bevétel(TR)</t>
  </si>
  <si>
    <t>Mennyiség(Q)</t>
  </si>
  <si>
    <t>Teljes költség(TC)</t>
  </si>
  <si>
    <t>TC'</t>
  </si>
  <si>
    <t>Határbevétel(MR)</t>
  </si>
  <si>
    <t>TC'=MR</t>
  </si>
  <si>
    <t>Megváltozott mennyiség(Q1)</t>
  </si>
  <si>
    <t>Holtteher-veszteség(HTV)</t>
  </si>
  <si>
    <t>q^2</t>
  </si>
  <si>
    <t>q</t>
  </si>
  <si>
    <t>1/q</t>
  </si>
  <si>
    <t>Határköltség(MC)</t>
  </si>
  <si>
    <t>https://www.symbolab.com/solver/step-by-step/solve%20for%20q%2C%202q%2B380%3Dq%2B380%2B%5Cfrac%7B2500%7D%7Bq%7D%20</t>
  </si>
  <si>
    <t>TC'=MC</t>
  </si>
  <si>
    <t>// A symbolabos cucli pozitív eredménye</t>
  </si>
  <si>
    <t>Q(p)</t>
  </si>
  <si>
    <t>Vállalatok száma</t>
  </si>
  <si>
    <t>Árbevétel</t>
  </si>
  <si>
    <t>Gazdasági Költség</t>
  </si>
  <si>
    <t>Gazdasági profit</t>
  </si>
  <si>
    <t>Explicit</t>
  </si>
  <si>
    <t>Implicit</t>
  </si>
  <si>
    <t>Amortizáció</t>
  </si>
  <si>
    <t>Normál profit</t>
  </si>
  <si>
    <t>Számviteli költség</t>
  </si>
  <si>
    <t>Számviteli profit</t>
  </si>
  <si>
    <t>Beruházás költsége</t>
  </si>
  <si>
    <t>Év</t>
  </si>
  <si>
    <t>Évente</t>
  </si>
  <si>
    <t>Kamatláb</t>
  </si>
  <si>
    <t>%</t>
  </si>
  <si>
    <t>Éves jövedelem</t>
  </si>
  <si>
    <r>
      <t>Q=0.05</t>
    </r>
    <r>
      <rPr>
        <b/>
        <sz val="10"/>
        <rFont val="Arial"/>
      </rPr>
      <t>p</t>
    </r>
    <r>
      <rPr>
        <sz val="10"/>
        <color rgb="FF000000"/>
        <rFont val="Arial"/>
      </rPr>
      <t>+100</t>
    </r>
  </si>
  <si>
    <r>
      <t>TC=30</t>
    </r>
    <r>
      <rPr>
        <b/>
        <sz val="10"/>
        <rFont val="Arial"/>
      </rPr>
      <t>Q^2</t>
    </r>
    <r>
      <rPr>
        <sz val="10"/>
        <color rgb="FF000000"/>
        <rFont val="Arial"/>
      </rPr>
      <t>+1000</t>
    </r>
    <r>
      <rPr>
        <b/>
        <sz val="10"/>
        <rFont val="Arial"/>
      </rPr>
      <t>Q</t>
    </r>
    <r>
      <rPr>
        <sz val="10"/>
        <color rgb="FF000000"/>
        <rFont val="Arial"/>
      </rPr>
      <t>+5000</t>
    </r>
  </si>
  <si>
    <t>&lt;&lt; Ez a TC derivált</t>
  </si>
  <si>
    <t>Átlagköltség(AC)</t>
  </si>
  <si>
    <t>Kereslet</t>
  </si>
  <si>
    <t>Ár(P0)</t>
  </si>
  <si>
    <t>Ár(P1)</t>
  </si>
  <si>
    <t>Mennyiség(Q0)</t>
  </si>
  <si>
    <t>Mennyiség(Q1)</t>
  </si>
  <si>
    <t>Keresztrugalmasság</t>
  </si>
  <si>
    <t>Bevétel alakulása</t>
  </si>
  <si>
    <t>Kiinduéó árbevétel</t>
  </si>
  <si>
    <t>Új árbevétel</t>
  </si>
  <si>
    <t>pK1</t>
  </si>
  <si>
    <t>pK2</t>
  </si>
  <si>
    <t>QT1</t>
  </si>
  <si>
    <t>QT2</t>
  </si>
  <si>
    <t>Rugalmasság(E)</t>
  </si>
  <si>
    <t>Keresztárrugalmasság</t>
  </si>
  <si>
    <t>Központi bank</t>
  </si>
  <si>
    <t>Ref</t>
  </si>
  <si>
    <t>KP</t>
  </si>
  <si>
    <t>R</t>
  </si>
  <si>
    <t>Kereskedelmi bank</t>
  </si>
  <si>
    <t>H</t>
  </si>
  <si>
    <t>LB</t>
  </si>
  <si>
    <t>REF</t>
  </si>
  <si>
    <t>Nem bank</t>
  </si>
  <si>
    <t>Monetáris bázis(REF)</t>
  </si>
  <si>
    <t>Pénzmultiplikátor(m)</t>
  </si>
  <si>
    <t>REF/LB</t>
  </si>
  <si>
    <t>Kötelező tartalékráta(t)</t>
  </si>
  <si>
    <t>t=R/LB</t>
  </si>
  <si>
    <t>m=H/REF</t>
  </si>
  <si>
    <t>kp 40</t>
  </si>
  <si>
    <t>k=KP/(KP+LB)</t>
  </si>
  <si>
    <t>M 800</t>
  </si>
  <si>
    <t>H+R=LB+REF</t>
  </si>
  <si>
    <t>LB 760</t>
  </si>
  <si>
    <t>M(összes pénz)=KP+LB=H</t>
  </si>
  <si>
    <t>Input</t>
  </si>
  <si>
    <t>Output</t>
  </si>
  <si>
    <t>Keresekedelmi bank hitelállomány(H)</t>
  </si>
  <si>
    <t>Tartalék(R)</t>
  </si>
  <si>
    <t>Látra szóló betét(LB)</t>
  </si>
  <si>
    <t>Kézpénz(KP)</t>
  </si>
  <si>
    <t>Kötelező tartalék(t)</t>
  </si>
  <si>
    <t>Készpénzhányad(k)</t>
  </si>
  <si>
    <t>REF/H</t>
  </si>
  <si>
    <t>OK</t>
  </si>
  <si>
    <t>Nem OK</t>
  </si>
  <si>
    <t>t</t>
  </si>
  <si>
    <t>m</t>
  </si>
  <si>
    <t>k</t>
  </si>
  <si>
    <t>Háztartás</t>
  </si>
  <si>
    <t>Vállalat</t>
  </si>
  <si>
    <t>Állam</t>
  </si>
  <si>
    <t>Külföld</t>
  </si>
  <si>
    <t>Árupiac</t>
  </si>
  <si>
    <t>Tőkepiac</t>
  </si>
  <si>
    <t>Fogyasztás(C)</t>
  </si>
  <si>
    <t>Beruházás(I)</t>
  </si>
  <si>
    <t>Állami kiadások(G)</t>
  </si>
  <si>
    <t>Adó(TH)</t>
  </si>
  <si>
    <t>Adó(Tv)</t>
  </si>
  <si>
    <t>Transzfer juttatás(TRH)</t>
  </si>
  <si>
    <t>Transzfer juttatás(TRV)</t>
  </si>
  <si>
    <t>Import(IM)</t>
  </si>
  <si>
    <t>Export(X)</t>
  </si>
  <si>
    <t>Nominálbér(W)</t>
  </si>
  <si>
    <t>Elszivárgás(SH)</t>
  </si>
  <si>
    <t>Elszivárgás(SV)</t>
  </si>
  <si>
    <t>Elszivárgás(SÁ)</t>
  </si>
  <si>
    <t>Elszivárgás(SK)</t>
  </si>
  <si>
    <t>Jövedelem(Y)(GDP)</t>
  </si>
  <si>
    <t>Árszínvonal ráta(P'/P)</t>
  </si>
  <si>
    <t>Reál GDP</t>
  </si>
  <si>
    <t>Lefele nincs semmi, csak megnézheted, hogy mi hiányzik még az egyenletekből</t>
  </si>
  <si>
    <t>Háztartás W+TRU=SH+TH+C</t>
  </si>
  <si>
    <t>W</t>
  </si>
  <si>
    <t>TRH</t>
  </si>
  <si>
    <t>SH</t>
  </si>
  <si>
    <t>TH</t>
  </si>
  <si>
    <t>C</t>
  </si>
  <si>
    <t>Vállalat Y+TRV=SV+TV+W</t>
  </si>
  <si>
    <t>Y</t>
  </si>
  <si>
    <t>TRV</t>
  </si>
  <si>
    <t>SV</t>
  </si>
  <si>
    <t>TV</t>
  </si>
  <si>
    <t>Jövedelem(Y)</t>
  </si>
  <si>
    <t>Adó(TV)</t>
  </si>
  <si>
    <t>Állam TH+TV=TRH+TRV+SA+G</t>
  </si>
  <si>
    <t>SÁ</t>
  </si>
  <si>
    <t>G</t>
  </si>
  <si>
    <t>Külföld X+SK=IM</t>
  </si>
  <si>
    <t>X</t>
  </si>
  <si>
    <t>SK</t>
  </si>
  <si>
    <t>IM</t>
  </si>
  <si>
    <t>Árupiac Y+IM=C+I+G+X</t>
  </si>
  <si>
    <t>I</t>
  </si>
  <si>
    <t>Tőkepiac I=SH+SV+SÁ+SK</t>
  </si>
  <si>
    <t>NDP</t>
  </si>
  <si>
    <t>GDP</t>
  </si>
  <si>
    <t>GNI</t>
  </si>
  <si>
    <t>GNDI</t>
  </si>
  <si>
    <t>NNI</t>
  </si>
  <si>
    <t>NNDI</t>
  </si>
  <si>
    <t>Bruttó kibocsátás</t>
  </si>
  <si>
    <t>Folyó termelő felhasználás</t>
  </si>
  <si>
    <t>Belföldiek belföldön realizált jövedelme</t>
  </si>
  <si>
    <t>Belföldiek külföldön realizált jövedelme</t>
  </si>
  <si>
    <t>Külföldiek belföldön realizált jövedelme</t>
  </si>
  <si>
    <t>Beáramló transzfer</t>
  </si>
  <si>
    <t>Külföldre utalt transzfer</t>
  </si>
  <si>
    <t>A</t>
  </si>
  <si>
    <t>BBRJ</t>
  </si>
  <si>
    <t>KBRJ</t>
  </si>
  <si>
    <t>BK</t>
  </si>
  <si>
    <t>FTF</t>
  </si>
  <si>
    <t>BKRJ</t>
  </si>
  <si>
    <t>BT</t>
  </si>
  <si>
    <t>KUT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</si>
</sst>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Inconsolata"/>
    </font>
    <font>
      <sz val="11"/>
      <color theme="1"/>
      <name val="Inconsolata"/>
    </font>
    <font>
      <u/>
      <sz val="10"/>
      <color rgb="FF0000FF"/>
      <name val="Arial"/>
    </font>
    <font>
      <sz val="10"/>
      <name val="Arial"/>
    </font>
    <font>
      <sz val="11"/>
      <color rgb="FFF7981D"/>
      <name val="Inconsolata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/>
    <xf numFmtId="0" fontId="2" fillId="3" borderId="0" xfId="0" applyFont="1" applyFill="1" applyAlignment="1"/>
    <xf numFmtId="0" fontId="1" fillId="0" borderId="0" xfId="0" applyFont="1"/>
    <xf numFmtId="0" fontId="3" fillId="3" borderId="0" xfId="0" applyFont="1" applyFill="1"/>
    <xf numFmtId="0" fontId="3" fillId="4" borderId="0" xfId="0" applyFont="1" applyFill="1" applyAlignment="1">
      <alignment horizontal="left"/>
    </xf>
    <xf numFmtId="0" fontId="4" fillId="3" borderId="0" xfId="0" applyFont="1" applyFill="1"/>
    <xf numFmtId="0" fontId="5" fillId="0" borderId="0" xfId="0" applyFont="1" applyAlignment="1"/>
    <xf numFmtId="0" fontId="2" fillId="0" borderId="7" xfId="0" applyFont="1" applyBorder="1" applyAlignment="1">
      <alignment horizontal="center" vertical="center"/>
    </xf>
    <xf numFmtId="0" fontId="3" fillId="4" borderId="0" xfId="0" applyFont="1" applyFill="1" applyAlignment="1">
      <alignment horizontal="left"/>
    </xf>
    <xf numFmtId="0" fontId="2" fillId="0" borderId="0" xfId="0" applyFont="1"/>
    <xf numFmtId="0" fontId="2" fillId="0" borderId="8" xfId="0" applyFont="1" applyBorder="1"/>
    <xf numFmtId="0" fontId="2" fillId="0" borderId="10" xfId="0" applyFont="1" applyBorder="1"/>
    <xf numFmtId="0" fontId="1" fillId="0" borderId="11" xfId="0" applyFont="1" applyBorder="1" applyAlignment="1"/>
    <xf numFmtId="0" fontId="1" fillId="0" borderId="12" xfId="0" applyFont="1" applyBorder="1" applyAlignment="1"/>
    <xf numFmtId="0" fontId="2" fillId="0" borderId="11" xfId="0" applyFont="1" applyBorder="1"/>
    <xf numFmtId="0" fontId="1" fillId="0" borderId="13" xfId="0" applyFont="1" applyBorder="1" applyAlignment="1"/>
    <xf numFmtId="0" fontId="2" fillId="3" borderId="14" xfId="0" applyFont="1" applyFill="1" applyBorder="1"/>
    <xf numFmtId="0" fontId="1" fillId="0" borderId="15" xfId="0" applyFont="1" applyBorder="1" applyAlignment="1"/>
    <xf numFmtId="0" fontId="2" fillId="0" borderId="14" xfId="0" applyFont="1" applyBorder="1"/>
    <xf numFmtId="0" fontId="2" fillId="0" borderId="15" xfId="0" applyFont="1" applyBorder="1"/>
    <xf numFmtId="0" fontId="1" fillId="0" borderId="1" xfId="0" applyFont="1" applyBorder="1" applyAlignment="1"/>
    <xf numFmtId="0" fontId="1" fillId="0" borderId="7" xfId="0" applyFont="1" applyBorder="1" applyAlignment="1"/>
    <xf numFmtId="0" fontId="1" fillId="0" borderId="2" xfId="0" applyFont="1" applyBorder="1" applyAlignment="1"/>
    <xf numFmtId="0" fontId="2" fillId="0" borderId="11" xfId="0" applyFont="1" applyBorder="1" applyAlignment="1"/>
    <xf numFmtId="0" fontId="2" fillId="0" borderId="5" xfId="0" applyFont="1" applyBorder="1"/>
    <xf numFmtId="0" fontId="2" fillId="2" borderId="0" xfId="0" applyFont="1" applyFill="1"/>
    <xf numFmtId="0" fontId="3" fillId="4" borderId="11" xfId="0" applyFont="1" applyFill="1" applyBorder="1"/>
    <xf numFmtId="0" fontId="3" fillId="4" borderId="5" xfId="0" applyFont="1" applyFill="1" applyBorder="1"/>
    <xf numFmtId="0" fontId="2" fillId="0" borderId="13" xfId="0" applyFont="1" applyBorder="1"/>
    <xf numFmtId="0" fontId="3" fillId="4" borderId="6" xfId="0" applyFont="1" applyFill="1" applyBorder="1"/>
    <xf numFmtId="0" fontId="2" fillId="0" borderId="6" xfId="0" applyFont="1" applyBorder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9" xfId="0" applyFont="1" applyBorder="1"/>
    <xf numFmtId="0" fontId="2" fillId="0" borderId="10" xfId="0" applyFont="1" applyBorder="1" applyAlignment="1"/>
    <xf numFmtId="0" fontId="2" fillId="0" borderId="12" xfId="0" applyFont="1" applyBorder="1"/>
    <xf numFmtId="0" fontId="7" fillId="4" borderId="0" xfId="0" applyFont="1" applyFill="1"/>
    <xf numFmtId="0" fontId="2" fillId="0" borderId="13" xfId="0" applyFont="1" applyBorder="1" applyAlignment="1"/>
    <xf numFmtId="0" fontId="7" fillId="4" borderId="14" xfId="0" applyFont="1" applyFill="1" applyBorder="1"/>
    <xf numFmtId="0" fontId="2" fillId="0" borderId="15" xfId="0" applyFont="1" applyBorder="1" applyAlignment="1"/>
    <xf numFmtId="0" fontId="7" fillId="4" borderId="12" xfId="0" applyFont="1" applyFill="1" applyBorder="1"/>
    <xf numFmtId="0" fontId="2" fillId="0" borderId="1" xfId="0" applyFont="1" applyBorder="1" applyAlignment="1"/>
    <xf numFmtId="0" fontId="2" fillId="0" borderId="7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2" xfId="0" applyFont="1" applyBorder="1" applyAlignment="1"/>
    <xf numFmtId="0" fontId="2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2" fillId="0" borderId="4" xfId="0" applyFont="1" applyBorder="1" applyAlignment="1">
      <alignment horizontal="center" vertical="center"/>
    </xf>
    <xf numFmtId="0" fontId="6" fillId="0" borderId="6" xfId="0" applyFont="1" applyBorder="1"/>
    <xf numFmtId="0" fontId="6" fillId="0" borderId="5" xfId="0" applyFont="1" applyBorder="1"/>
    <xf numFmtId="0" fontId="1" fillId="0" borderId="9" xfId="0" applyFont="1" applyBorder="1" applyAlignment="1">
      <alignment horizontal="center"/>
    </xf>
    <xf numFmtId="0" fontId="6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ymbolab.com/solver/step-by-step/solve%20for%20q%2C%202q%2B380%3Dq%2B380%2B%5Cfrac%7B2500%7D%7Bq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E55"/>
  <sheetViews>
    <sheetView topLeftCell="A10" workbookViewId="0">
      <selection activeCell="B15" sqref="B15"/>
    </sheetView>
  </sheetViews>
  <sheetFormatPr defaultColWidth="14.42578125" defaultRowHeight="15.75" customHeight="1"/>
  <cols>
    <col min="1" max="1" width="27.28515625" customWidth="1"/>
    <col min="5" max="5" width="14.7109375" customWidth="1"/>
  </cols>
  <sheetData>
    <row r="3" spans="1:5">
      <c r="B3" s="1" t="s">
        <v>0</v>
      </c>
      <c r="C3" s="1" t="s">
        <v>1</v>
      </c>
      <c r="E3" s="2" t="s">
        <v>2</v>
      </c>
    </row>
    <row r="4" spans="1:5">
      <c r="A4" s="1" t="s">
        <v>3</v>
      </c>
      <c r="B4" s="3">
        <v>-0.25</v>
      </c>
      <c r="C4" s="3">
        <v>122.5</v>
      </c>
      <c r="E4" s="2" t="s">
        <v>4</v>
      </c>
    </row>
    <row r="5" spans="1:5">
      <c r="A5" s="1" t="s">
        <v>5</v>
      </c>
      <c r="B5" s="3">
        <v>0.16666</v>
      </c>
      <c r="C5" s="3">
        <v>-6.6665999999999999</v>
      </c>
      <c r="E5" s="2" t="s">
        <v>6</v>
      </c>
    </row>
    <row r="7" spans="1:5">
      <c r="A7" s="1" t="s">
        <v>7</v>
      </c>
    </row>
    <row r="8" spans="1:5">
      <c r="A8" s="1" t="s">
        <v>8</v>
      </c>
      <c r="B8" s="4">
        <f>IF(ISBLANK(C8), (C5-C4)/(B4-B5), C8)</f>
        <v>310.00480007680119</v>
      </c>
      <c r="C8" s="3"/>
    </row>
    <row r="9" spans="1:5">
      <c r="A9" s="1" t="s">
        <v>9</v>
      </c>
      <c r="B9" s="4">
        <f>IF(ISBLANK(C9), B5*B8+C5, C9)</f>
        <v>44.998799980799681</v>
      </c>
      <c r="C9" s="3"/>
      <c r="D9" s="2" t="s">
        <v>10</v>
      </c>
    </row>
    <row r="10" spans="1:5">
      <c r="A10" s="1" t="s">
        <v>11</v>
      </c>
      <c r="B10" s="4">
        <f>B5*B8/B9</f>
        <v>1.1481506174130096</v>
      </c>
    </row>
    <row r="11" spans="1:5">
      <c r="A11" s="1" t="s">
        <v>12</v>
      </c>
      <c r="B11" s="4">
        <f>B4*B8/B9</f>
        <v>-1.722294817912231</v>
      </c>
    </row>
    <row r="12" spans="1:5">
      <c r="A12" s="1" t="s">
        <v>13</v>
      </c>
      <c r="B12" s="5" t="str">
        <f>CONCATENATE("Ha a kereslet 1%-kal nő, akkor a kínálat ", ABS(B11), " %-kal ", IF(B11&lt;0,"csökken", "nő"))</f>
        <v>Ha a kereslet 1%-kal nő, akkor a kínálat 1.72229481791223 %-kal csökken</v>
      </c>
    </row>
    <row r="13" spans="1:5">
      <c r="C13" s="6"/>
    </row>
    <row r="14" spans="1:5">
      <c r="A14" s="1" t="s">
        <v>14</v>
      </c>
      <c r="B14" s="3">
        <v>60</v>
      </c>
    </row>
    <row r="15" spans="1:5">
      <c r="A15" s="1" t="s">
        <v>15</v>
      </c>
      <c r="B15" s="7">
        <f>(C5-(B5*B14)-C4)/(B4-B5)</f>
        <v>334.00422406758508</v>
      </c>
      <c r="C15" s="6"/>
    </row>
    <row r="16" spans="1:5">
      <c r="A16" s="1" t="s">
        <v>16</v>
      </c>
      <c r="B16" s="7">
        <f>((C4/ABS(B4))-(ABS(C5)/B5+B14))/(1/ABS(B4)+1/ABS(B5))</f>
        <v>38.998943983103729</v>
      </c>
    </row>
    <row r="17" spans="1:5">
      <c r="A17" s="1" t="s">
        <v>17</v>
      </c>
      <c r="B17" s="4">
        <f>(B16+ABS(C5))/B5</f>
        <v>274.00422406758508</v>
      </c>
    </row>
    <row r="18" spans="1:5">
      <c r="A18" s="1" t="s">
        <v>18</v>
      </c>
      <c r="B18" s="4">
        <f>(B9-B16)*B14/2</f>
        <v>179.99567993087857</v>
      </c>
    </row>
    <row r="19" spans="1:5">
      <c r="A19" s="1" t="s">
        <v>19</v>
      </c>
      <c r="B19" s="4">
        <f>B16+ABS(C5)+B14</f>
        <v>105.66554398310373</v>
      </c>
    </row>
    <row r="20" spans="1:5">
      <c r="A20" s="1" t="s">
        <v>20</v>
      </c>
      <c r="B20" s="4">
        <f>B16+ABS(C5)</f>
        <v>45.665543983103731</v>
      </c>
      <c r="E20" s="8"/>
    </row>
    <row r="21" spans="1:5">
      <c r="A21" s="1" t="s">
        <v>21</v>
      </c>
      <c r="B21" s="4">
        <f>((C4/-B4)-B19)*B16/2</f>
        <v>7494.3189604897916</v>
      </c>
    </row>
    <row r="22" spans="1:5">
      <c r="A22" s="1" t="s">
        <v>22</v>
      </c>
      <c r="B22" s="4">
        <f>(B20-(-C5/B5))*B16/2</f>
        <v>110.45171591303445</v>
      </c>
    </row>
    <row r="23" spans="1:5">
      <c r="A23" s="1" t="s">
        <v>23</v>
      </c>
      <c r="B23" s="4">
        <f>B14*B16</f>
        <v>2339.9366389862239</v>
      </c>
    </row>
    <row r="24" spans="1:5">
      <c r="A24" s="1" t="s">
        <v>24</v>
      </c>
      <c r="B24" s="4">
        <f>((C4/-B4)-B8)*B9/2</f>
        <v>4049.7839994240367</v>
      </c>
    </row>
    <row r="25" spans="1:5">
      <c r="A25" s="1" t="s">
        <v>25</v>
      </c>
      <c r="B25" s="4">
        <f>(B8-(-C5/B5))*B9/2</f>
        <v>6074.9189958958887</v>
      </c>
    </row>
    <row r="27" spans="1:5">
      <c r="A27" s="1" t="s">
        <v>26</v>
      </c>
    </row>
    <row r="28" spans="1:5">
      <c r="A28" s="1" t="s">
        <v>27</v>
      </c>
      <c r="B28" s="3">
        <v>0</v>
      </c>
    </row>
    <row r="30" spans="1:5">
      <c r="A30" s="1" t="s">
        <v>3</v>
      </c>
      <c r="B30" s="4">
        <f>B4*B28+C4</f>
        <v>122.5</v>
      </c>
    </row>
    <row r="31" spans="1:5">
      <c r="A31" s="1" t="s">
        <v>5</v>
      </c>
      <c r="B31" s="4">
        <f>B5*B28+C5</f>
        <v>-6.6665999999999999</v>
      </c>
    </row>
    <row r="32" spans="1:5">
      <c r="A32" s="1" t="s">
        <v>13</v>
      </c>
      <c r="B32" s="4" t="str">
        <f>_xlfn.IFS(B31=B30, "Egyensúlyi pont", B31&lt;B30, "Túlkereslet", B31&gt;B30, "Túlkínálat")</f>
        <v>Túlkereslet</v>
      </c>
    </row>
    <row r="34" spans="1:2">
      <c r="A34" s="1" t="s">
        <v>28</v>
      </c>
    </row>
    <row r="35" spans="1:2">
      <c r="A35" s="1" t="s">
        <v>27</v>
      </c>
      <c r="B35" s="3">
        <v>350</v>
      </c>
    </row>
    <row r="37" spans="1:2">
      <c r="A37" s="1" t="s">
        <v>3</v>
      </c>
      <c r="B37" s="9">
        <f>B4*B28+C4</f>
        <v>122.5</v>
      </c>
    </row>
    <row r="38" spans="1:2">
      <c r="A38" s="1" t="s">
        <v>5</v>
      </c>
      <c r="B38" s="9">
        <f>B5*B8+C5</f>
        <v>44.998799980799681</v>
      </c>
    </row>
    <row r="39" spans="1:2">
      <c r="A39" s="1" t="s">
        <v>29</v>
      </c>
      <c r="B39" s="4">
        <f>((B38-B37)/(B35-B8))*((B8+B35)/(B38+B37))</f>
        <v>-7.6354730608267127</v>
      </c>
    </row>
    <row r="41" spans="1:2">
      <c r="A41" s="1" t="s">
        <v>30</v>
      </c>
    </row>
    <row r="42" spans="1:2">
      <c r="A42" s="1" t="s">
        <v>31</v>
      </c>
      <c r="B42" s="3">
        <v>450</v>
      </c>
    </row>
    <row r="44" spans="1:2">
      <c r="A44" s="1" t="s">
        <v>32</v>
      </c>
      <c r="B44" s="4">
        <f>(B42-C4/ABS(B4))*B4</f>
        <v>10</v>
      </c>
    </row>
    <row r="45" spans="1:2">
      <c r="A45" s="1" t="s">
        <v>33</v>
      </c>
      <c r="B45" s="4">
        <f>(B42-ABS(C5)/ABS(B5))*B5</f>
        <v>68.330399999999997</v>
      </c>
    </row>
    <row r="46" spans="1:2">
      <c r="A46" s="1" t="s">
        <v>34</v>
      </c>
      <c r="B46" s="4">
        <f>B44-B45</f>
        <v>-58.330399999999997</v>
      </c>
    </row>
    <row r="47" spans="1:2">
      <c r="A47" s="1" t="s">
        <v>18</v>
      </c>
      <c r="B47" s="4">
        <f>((B9-B45)*((C4-B45)/ABS(B4)-B42))/2</f>
        <v>2721.8831235199241</v>
      </c>
    </row>
    <row r="49" spans="1:2">
      <c r="A49" s="1" t="s">
        <v>35</v>
      </c>
    </row>
    <row r="50" spans="1:2">
      <c r="A50" s="1" t="s">
        <v>36</v>
      </c>
      <c r="B50" s="3">
        <v>750</v>
      </c>
    </row>
    <row r="52" spans="1:2">
      <c r="A52" s="1" t="s">
        <v>33</v>
      </c>
      <c r="B52" s="4">
        <f>(B50-C4/ABS(B4))*B4</f>
        <v>-65</v>
      </c>
    </row>
    <row r="53" spans="1:2">
      <c r="A53" s="1" t="s">
        <v>32</v>
      </c>
      <c r="B53" s="4">
        <f>(B50-ABS(C5)/ABS(B5))*B5</f>
        <v>118.3284</v>
      </c>
    </row>
    <row r="54" spans="1:2">
      <c r="A54" s="1" t="s">
        <v>37</v>
      </c>
      <c r="B54" s="4">
        <f>B53-B52</f>
        <v>183.32839999999999</v>
      </c>
    </row>
    <row r="55" spans="1:2">
      <c r="A55" s="1" t="s">
        <v>18</v>
      </c>
      <c r="B55" s="4">
        <f>((B9-B52)*(B50-(C4-B52)))/2</f>
        <v>30937.16249459991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23"/>
  <sheetViews>
    <sheetView workbookViewId="0"/>
  </sheetViews>
  <sheetFormatPr defaultColWidth="14.42578125" defaultRowHeight="15.75" customHeight="1"/>
  <cols>
    <col min="1" max="1" width="21.28515625" customWidth="1"/>
  </cols>
  <sheetData>
    <row r="1" spans="1:4">
      <c r="A1" s="14"/>
      <c r="B1" s="56" t="s">
        <v>94</v>
      </c>
      <c r="C1" s="57"/>
      <c r="D1" s="15"/>
    </row>
    <row r="2" spans="1:4">
      <c r="A2" s="16" t="s">
        <v>95</v>
      </c>
      <c r="B2" s="4">
        <f>B12</f>
        <v>2000</v>
      </c>
      <c r="C2" s="4">
        <f>B8</f>
        <v>-4285.7142857142853</v>
      </c>
      <c r="D2" s="17" t="s">
        <v>96</v>
      </c>
    </row>
    <row r="3" spans="1:4">
      <c r="A3" s="18"/>
      <c r="C3" s="4">
        <f>B2-C2</f>
        <v>6285.7142857142853</v>
      </c>
      <c r="D3" s="17" t="s">
        <v>97</v>
      </c>
    </row>
    <row r="4" spans="1:4">
      <c r="A4" s="14"/>
      <c r="B4" s="56" t="s">
        <v>98</v>
      </c>
      <c r="C4" s="57"/>
      <c r="D4" s="15"/>
    </row>
    <row r="5" spans="1:4">
      <c r="A5" s="16" t="s">
        <v>99</v>
      </c>
      <c r="B5" s="4">
        <f>B12*B13</f>
        <v>5714.2857142857147</v>
      </c>
      <c r="C5" s="4">
        <f>B12/B14</f>
        <v>10000</v>
      </c>
      <c r="D5" s="17" t="s">
        <v>100</v>
      </c>
    </row>
    <row r="6" spans="1:4">
      <c r="A6" s="19" t="s">
        <v>97</v>
      </c>
      <c r="B6" s="20">
        <f>C5+C6-B5</f>
        <v>6285.7142857142853</v>
      </c>
      <c r="C6" s="20">
        <f>B12</f>
        <v>2000</v>
      </c>
      <c r="D6" s="21" t="s">
        <v>101</v>
      </c>
    </row>
    <row r="7" spans="1:4">
      <c r="A7" s="14"/>
      <c r="B7" s="56" t="s">
        <v>102</v>
      </c>
      <c r="C7" s="57"/>
      <c r="D7" s="15"/>
    </row>
    <row r="8" spans="1:4">
      <c r="A8" s="16" t="s">
        <v>96</v>
      </c>
      <c r="B8" s="4">
        <f>C8-B9</f>
        <v>-4285.7142857142853</v>
      </c>
      <c r="C8" s="4">
        <f>B12*B13</f>
        <v>5714.2857142857147</v>
      </c>
      <c r="D8" s="17" t="s">
        <v>99</v>
      </c>
    </row>
    <row r="9" spans="1:4">
      <c r="A9" s="19" t="s">
        <v>100</v>
      </c>
      <c r="B9" s="20">
        <f>B12/B14</f>
        <v>10000</v>
      </c>
      <c r="C9" s="22"/>
      <c r="D9" s="23"/>
    </row>
    <row r="12" spans="1:4">
      <c r="A12" s="1" t="s">
        <v>103</v>
      </c>
      <c r="B12" s="3">
        <v>2000</v>
      </c>
    </row>
    <row r="13" spans="1:4">
      <c r="A13" s="1" t="s">
        <v>104</v>
      </c>
      <c r="B13" s="3">
        <f>20/7</f>
        <v>2.8571428571428572</v>
      </c>
    </row>
    <row r="14" spans="1:4">
      <c r="A14" s="1" t="s">
        <v>105</v>
      </c>
      <c r="B14" s="3">
        <v>0.2</v>
      </c>
    </row>
    <row r="16" spans="1:4">
      <c r="A16" s="1" t="s">
        <v>106</v>
      </c>
      <c r="B16" s="4">
        <f>B6/C5</f>
        <v>0.62857142857142856</v>
      </c>
    </row>
    <row r="19" spans="1:5">
      <c r="A19" s="2" t="s">
        <v>107</v>
      </c>
    </row>
    <row r="20" spans="1:5">
      <c r="A20" s="2" t="s">
        <v>108</v>
      </c>
      <c r="E20" s="2" t="s">
        <v>109</v>
      </c>
    </row>
    <row r="21" spans="1:5">
      <c r="A21" s="2" t="s">
        <v>110</v>
      </c>
      <c r="E21" s="2" t="s">
        <v>111</v>
      </c>
    </row>
    <row r="22" spans="1:5">
      <c r="A22" s="2" t="s">
        <v>112</v>
      </c>
      <c r="E22" s="2" t="s">
        <v>113</v>
      </c>
    </row>
    <row r="23" spans="1:5">
      <c r="A23" s="2" t="s">
        <v>114</v>
      </c>
    </row>
  </sheetData>
  <mergeCells count="3">
    <mergeCell ref="B1:C1"/>
    <mergeCell ref="B4:C4"/>
    <mergeCell ref="B7:C7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2:L54"/>
  <sheetViews>
    <sheetView workbookViewId="0"/>
  </sheetViews>
  <sheetFormatPr defaultColWidth="14.42578125" defaultRowHeight="15.75" customHeight="1"/>
  <cols>
    <col min="1" max="1" width="34.28515625" customWidth="1"/>
  </cols>
  <sheetData>
    <row r="2" spans="1:12">
      <c r="B2" s="1" t="s">
        <v>115</v>
      </c>
      <c r="C2" s="1" t="s">
        <v>116</v>
      </c>
    </row>
    <row r="3" spans="1:12">
      <c r="A3" s="1" t="s">
        <v>117</v>
      </c>
      <c r="B3" s="3"/>
      <c r="C3" s="7" t="str">
        <f ca="1">IFERROR(__xludf.DUMMYFUNCTION("IFNA(INDEX(FILTER(F3:L3, NOT(ISBLANK(F3:L3)), F3:L3 &lt;&gt; $A$16), 1), $A$16)"),"Nem OK")</f>
        <v>Nem OK</v>
      </c>
      <c r="G3" s="13">
        <f>IF(C26 = A15, B26, A16)</f>
        <v>0</v>
      </c>
      <c r="I3" s="13">
        <f>IF(C35 = A15, B35, A16)</f>
        <v>0</v>
      </c>
      <c r="K3" s="13" t="e">
        <f>IF(C48 = A15, B48, A16)</f>
        <v>#DIV/0!</v>
      </c>
      <c r="L3" s="13" t="e">
        <f>IF(C54 = A15, B54, A16)</f>
        <v>#DIV/0!</v>
      </c>
    </row>
    <row r="4" spans="1:12">
      <c r="A4" s="1" t="s">
        <v>118</v>
      </c>
      <c r="B4" s="3"/>
      <c r="C4" s="7" t="str">
        <f ca="1">IFERROR(__xludf.DUMMYFUNCTION("IFNA(INDEX(FILTER(F4:L4, NOT(ISBLANK(F4:L4)), F4:L4 &lt;&gt; $A$16), 1), $A$16)"),"Nem OK")</f>
        <v>Nem OK</v>
      </c>
      <c r="F4" s="13">
        <f>IF(C21 = A15, B21, A16)</f>
        <v>0</v>
      </c>
      <c r="I4" s="13">
        <f>IF(C36 = A15, B36, A16)</f>
        <v>0</v>
      </c>
      <c r="J4" s="13">
        <f>IF(C44 = A15, B44, A16)</f>
        <v>0</v>
      </c>
    </row>
    <row r="5" spans="1:12">
      <c r="A5" s="1" t="s">
        <v>103</v>
      </c>
      <c r="B5" s="3"/>
      <c r="C5" s="7" t="str">
        <f ca="1">IFERROR(__xludf.DUMMYFUNCTION("IFNA(INDEX(FILTER(F5:L5, NOT(ISBLANK(F5:L5)), F5:L5 &lt;&gt; $A$16), 1), $A$16)"),"Nem OK")</f>
        <v>Nem OK</v>
      </c>
      <c r="G5" s="13" t="e">
        <f>IF(C27 = A15, B27, A16)</f>
        <v>#DIV/0!</v>
      </c>
      <c r="I5" s="13">
        <f>IF(C38 = A15, B38, A16)</f>
        <v>0</v>
      </c>
      <c r="J5" s="13">
        <f>IF(C42 = A15, B42, A16)</f>
        <v>40</v>
      </c>
      <c r="K5" s="13">
        <f>IF(C47 = A15, B47, A16)</f>
        <v>0</v>
      </c>
    </row>
    <row r="6" spans="1:12">
      <c r="A6" s="1" t="s">
        <v>119</v>
      </c>
      <c r="B6" s="3"/>
      <c r="C6" s="7" t="str">
        <f ca="1">IFERROR(__xludf.DUMMYFUNCTION("IFNA(INDEX(FILTER(F6:L6, NOT(ISBLANK(F6:L6)), F6:L6 &lt;&gt; $A$16), 1), $A$16)"),"Nem OK")</f>
        <v>Nem OK</v>
      </c>
      <c r="F6" s="13" t="e">
        <f>IF(C22 = A15, B22, A16)</f>
        <v>#DIV/0!</v>
      </c>
      <c r="H6" s="2" t="e">
        <f>IF(C32 = A15, B32, A16)</f>
        <v>#DIV/0!</v>
      </c>
      <c r="I6" s="13">
        <f>IF(C37 = A15, B37, A16)</f>
        <v>0</v>
      </c>
    </row>
    <row r="7" spans="1:12">
      <c r="A7" s="1" t="s">
        <v>120</v>
      </c>
      <c r="B7" s="3"/>
      <c r="C7" s="7" t="str">
        <f ca="1">IFERROR(__xludf.DUMMYFUNCTION("IFNA(INDEX(FILTER(F7:L7, NOT(ISBLANK(F7:L7)), F7:L7 &lt;&gt; $A$16), 1), $A$16)"),"Nem OK")</f>
        <v>Nem OK</v>
      </c>
      <c r="H7" s="13">
        <f>IF(C31 = A15, B31, A16)</f>
        <v>0</v>
      </c>
      <c r="J7" s="13">
        <f>IF(C43 = A15, B43, A16)</f>
        <v>0</v>
      </c>
      <c r="L7" s="2">
        <f>IF(C52 = A15, B52, A16)</f>
        <v>0</v>
      </c>
    </row>
    <row r="8" spans="1:12">
      <c r="A8" s="1" t="s">
        <v>121</v>
      </c>
      <c r="B8" s="3"/>
      <c r="C8" s="7" t="str">
        <f ca="1">IFERROR(__xludf.DUMMYFUNCTION("IFNA(INDEX(FILTER(F8:L8, NOT(ISBLANK(F8:L8)), F8:L8 &lt;&gt; $A$16), 1), $A$16)"),"Nem OK")</f>
        <v>Nem OK</v>
      </c>
      <c r="F8" s="13" t="e">
        <f>IF(C20 = A15, B20, A16)</f>
        <v>#DIV/0!</v>
      </c>
    </row>
    <row r="9" spans="1:12">
      <c r="A9" s="1" t="s">
        <v>122</v>
      </c>
      <c r="B9" s="3"/>
      <c r="C9" s="7" t="str">
        <f ca="1">IFERROR(__xludf.DUMMYFUNCTION("IFNA(INDEX(FILTER(F9:L9, NOT(ISBLANK(F9:L9)), F9:L9 &lt;&gt; $A$16), 1), $A$16)"),"Nem OK")</f>
        <v>Nem OK</v>
      </c>
      <c r="H9" s="13" t="e">
        <f>IF(C30 = A15, B30, A16)</f>
        <v>#DIV/0!</v>
      </c>
      <c r="L9" s="13" t="e">
        <f>IF(C53 = A15, B53, A16)</f>
        <v>#DIV/0!</v>
      </c>
    </row>
    <row r="10" spans="1:12">
      <c r="A10" s="1" t="s">
        <v>104</v>
      </c>
      <c r="B10" s="3"/>
      <c r="C10" s="7" t="str">
        <f ca="1">IFERROR(__xludf.DUMMYFUNCTION("IFNA(INDEX(FILTER(F10:L10, NOT(ISBLANK(F10:L10)), F10:L10 &lt;&gt; $A$16), 1), $A$16)"),"Nem OK")</f>
        <v>Nem OK</v>
      </c>
      <c r="G10" s="13" t="e">
        <f>IF(C25 = A15, B25, A16)</f>
        <v>#DIV/0!</v>
      </c>
    </row>
    <row r="11" spans="1:12">
      <c r="A11" s="1" t="s">
        <v>123</v>
      </c>
      <c r="B11" s="3"/>
      <c r="C11" s="7" t="str">
        <f ca="1">IFERROR(__xludf.DUMMYFUNCTION("IFNA(INDEX(FILTER(F11:L11, NOT(ISBLANK(F11:L11)), F11:L11 &lt;&gt; $A$16), 1), $A$16)"),"Nem OK")</f>
        <v>Nem OK</v>
      </c>
      <c r="K11" s="13" t="e">
        <f>IF(C49 = A15, B49, A16)</f>
        <v>#DIV/0!</v>
      </c>
    </row>
    <row r="15" spans="1:12">
      <c r="A15" s="2" t="s">
        <v>124</v>
      </c>
    </row>
    <row r="16" spans="1:12">
      <c r="A16" s="2" t="s">
        <v>125</v>
      </c>
    </row>
    <row r="19" spans="1:6">
      <c r="D19" s="2" t="s">
        <v>126</v>
      </c>
      <c r="E19" s="2" t="s">
        <v>97</v>
      </c>
      <c r="F19" s="2" t="s">
        <v>100</v>
      </c>
    </row>
    <row r="20" spans="1:6">
      <c r="A20" s="2" t="s">
        <v>126</v>
      </c>
      <c r="B20" s="13" t="e">
        <f>E20/F20</f>
        <v>#DIV/0!</v>
      </c>
      <c r="C20" s="13" t="str">
        <f t="shared" ref="C20:C22" si="0">IF(COUNTBLANK(D20:F20) = 0, $A$15, $A$16)</f>
        <v>OK</v>
      </c>
      <c r="D20" s="13" t="str">
        <f>$A$15</f>
        <v>OK</v>
      </c>
      <c r="E20" s="13">
        <f>$B$4</f>
        <v>0</v>
      </c>
      <c r="F20" s="13">
        <f t="shared" ref="F20:F21" si="1">$B$6</f>
        <v>0</v>
      </c>
    </row>
    <row r="21" spans="1:6">
      <c r="A21" s="2" t="s">
        <v>97</v>
      </c>
      <c r="B21" s="13">
        <f>D21*F21</f>
        <v>0</v>
      </c>
      <c r="C21" s="13" t="str">
        <f t="shared" si="0"/>
        <v>OK</v>
      </c>
      <c r="D21" s="13">
        <f t="shared" ref="D21:D22" si="2">$B$8</f>
        <v>0</v>
      </c>
      <c r="E21" s="13" t="str">
        <f>$A$15</f>
        <v>OK</v>
      </c>
      <c r="F21" s="13">
        <f t="shared" si="1"/>
        <v>0</v>
      </c>
    </row>
    <row r="22" spans="1:6">
      <c r="A22" s="2" t="s">
        <v>100</v>
      </c>
      <c r="B22" s="13" t="e">
        <f>E22/D22</f>
        <v>#DIV/0!</v>
      </c>
      <c r="C22" s="13" t="str">
        <f t="shared" si="0"/>
        <v>OK</v>
      </c>
      <c r="D22" s="13">
        <f t="shared" si="2"/>
        <v>0</v>
      </c>
      <c r="E22" s="13">
        <f>$B$4</f>
        <v>0</v>
      </c>
      <c r="F22" s="13" t="str">
        <f>$A$15</f>
        <v>OK</v>
      </c>
    </row>
    <row r="24" spans="1:6">
      <c r="D24" s="2" t="s">
        <v>127</v>
      </c>
      <c r="E24" s="2" t="s">
        <v>99</v>
      </c>
      <c r="F24" s="2" t="s">
        <v>101</v>
      </c>
    </row>
    <row r="25" spans="1:6">
      <c r="A25" s="2" t="s">
        <v>127</v>
      </c>
      <c r="B25" s="13" t="e">
        <f>E25/F25</f>
        <v>#DIV/0!</v>
      </c>
      <c r="C25" s="13" t="str">
        <f t="shared" ref="C25:C27" si="3">IF(COUNTBLANK(D25:F25) = 0, $A$15, $A$16)</f>
        <v>OK</v>
      </c>
      <c r="D25" s="13" t="str">
        <f>$A$15</f>
        <v>OK</v>
      </c>
      <c r="E25" s="13">
        <f>$B$3</f>
        <v>0</v>
      </c>
      <c r="F25" s="13">
        <f t="shared" ref="F25:F26" si="4">$B$5</f>
        <v>0</v>
      </c>
    </row>
    <row r="26" spans="1:6">
      <c r="A26" s="2" t="s">
        <v>99</v>
      </c>
      <c r="B26" s="13">
        <f>D26*F26</f>
        <v>0</v>
      </c>
      <c r="C26" s="13" t="str">
        <f t="shared" si="3"/>
        <v>OK</v>
      </c>
      <c r="D26" s="13">
        <f t="shared" ref="D26:D27" si="5">$B$10</f>
        <v>0</v>
      </c>
      <c r="E26" s="13" t="str">
        <f>$A$15</f>
        <v>OK</v>
      </c>
      <c r="F26" s="13">
        <f t="shared" si="4"/>
        <v>0</v>
      </c>
    </row>
    <row r="27" spans="1:6">
      <c r="A27" s="2" t="s">
        <v>101</v>
      </c>
      <c r="B27" s="13" t="e">
        <f>E27/D27</f>
        <v>#DIV/0!</v>
      </c>
      <c r="C27" s="13" t="str">
        <f t="shared" si="3"/>
        <v>OK</v>
      </c>
      <c r="D27" s="13">
        <f t="shared" si="5"/>
        <v>0</v>
      </c>
      <c r="E27" s="13">
        <f>$B$3</f>
        <v>0</v>
      </c>
      <c r="F27" s="13" t="str">
        <f>$A$15</f>
        <v>OK</v>
      </c>
    </row>
    <row r="29" spans="1:6">
      <c r="D29" s="2" t="s">
        <v>128</v>
      </c>
      <c r="E29" s="2" t="s">
        <v>96</v>
      </c>
      <c r="F29" s="2" t="s">
        <v>100</v>
      </c>
    </row>
    <row r="30" spans="1:6">
      <c r="A30" s="2" t="s">
        <v>128</v>
      </c>
      <c r="B30" s="13" t="e">
        <f>(E30)/(E30+F30)</f>
        <v>#DIV/0!</v>
      </c>
      <c r="C30" s="13" t="str">
        <f t="shared" ref="C30:C32" si="6">IF(COUNTBLANK(D30:F30) = 0, $A$15, $A$16)</f>
        <v>OK</v>
      </c>
      <c r="D30" s="13" t="str">
        <f>$A$15</f>
        <v>OK</v>
      </c>
      <c r="E30" s="13">
        <f>$B$7</f>
        <v>0</v>
      </c>
      <c r="F30" s="13">
        <f t="shared" ref="F30:F31" si="7">$B$6</f>
        <v>0</v>
      </c>
    </row>
    <row r="31" spans="1:6">
      <c r="A31" s="2" t="s">
        <v>96</v>
      </c>
      <c r="B31" s="13">
        <f>-(D31*F31)/(D31-1)</f>
        <v>0</v>
      </c>
      <c r="C31" s="13" t="str">
        <f t="shared" si="6"/>
        <v>OK</v>
      </c>
      <c r="D31" s="13">
        <f t="shared" ref="D31:D32" si="8">$B$9</f>
        <v>0</v>
      </c>
      <c r="E31" s="13" t="str">
        <f>$A$15</f>
        <v>OK</v>
      </c>
      <c r="F31" s="13">
        <f t="shared" si="7"/>
        <v>0</v>
      </c>
    </row>
    <row r="32" spans="1:6">
      <c r="A32" s="2" t="s">
        <v>100</v>
      </c>
      <c r="B32" s="13" t="e">
        <f>((E32)/(D32))-E32</f>
        <v>#DIV/0!</v>
      </c>
      <c r="C32" s="13" t="str">
        <f t="shared" si="6"/>
        <v>OK</v>
      </c>
      <c r="D32" s="13">
        <f t="shared" si="8"/>
        <v>0</v>
      </c>
      <c r="E32" s="13">
        <f>$B$7</f>
        <v>0</v>
      </c>
      <c r="F32" s="13" t="str">
        <f>$A$15</f>
        <v>OK</v>
      </c>
    </row>
    <row r="34" spans="1:7">
      <c r="C34" s="13">
        <f>IF(COUNTBLANK(D34:F34) = 0, $A29, $A$16)</f>
        <v>0</v>
      </c>
      <c r="D34" s="2" t="s">
        <v>99</v>
      </c>
      <c r="E34" s="2" t="s">
        <v>97</v>
      </c>
      <c r="F34" s="2" t="s">
        <v>100</v>
      </c>
      <c r="G34" s="2" t="s">
        <v>101</v>
      </c>
    </row>
    <row r="35" spans="1:7">
      <c r="A35" s="2" t="s">
        <v>99</v>
      </c>
      <c r="B35" s="13">
        <f>F35+G35-E35</f>
        <v>0</v>
      </c>
      <c r="C35" s="13" t="str">
        <f t="shared" ref="C35:C38" si="9">IF(COUNTBLANK(D35:G35) = 0, $A$15, $A$16)</f>
        <v>OK</v>
      </c>
      <c r="D35" s="13" t="str">
        <f>$A$15</f>
        <v>OK</v>
      </c>
      <c r="E35" s="13">
        <f>$B$4</f>
        <v>0</v>
      </c>
      <c r="F35" s="13">
        <f t="shared" ref="F35:F36" si="10">$B$6</f>
        <v>0</v>
      </c>
      <c r="G35" s="13">
        <f t="shared" ref="G35:G37" si="11">$B$5</f>
        <v>0</v>
      </c>
    </row>
    <row r="36" spans="1:7">
      <c r="A36" s="2" t="s">
        <v>97</v>
      </c>
      <c r="B36" s="13">
        <f>F36+G36-D36</f>
        <v>0</v>
      </c>
      <c r="C36" s="13" t="str">
        <f t="shared" si="9"/>
        <v>OK</v>
      </c>
      <c r="D36" s="13">
        <f t="shared" ref="D36:D38" si="12">$B$3</f>
        <v>0</v>
      </c>
      <c r="E36" s="13" t="str">
        <f>$A$15</f>
        <v>OK</v>
      </c>
      <c r="F36" s="13">
        <f t="shared" si="10"/>
        <v>0</v>
      </c>
      <c r="G36" s="13">
        <f t="shared" si="11"/>
        <v>0</v>
      </c>
    </row>
    <row r="37" spans="1:7">
      <c r="A37" s="2" t="s">
        <v>100</v>
      </c>
      <c r="B37" s="13">
        <f>D37+E37-G37</f>
        <v>0</v>
      </c>
      <c r="C37" s="13" t="str">
        <f t="shared" si="9"/>
        <v>OK</v>
      </c>
      <c r="D37" s="13">
        <f t="shared" si="12"/>
        <v>0</v>
      </c>
      <c r="E37" s="13">
        <f t="shared" ref="E37:E38" si="13">$B$4</f>
        <v>0</v>
      </c>
      <c r="F37" s="13" t="str">
        <f>$A$15</f>
        <v>OK</v>
      </c>
      <c r="G37" s="13">
        <f t="shared" si="11"/>
        <v>0</v>
      </c>
    </row>
    <row r="38" spans="1:7">
      <c r="A38" s="2" t="s">
        <v>101</v>
      </c>
      <c r="B38" s="13">
        <f>D38+E38-F38</f>
        <v>0</v>
      </c>
      <c r="C38" s="13" t="str">
        <f t="shared" si="9"/>
        <v>OK</v>
      </c>
      <c r="D38" s="13">
        <f t="shared" si="12"/>
        <v>0</v>
      </c>
      <c r="E38" s="13">
        <f t="shared" si="13"/>
        <v>0</v>
      </c>
      <c r="F38" s="13">
        <f>$B$6</f>
        <v>0</v>
      </c>
      <c r="G38" s="13" t="str">
        <f>$A$15</f>
        <v>OK</v>
      </c>
    </row>
    <row r="41" spans="1:7">
      <c r="D41" s="2" t="s">
        <v>101</v>
      </c>
      <c r="E41" s="2" t="s">
        <v>96</v>
      </c>
      <c r="F41" s="2" t="s">
        <v>97</v>
      </c>
    </row>
    <row r="42" spans="1:7">
      <c r="A42" s="2" t="s">
        <v>101</v>
      </c>
      <c r="B42" s="2">
        <v>40</v>
      </c>
      <c r="C42" s="13" t="str">
        <f t="shared" ref="C42:C44" si="14">IF(COUNTBLANK(D42:F42) = 0, $A$15, $A$16)</f>
        <v>OK</v>
      </c>
      <c r="D42" s="13" t="str">
        <f>$A$15</f>
        <v>OK</v>
      </c>
      <c r="E42" s="13">
        <f>$B$7</f>
        <v>0</v>
      </c>
      <c r="F42" s="13">
        <f t="shared" ref="F42:F43" si="15">$B$4</f>
        <v>0</v>
      </c>
    </row>
    <row r="43" spans="1:7">
      <c r="A43" s="2" t="s">
        <v>96</v>
      </c>
      <c r="B43" s="13">
        <f>D43-F43</f>
        <v>0</v>
      </c>
      <c r="C43" s="13" t="str">
        <f t="shared" si="14"/>
        <v>OK</v>
      </c>
      <c r="D43" s="13">
        <f t="shared" ref="D43:D44" si="16">$B$5</f>
        <v>0</v>
      </c>
      <c r="E43" s="13" t="str">
        <f>$A$15</f>
        <v>OK</v>
      </c>
      <c r="F43" s="13">
        <f t="shared" si="15"/>
        <v>0</v>
      </c>
    </row>
    <row r="44" spans="1:7">
      <c r="A44" s="2" t="s">
        <v>97</v>
      </c>
      <c r="B44" s="13">
        <f>D44-E44</f>
        <v>0</v>
      </c>
      <c r="C44" s="13" t="str">
        <f t="shared" si="14"/>
        <v>OK</v>
      </c>
      <c r="D44" s="13">
        <f t="shared" si="16"/>
        <v>0</v>
      </c>
      <c r="E44" s="13">
        <f>$B$7</f>
        <v>0</v>
      </c>
      <c r="F44" s="13" t="str">
        <f>$A$15</f>
        <v>OK</v>
      </c>
    </row>
    <row r="46" spans="1:7">
      <c r="D46" s="2" t="s">
        <v>101</v>
      </c>
      <c r="E46" s="2" t="s">
        <v>99</v>
      </c>
      <c r="F46" s="2" t="s">
        <v>123</v>
      </c>
    </row>
    <row r="47" spans="1:7">
      <c r="A47" s="2" t="s">
        <v>101</v>
      </c>
      <c r="B47" s="13">
        <f>E47*F47</f>
        <v>0</v>
      </c>
      <c r="C47" s="13" t="str">
        <f t="shared" ref="C47:C49" si="17">IF(COUNTBLANK(D47:F47) = 0, $A$15, $A$16)</f>
        <v>OK</v>
      </c>
      <c r="D47" s="13" t="str">
        <f>$A$15</f>
        <v>OK</v>
      </c>
      <c r="E47" s="13">
        <f>$B$3</f>
        <v>0</v>
      </c>
      <c r="F47" s="13">
        <f t="shared" ref="F47:F48" si="18">$B$11</f>
        <v>0</v>
      </c>
    </row>
    <row r="48" spans="1:7">
      <c r="A48" s="2" t="s">
        <v>99</v>
      </c>
      <c r="B48" s="13" t="e">
        <f>D48/F48</f>
        <v>#DIV/0!</v>
      </c>
      <c r="C48" s="13" t="str">
        <f t="shared" si="17"/>
        <v>OK</v>
      </c>
      <c r="D48" s="13">
        <f t="shared" ref="D48:D49" si="19">$B$5</f>
        <v>0</v>
      </c>
      <c r="E48" s="13" t="str">
        <f>$A$15</f>
        <v>OK</v>
      </c>
      <c r="F48" s="13">
        <f t="shared" si="18"/>
        <v>0</v>
      </c>
    </row>
    <row r="49" spans="1:6">
      <c r="A49" s="2" t="s">
        <v>123</v>
      </c>
      <c r="B49" s="13" t="e">
        <f>D49/E49</f>
        <v>#DIV/0!</v>
      </c>
      <c r="C49" s="13" t="str">
        <f t="shared" si="17"/>
        <v>OK</v>
      </c>
      <c r="D49" s="13">
        <f t="shared" si="19"/>
        <v>0</v>
      </c>
      <c r="E49" s="13">
        <f>$B$3</f>
        <v>0</v>
      </c>
      <c r="F49" s="13" t="str">
        <f>$A$15</f>
        <v>OK</v>
      </c>
    </row>
    <row r="51" spans="1:6">
      <c r="D51" s="2" t="s">
        <v>96</v>
      </c>
      <c r="E51" s="2" t="s">
        <v>128</v>
      </c>
      <c r="F51" s="2" t="s">
        <v>99</v>
      </c>
    </row>
    <row r="52" spans="1:6">
      <c r="A52" s="2" t="s">
        <v>96</v>
      </c>
      <c r="B52" s="13">
        <f>F52*E52</f>
        <v>0</v>
      </c>
      <c r="C52" s="13" t="str">
        <f t="shared" ref="C52:C54" si="20">IF(COUNTBLANK(D52:F52) = 0, $A$15, $A$16)</f>
        <v>OK</v>
      </c>
      <c r="D52" s="13" t="str">
        <f>$A$15</f>
        <v>OK</v>
      </c>
      <c r="E52" s="13">
        <f>$B$9</f>
        <v>0</v>
      </c>
      <c r="F52" s="13">
        <f t="shared" ref="F52:F53" si="21">$B$3</f>
        <v>0</v>
      </c>
    </row>
    <row r="53" spans="1:6">
      <c r="A53" s="2" t="s">
        <v>128</v>
      </c>
      <c r="B53" s="13" t="e">
        <f>D53/F53</f>
        <v>#DIV/0!</v>
      </c>
      <c r="C53" s="13" t="str">
        <f t="shared" si="20"/>
        <v>OK</v>
      </c>
      <c r="D53" s="13">
        <f t="shared" ref="D53:D54" si="22">$B$7</f>
        <v>0</v>
      </c>
      <c r="E53" s="13" t="str">
        <f>$A$15</f>
        <v>OK</v>
      </c>
      <c r="F53" s="13">
        <f t="shared" si="21"/>
        <v>0</v>
      </c>
    </row>
    <row r="54" spans="1:6">
      <c r="A54" s="2" t="s">
        <v>99</v>
      </c>
      <c r="B54" s="13" t="e">
        <f>D54/E54</f>
        <v>#DIV/0!</v>
      </c>
      <c r="C54" s="13" t="str">
        <f t="shared" si="20"/>
        <v>OK</v>
      </c>
      <c r="D54" s="13">
        <f t="shared" si="22"/>
        <v>0</v>
      </c>
      <c r="E54" s="13">
        <f>$B$9</f>
        <v>0</v>
      </c>
      <c r="F54" s="13" t="str">
        <f>$A$15</f>
        <v>OK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2:L81"/>
  <sheetViews>
    <sheetView workbookViewId="0"/>
  </sheetViews>
  <sheetFormatPr defaultColWidth="14.42578125" defaultRowHeight="15.75" customHeight="1"/>
  <cols>
    <col min="1" max="1" width="24.28515625" customWidth="1"/>
  </cols>
  <sheetData>
    <row r="2" spans="1:12">
      <c r="B2" s="1" t="s">
        <v>115</v>
      </c>
      <c r="C2" s="1" t="s">
        <v>116</v>
      </c>
      <c r="E2" s="24" t="s">
        <v>129</v>
      </c>
      <c r="F2" s="25" t="s">
        <v>130</v>
      </c>
      <c r="G2" s="26" t="s">
        <v>131</v>
      </c>
      <c r="H2" s="25" t="s">
        <v>132</v>
      </c>
      <c r="I2" s="26" t="s">
        <v>133</v>
      </c>
      <c r="J2" s="25" t="s">
        <v>134</v>
      </c>
    </row>
    <row r="3" spans="1:12">
      <c r="A3" s="1" t="s">
        <v>135</v>
      </c>
      <c r="B3" s="3"/>
      <c r="C3" s="4" t="str">
        <f ca="1">IFERROR(__xludf.DUMMYFUNCTION("IFNA(INDEX(FILTER(E3:J3, NOT(ISBLANK(E3:J3)), E3:J3 &lt;&gt; $L$8), 1), $L$8)"),"Nem OK")</f>
        <v>Nem OK</v>
      </c>
      <c r="E3" s="27">
        <f>IF(C41=$L$7,B41,$L$8)</f>
        <v>0</v>
      </c>
      <c r="F3" s="28"/>
      <c r="H3" s="28"/>
      <c r="I3" s="13">
        <f t="shared" ref="I3:I5" si="0">IF(C70=$L$7,B70,$L$8)</f>
        <v>0</v>
      </c>
      <c r="J3" s="28"/>
    </row>
    <row r="4" spans="1:12">
      <c r="A4" s="1" t="s">
        <v>136</v>
      </c>
      <c r="B4" s="29"/>
      <c r="C4" s="4" t="str">
        <f ca="1">IFERROR(__xludf.DUMMYFUNCTION("IFNA(INDEX(FILTER(E4:J4, NOT(ISBLANK(E4:J4)), E4:J4 &lt;&gt; $L$8), 1), $L$8)"),"Nem OK")</f>
        <v>Nem OK</v>
      </c>
      <c r="E4" s="18"/>
      <c r="F4" s="28"/>
      <c r="H4" s="28"/>
      <c r="I4" s="13">
        <f t="shared" si="0"/>
        <v>0</v>
      </c>
      <c r="J4" s="28">
        <f>IF(C77=$L$7,B77,$L$8)</f>
        <v>0</v>
      </c>
    </row>
    <row r="5" spans="1:12">
      <c r="A5" s="1" t="s">
        <v>137</v>
      </c>
      <c r="B5" s="29"/>
      <c r="C5" s="4" t="str">
        <f ca="1">IFERROR(__xludf.DUMMYFUNCTION("IFNA(INDEX(FILTER(E5:J5, NOT(ISBLANK(E5:J5)), E5:J5 &lt;&gt; $L$8), 1), $L$8)"),"Nem OK")</f>
        <v>Nem OK</v>
      </c>
      <c r="E5" s="18"/>
      <c r="F5" s="28"/>
      <c r="G5" s="13">
        <f>IF(C58=$L$7,B58,$L$8)</f>
        <v>0</v>
      </c>
      <c r="H5" s="28"/>
      <c r="I5" s="13">
        <f t="shared" si="0"/>
        <v>0</v>
      </c>
      <c r="J5" s="28"/>
    </row>
    <row r="6" spans="1:12">
      <c r="A6" s="1" t="s">
        <v>138</v>
      </c>
      <c r="B6" s="29"/>
      <c r="C6" s="4" t="str">
        <f ca="1">IFERROR(__xludf.DUMMYFUNCTION("IFNA(INDEX(FILTER(E6:J6, NOT(ISBLANK(E6:J6)), E6:J6 &lt;&gt; $L$8), 1), $L$8)"),"Nem OK")</f>
        <v>Nem OK</v>
      </c>
      <c r="E6" s="30">
        <f>IF(C40=$L$7,B40,$L$8)</f>
        <v>0</v>
      </c>
      <c r="F6" s="28"/>
      <c r="G6" s="13">
        <f t="shared" ref="G6:G9" si="1">IF(C53=$L$7,B53,$L$8)</f>
        <v>0</v>
      </c>
      <c r="H6" s="28"/>
      <c r="J6" s="28"/>
    </row>
    <row r="7" spans="1:12">
      <c r="A7" s="1" t="s">
        <v>139</v>
      </c>
      <c r="B7" s="29"/>
      <c r="C7" s="4" t="str">
        <f ca="1">IFERROR(__xludf.DUMMYFUNCTION("IFNA(INDEX(FILTER(E7:J7, NOT(ISBLANK(E7:J7)), E7:J7 &lt;&gt; $L$8), 1), $L$8)"),"Nem OK")</f>
        <v>Nem OK</v>
      </c>
      <c r="E7" s="18"/>
      <c r="F7" s="28">
        <f>IF(C48=$L$7,B48,$L$8)</f>
        <v>0</v>
      </c>
      <c r="G7" s="13">
        <f t="shared" si="1"/>
        <v>0</v>
      </c>
      <c r="H7" s="28"/>
      <c r="J7" s="28"/>
      <c r="L7" s="2" t="s">
        <v>124</v>
      </c>
    </row>
    <row r="8" spans="1:12">
      <c r="A8" s="1" t="s">
        <v>140</v>
      </c>
      <c r="B8" s="29"/>
      <c r="C8" s="4" t="str">
        <f ca="1">IFERROR(__xludf.DUMMYFUNCTION("IFNA(INDEX(FILTER(E8:J8, NOT(ISBLANK(E8:J8)), E8:J8 &lt;&gt; $L$8), 1), $L$8)"),"Nem OK")</f>
        <v>Nem OK</v>
      </c>
      <c r="E8" s="30">
        <f>IF(C38=$L$7,B38,$L$8)</f>
        <v>0</v>
      </c>
      <c r="F8" s="28"/>
      <c r="G8" s="13">
        <f t="shared" si="1"/>
        <v>0</v>
      </c>
      <c r="H8" s="28"/>
      <c r="J8" s="28"/>
      <c r="L8" s="2" t="s">
        <v>125</v>
      </c>
    </row>
    <row r="9" spans="1:12">
      <c r="A9" s="1" t="s">
        <v>141</v>
      </c>
      <c r="B9" s="29"/>
      <c r="C9" s="4" t="str">
        <f ca="1">IFERROR(__xludf.DUMMYFUNCTION("IFNA(INDEX(FILTER(E9:J9, NOT(ISBLANK(E9:J9)), E9:J9 &lt;&gt; $L$8), 1), $L$8)"),"Nem OK")</f>
        <v>Nem OK</v>
      </c>
      <c r="E9" s="18"/>
      <c r="F9" s="31">
        <f>IF(C46=$L$7,B46,$L$8)</f>
        <v>0</v>
      </c>
      <c r="G9" s="13">
        <f t="shared" si="1"/>
        <v>0</v>
      </c>
      <c r="H9" s="28"/>
      <c r="J9" s="28"/>
    </row>
    <row r="10" spans="1:12">
      <c r="A10" s="1" t="s">
        <v>142</v>
      </c>
      <c r="B10" s="29"/>
      <c r="C10" s="4" t="str">
        <f ca="1">IFERROR(__xludf.DUMMYFUNCTION("IFNA(INDEX(FILTER(E10:J10, NOT(ISBLANK(E10:J10)), E10:J10 &lt;&gt; $L$8), 1), $L$8)"),"Nem OK")</f>
        <v>Nem OK</v>
      </c>
      <c r="E10" s="18"/>
      <c r="F10" s="28"/>
      <c r="H10" s="28">
        <f>IF(C64=$L$7,B64,$L$8)</f>
        <v>0</v>
      </c>
      <c r="I10" s="13">
        <f>IF(C69=$L$7,B69,$L$8)</f>
        <v>0</v>
      </c>
      <c r="J10" s="28"/>
    </row>
    <row r="11" spans="1:12">
      <c r="A11" s="1" t="s">
        <v>143</v>
      </c>
      <c r="B11" s="29"/>
      <c r="C11" s="4" t="str">
        <f ca="1">IFERROR(__xludf.DUMMYFUNCTION("IFNA(INDEX(FILTER(E11:J11, NOT(ISBLANK(E11:J11)), E11:J11 &lt;&gt; $L$8), 1), $L$8)"),"Nem OK")</f>
        <v>Nem OK</v>
      </c>
      <c r="E11" s="18"/>
      <c r="F11" s="28"/>
      <c r="H11" s="28">
        <f>IF(C62=$L$7,B62,$L$8)</f>
        <v>0</v>
      </c>
      <c r="I11" s="13">
        <f>IF(C73=$L$7,B73,$L$8)</f>
        <v>0</v>
      </c>
      <c r="J11" s="28"/>
    </row>
    <row r="12" spans="1:12">
      <c r="A12" s="1" t="s">
        <v>144</v>
      </c>
      <c r="B12" s="3"/>
      <c r="C12" s="4" t="str">
        <f ca="1">IFERROR(__xludf.DUMMYFUNCTION("IFNA(INDEX(FILTER(E12:J12, NOT(ISBLANK(E12:J12)), E12:J12 &lt;&gt; $L$8), 1), $L$8)"),"Nem OK")</f>
        <v>Nem OK</v>
      </c>
      <c r="E12" s="18">
        <f>IF(C37=$L$7,B37,$L$8)</f>
        <v>0</v>
      </c>
      <c r="F12" s="28">
        <f>IF(C49=$L$7,B49,$L$8)</f>
        <v>0</v>
      </c>
      <c r="H12" s="28"/>
      <c r="J12" s="28"/>
    </row>
    <row r="13" spans="1:12">
      <c r="A13" s="1" t="s">
        <v>145</v>
      </c>
      <c r="B13" s="29"/>
      <c r="C13" s="4" t="str">
        <f ca="1">IFERROR(__xludf.DUMMYFUNCTION("IFNA(INDEX(FILTER(E13:J13, NOT(ISBLANK(E13:J13)), E13:J13 &lt;&gt; $L$8), 1), $L$8)"),"Nem OK")</f>
        <v>Nem OK</v>
      </c>
      <c r="E13" s="18">
        <f>IF(C39=$L$7,B39,$L$8)</f>
        <v>0</v>
      </c>
      <c r="F13" s="28"/>
      <c r="H13" s="28"/>
      <c r="J13" s="28">
        <f t="shared" ref="J13:J16" si="2">IF(C78=$L$7,B78,$L$8)</f>
        <v>0</v>
      </c>
    </row>
    <row r="14" spans="1:12">
      <c r="A14" s="1" t="s">
        <v>146</v>
      </c>
      <c r="B14" s="29"/>
      <c r="C14" s="4" t="str">
        <f ca="1">IFERROR(__xludf.DUMMYFUNCTION("IFNA(INDEX(FILTER(E14:J14, NOT(ISBLANK(E14:J14)), E14:J14 &lt;&gt; $L$8), 1), $L$8)"),"Nem OK")</f>
        <v>Nem OK</v>
      </c>
      <c r="E14" s="18"/>
      <c r="F14" s="28">
        <f>IF(C47=$L$7,B47,$L$8)</f>
        <v>0</v>
      </c>
      <c r="H14" s="28"/>
      <c r="J14" s="28">
        <f t="shared" si="2"/>
        <v>0</v>
      </c>
    </row>
    <row r="15" spans="1:12">
      <c r="A15" s="1" t="s">
        <v>147</v>
      </c>
      <c r="B15" s="29"/>
      <c r="C15" s="4" t="str">
        <f ca="1">IFERROR(__xludf.DUMMYFUNCTION("IFNA(INDEX(FILTER(E15:J15, NOT(ISBLANK(E15:J15)), E15:J15 &lt;&gt; $L$8), 1), $L$8)"),"Nem OK")</f>
        <v>Nem OK</v>
      </c>
      <c r="E15" s="18"/>
      <c r="F15" s="28"/>
      <c r="G15" s="13">
        <f>IF(C57=$L$7,B57,$L$8)</f>
        <v>0</v>
      </c>
      <c r="H15" s="28"/>
      <c r="J15" s="28">
        <f t="shared" si="2"/>
        <v>0</v>
      </c>
    </row>
    <row r="16" spans="1:12">
      <c r="A16" s="1" t="s">
        <v>148</v>
      </c>
      <c r="B16" s="29"/>
      <c r="C16" s="4" t="str">
        <f ca="1">IFERROR(__xludf.DUMMYFUNCTION("IFNA(INDEX(FILTER(E16:J16, NOT(ISBLANK(E16:J16)), E16:J16 &lt;&gt; $L$8), 1), $L$8)"),"Nem OK")</f>
        <v>Nem OK</v>
      </c>
      <c r="E16" s="18"/>
      <c r="F16" s="28"/>
      <c r="H16" s="28">
        <f>IF(C63=$L$7,B63,$L$8)</f>
        <v>0</v>
      </c>
      <c r="J16" s="28">
        <f t="shared" si="2"/>
        <v>0</v>
      </c>
    </row>
    <row r="17" spans="1:10">
      <c r="A17" s="1" t="s">
        <v>149</v>
      </c>
      <c r="B17" s="29"/>
      <c r="C17" s="4" t="str">
        <f ca="1">IFERROR(__xludf.DUMMYFUNCTION("IFNA(INDEX(FILTER(E17:J17, NOT(ISBLANK(E17:J17)), E17:J17 &lt;&gt; $L$8), 1), $L$8)"),"Nem OK")</f>
        <v>Nem OK</v>
      </c>
      <c r="E17" s="32"/>
      <c r="F17" s="33">
        <f>IF(C45=$L$7,B45,$L$8)</f>
        <v>0</v>
      </c>
      <c r="G17" s="22"/>
      <c r="H17" s="34"/>
      <c r="I17" s="22">
        <f>IF(C68=$L$7,B68,$L$8)</f>
        <v>0</v>
      </c>
      <c r="J17" s="34"/>
    </row>
    <row r="18" spans="1:10">
      <c r="A18" s="1" t="s">
        <v>150</v>
      </c>
      <c r="B18" s="29"/>
    </row>
    <row r="20" spans="1:10">
      <c r="A20" s="1" t="s">
        <v>151</v>
      </c>
      <c r="B20" s="4" t="e">
        <f>B17/B18</f>
        <v>#DIV/0!</v>
      </c>
    </row>
    <row r="23" spans="1:10">
      <c r="A23" s="2" t="s">
        <v>152</v>
      </c>
    </row>
    <row r="36" spans="1:8">
      <c r="A36" s="35" t="s">
        <v>153</v>
      </c>
      <c r="B36" s="36"/>
      <c r="C36" s="37"/>
      <c r="D36" s="36" t="s">
        <v>154</v>
      </c>
      <c r="E36" s="36" t="s">
        <v>155</v>
      </c>
      <c r="F36" s="36" t="s">
        <v>156</v>
      </c>
      <c r="G36" s="36" t="s">
        <v>157</v>
      </c>
      <c r="H36" s="38" t="s">
        <v>158</v>
      </c>
    </row>
    <row r="37" spans="1:8">
      <c r="A37" s="27" t="s">
        <v>144</v>
      </c>
      <c r="B37" s="13">
        <f>F37+G37+H37-E37</f>
        <v>0</v>
      </c>
      <c r="C37" s="13" t="str">
        <f t="shared" ref="C37:C41" si="3">IF(COUNTBLANK(D37:H37) = 0, $L$7, $L$8)</f>
        <v>OK</v>
      </c>
      <c r="D37" s="2" t="str">
        <f>L7</f>
        <v>OK</v>
      </c>
      <c r="E37" s="13">
        <f>$B$8</f>
        <v>0</v>
      </c>
      <c r="F37" s="13">
        <f t="shared" ref="F37:F38" si="4">$B$13</f>
        <v>0</v>
      </c>
      <c r="G37" s="13">
        <f t="shared" ref="G37:G39" si="5">$B$6</f>
        <v>0</v>
      </c>
      <c r="H37" s="39">
        <f t="shared" ref="H37:H40" si="6">$B$3</f>
        <v>0</v>
      </c>
    </row>
    <row r="38" spans="1:8">
      <c r="A38" s="27" t="s">
        <v>140</v>
      </c>
      <c r="B38" s="13">
        <f>F38+G38+H38-D38</f>
        <v>0</v>
      </c>
      <c r="C38" s="13" t="str">
        <f t="shared" si="3"/>
        <v>OK</v>
      </c>
      <c r="D38" s="40">
        <f t="shared" ref="D38:D41" si="7">$B$12</f>
        <v>0</v>
      </c>
      <c r="E38" s="2" t="str">
        <f>L7</f>
        <v>OK</v>
      </c>
      <c r="F38" s="13">
        <f t="shared" si="4"/>
        <v>0</v>
      </c>
      <c r="G38" s="13">
        <f t="shared" si="5"/>
        <v>0</v>
      </c>
      <c r="H38" s="39">
        <f t="shared" si="6"/>
        <v>0</v>
      </c>
    </row>
    <row r="39" spans="1:8">
      <c r="A39" s="27" t="s">
        <v>145</v>
      </c>
      <c r="B39" s="13">
        <f>D39+E39-G39-H39</f>
        <v>0</v>
      </c>
      <c r="C39" s="13" t="str">
        <f t="shared" si="3"/>
        <v>OK</v>
      </c>
      <c r="D39" s="40">
        <f t="shared" si="7"/>
        <v>0</v>
      </c>
      <c r="E39" s="13">
        <f t="shared" ref="E39:E41" si="8">$B$8</f>
        <v>0</v>
      </c>
      <c r="F39" s="2" t="str">
        <f>L7</f>
        <v>OK</v>
      </c>
      <c r="G39" s="13">
        <f t="shared" si="5"/>
        <v>0</v>
      </c>
      <c r="H39" s="39">
        <f t="shared" si="6"/>
        <v>0</v>
      </c>
    </row>
    <row r="40" spans="1:8">
      <c r="A40" s="27" t="s">
        <v>138</v>
      </c>
      <c r="B40" s="13">
        <f>D40+E40-F40-H40</f>
        <v>0</v>
      </c>
      <c r="C40" s="13" t="str">
        <f t="shared" si="3"/>
        <v>OK</v>
      </c>
      <c r="D40" s="40">
        <f t="shared" si="7"/>
        <v>0</v>
      </c>
      <c r="E40" s="13">
        <f t="shared" si="8"/>
        <v>0</v>
      </c>
      <c r="F40" s="40">
        <f t="shared" ref="F40:F41" si="9">$B$13</f>
        <v>0</v>
      </c>
      <c r="G40" s="2" t="str">
        <f>L7</f>
        <v>OK</v>
      </c>
      <c r="H40" s="39">
        <f t="shared" si="6"/>
        <v>0</v>
      </c>
    </row>
    <row r="41" spans="1:8">
      <c r="A41" s="41" t="s">
        <v>135</v>
      </c>
      <c r="B41" s="22">
        <f>D41+E41-F41-G41</f>
        <v>0</v>
      </c>
      <c r="C41" s="22" t="str">
        <f t="shared" si="3"/>
        <v>OK</v>
      </c>
      <c r="D41" s="42">
        <f t="shared" si="7"/>
        <v>0</v>
      </c>
      <c r="E41" s="22">
        <f t="shared" si="8"/>
        <v>0</v>
      </c>
      <c r="F41" s="42">
        <f t="shared" si="9"/>
        <v>0</v>
      </c>
      <c r="G41" s="22">
        <f>$B$6</f>
        <v>0</v>
      </c>
      <c r="H41" s="43" t="str">
        <f>L7</f>
        <v>OK</v>
      </c>
    </row>
    <row r="44" spans="1:8">
      <c r="A44" s="35" t="s">
        <v>159</v>
      </c>
      <c r="B44" s="37"/>
      <c r="C44" s="37"/>
      <c r="D44" s="36" t="s">
        <v>160</v>
      </c>
      <c r="E44" s="36" t="s">
        <v>161</v>
      </c>
      <c r="F44" s="36" t="s">
        <v>162</v>
      </c>
      <c r="G44" s="36" t="s">
        <v>163</v>
      </c>
      <c r="H44" s="38" t="s">
        <v>154</v>
      </c>
    </row>
    <row r="45" spans="1:8">
      <c r="A45" s="27" t="s">
        <v>164</v>
      </c>
      <c r="B45" s="13">
        <f>F45+G45+H45-E45</f>
        <v>0</v>
      </c>
      <c r="C45" s="13" t="str">
        <f t="shared" ref="C45:C49" si="10">IF(COUNTBLANK(D45:H45) = 0, $L$7, $L$8)</f>
        <v>OK</v>
      </c>
      <c r="D45" s="13" t="str">
        <f>L7</f>
        <v>OK</v>
      </c>
      <c r="E45" s="13">
        <f>$B$9</f>
        <v>0</v>
      </c>
      <c r="F45" s="13">
        <f t="shared" ref="F45:F46" si="11">$B$14</f>
        <v>0</v>
      </c>
      <c r="G45" s="13">
        <f t="shared" ref="G45:G47" si="12">$B$7</f>
        <v>0</v>
      </c>
      <c r="H45" s="39">
        <f t="shared" ref="H45:H48" si="13">$B$12</f>
        <v>0</v>
      </c>
    </row>
    <row r="46" spans="1:8">
      <c r="A46" s="27" t="s">
        <v>141</v>
      </c>
      <c r="B46" s="13">
        <f>F46+G46+H46-D46</f>
        <v>0</v>
      </c>
      <c r="C46" s="13" t="str">
        <f t="shared" si="10"/>
        <v>OK</v>
      </c>
      <c r="D46" s="13">
        <f t="shared" ref="D46:D49" si="14">$B$17</f>
        <v>0</v>
      </c>
      <c r="E46" s="13" t="str">
        <f>L7</f>
        <v>OK</v>
      </c>
      <c r="F46" s="13">
        <f t="shared" si="11"/>
        <v>0</v>
      </c>
      <c r="G46" s="13">
        <f t="shared" si="12"/>
        <v>0</v>
      </c>
      <c r="H46" s="39">
        <f t="shared" si="13"/>
        <v>0</v>
      </c>
    </row>
    <row r="47" spans="1:8">
      <c r="A47" s="27" t="s">
        <v>146</v>
      </c>
      <c r="B47" s="13">
        <f>D47+E47-G47-H47</f>
        <v>0</v>
      </c>
      <c r="C47" s="13" t="str">
        <f t="shared" si="10"/>
        <v>OK</v>
      </c>
      <c r="D47" s="13">
        <f t="shared" si="14"/>
        <v>0</v>
      </c>
      <c r="E47" s="40">
        <f t="shared" ref="E47:E49" si="15">$B$9</f>
        <v>0</v>
      </c>
      <c r="F47" s="13" t="str">
        <f>L7</f>
        <v>OK</v>
      </c>
      <c r="G47" s="13">
        <f t="shared" si="12"/>
        <v>0</v>
      </c>
      <c r="H47" s="39">
        <f t="shared" si="13"/>
        <v>0</v>
      </c>
    </row>
    <row r="48" spans="1:8">
      <c r="A48" s="27" t="s">
        <v>165</v>
      </c>
      <c r="B48" s="13">
        <f>D48+E48-F48-H48</f>
        <v>0</v>
      </c>
      <c r="C48" s="13" t="str">
        <f t="shared" si="10"/>
        <v>OK</v>
      </c>
      <c r="D48" s="13">
        <f t="shared" si="14"/>
        <v>0</v>
      </c>
      <c r="E48" s="40">
        <f t="shared" si="15"/>
        <v>0</v>
      </c>
      <c r="F48" s="13">
        <f t="shared" ref="F48:F49" si="16">$B$14</f>
        <v>0</v>
      </c>
      <c r="G48" s="13" t="str">
        <f>L7</f>
        <v>OK</v>
      </c>
      <c r="H48" s="39">
        <f t="shared" si="13"/>
        <v>0</v>
      </c>
    </row>
    <row r="49" spans="1:9">
      <c r="A49" s="41" t="s">
        <v>144</v>
      </c>
      <c r="B49" s="22">
        <f>D49+E49-F49-G49</f>
        <v>0</v>
      </c>
      <c r="C49" s="22" t="str">
        <f t="shared" si="10"/>
        <v>OK</v>
      </c>
      <c r="D49" s="22">
        <f t="shared" si="14"/>
        <v>0</v>
      </c>
      <c r="E49" s="42">
        <f t="shared" si="15"/>
        <v>0</v>
      </c>
      <c r="F49" s="22">
        <f t="shared" si="16"/>
        <v>0</v>
      </c>
      <c r="G49" s="22">
        <f>$B$7</f>
        <v>0</v>
      </c>
      <c r="H49" s="23" t="str">
        <f>L7</f>
        <v>OK</v>
      </c>
    </row>
    <row r="52" spans="1:9">
      <c r="A52" s="35" t="s">
        <v>166</v>
      </c>
      <c r="B52" s="37"/>
      <c r="C52" s="37"/>
      <c r="D52" s="36" t="s">
        <v>157</v>
      </c>
      <c r="E52" s="36" t="s">
        <v>163</v>
      </c>
      <c r="F52" s="36" t="s">
        <v>155</v>
      </c>
      <c r="G52" s="36" t="s">
        <v>161</v>
      </c>
      <c r="H52" s="36" t="s">
        <v>167</v>
      </c>
      <c r="I52" s="38" t="s">
        <v>168</v>
      </c>
    </row>
    <row r="53" spans="1:9">
      <c r="A53" s="27" t="s">
        <v>138</v>
      </c>
      <c r="B53" s="13">
        <f>F53+G53+H53+I53-E53</f>
        <v>0</v>
      </c>
      <c r="C53" s="13" t="str">
        <f t="shared" ref="C53:C58" si="17">IF(COUNTBLANK(D53:I53) = 0, $L$7, $L$8)</f>
        <v>OK</v>
      </c>
      <c r="D53" s="13" t="str">
        <f>L7</f>
        <v>OK</v>
      </c>
      <c r="E53" s="40">
        <f>$B$7</f>
        <v>0</v>
      </c>
      <c r="F53" s="40">
        <f t="shared" ref="F53:F54" si="18">$B$8</f>
        <v>0</v>
      </c>
      <c r="G53" s="40">
        <f t="shared" ref="G53:G55" si="19">$B$9</f>
        <v>0</v>
      </c>
      <c r="H53" s="13">
        <f t="shared" ref="H53:H56" si="20">$B$15</f>
        <v>0</v>
      </c>
      <c r="I53" s="39">
        <f t="shared" ref="I53:I57" si="21">$B$5</f>
        <v>0</v>
      </c>
    </row>
    <row r="54" spans="1:9">
      <c r="A54" s="27" t="s">
        <v>165</v>
      </c>
      <c r="B54" s="13">
        <f>F54+G54+H54+I54-D54</f>
        <v>0</v>
      </c>
      <c r="C54" s="13" t="str">
        <f t="shared" si="17"/>
        <v>OK</v>
      </c>
      <c r="D54" s="40">
        <f t="shared" ref="D54:D58" si="22">$B$6</f>
        <v>0</v>
      </c>
      <c r="E54" s="13" t="str">
        <f>L7</f>
        <v>OK</v>
      </c>
      <c r="F54" s="40">
        <f t="shared" si="18"/>
        <v>0</v>
      </c>
      <c r="G54" s="40">
        <f t="shared" si="19"/>
        <v>0</v>
      </c>
      <c r="H54" s="13">
        <f t="shared" si="20"/>
        <v>0</v>
      </c>
      <c r="I54" s="39">
        <f t="shared" si="21"/>
        <v>0</v>
      </c>
    </row>
    <row r="55" spans="1:9">
      <c r="A55" s="27" t="s">
        <v>140</v>
      </c>
      <c r="B55" s="13">
        <f>D55+E55-G55-H55-I55</f>
        <v>0</v>
      </c>
      <c r="C55" s="13" t="str">
        <f t="shared" si="17"/>
        <v>OK</v>
      </c>
      <c r="D55" s="40">
        <f t="shared" si="22"/>
        <v>0</v>
      </c>
      <c r="E55" s="40">
        <f t="shared" ref="E55:E58" si="23">$B$7</f>
        <v>0</v>
      </c>
      <c r="F55" s="13" t="str">
        <f>L7</f>
        <v>OK</v>
      </c>
      <c r="G55" s="40">
        <f t="shared" si="19"/>
        <v>0</v>
      </c>
      <c r="H55" s="13">
        <f t="shared" si="20"/>
        <v>0</v>
      </c>
      <c r="I55" s="39">
        <f t="shared" si="21"/>
        <v>0</v>
      </c>
    </row>
    <row r="56" spans="1:9">
      <c r="A56" s="27" t="s">
        <v>141</v>
      </c>
      <c r="B56" s="13">
        <f>D56+E56-F56-H56-I56</f>
        <v>0</v>
      </c>
      <c r="C56" s="13" t="str">
        <f t="shared" si="17"/>
        <v>OK</v>
      </c>
      <c r="D56" s="40">
        <f t="shared" si="22"/>
        <v>0</v>
      </c>
      <c r="E56" s="40">
        <f t="shared" si="23"/>
        <v>0</v>
      </c>
      <c r="F56" s="40">
        <f t="shared" ref="F56:F58" si="24">$B$8</f>
        <v>0</v>
      </c>
      <c r="G56" s="13" t="str">
        <f>L7</f>
        <v>OK</v>
      </c>
      <c r="H56" s="13">
        <f t="shared" si="20"/>
        <v>0</v>
      </c>
      <c r="I56" s="39">
        <f t="shared" si="21"/>
        <v>0</v>
      </c>
    </row>
    <row r="57" spans="1:9">
      <c r="A57" s="27" t="s">
        <v>147</v>
      </c>
      <c r="B57" s="13">
        <f>D57+E57-F57-G57-I57</f>
        <v>0</v>
      </c>
      <c r="C57" s="13" t="str">
        <f t="shared" si="17"/>
        <v>OK</v>
      </c>
      <c r="D57" s="40">
        <f t="shared" si="22"/>
        <v>0</v>
      </c>
      <c r="E57" s="40">
        <f t="shared" si="23"/>
        <v>0</v>
      </c>
      <c r="F57" s="40">
        <f t="shared" si="24"/>
        <v>0</v>
      </c>
      <c r="G57" s="40">
        <f t="shared" ref="G57:G58" si="25">$B$9</f>
        <v>0</v>
      </c>
      <c r="H57" s="13" t="str">
        <f>L7</f>
        <v>OK</v>
      </c>
      <c r="I57" s="39">
        <f t="shared" si="21"/>
        <v>0</v>
      </c>
    </row>
    <row r="58" spans="1:9">
      <c r="A58" s="41" t="s">
        <v>137</v>
      </c>
      <c r="B58" s="22">
        <f>D58+E58-F58-G58-H58</f>
        <v>0</v>
      </c>
      <c r="C58" s="22" t="str">
        <f t="shared" si="17"/>
        <v>OK</v>
      </c>
      <c r="D58" s="42">
        <f t="shared" si="22"/>
        <v>0</v>
      </c>
      <c r="E58" s="42">
        <f t="shared" si="23"/>
        <v>0</v>
      </c>
      <c r="F58" s="42">
        <f t="shared" si="24"/>
        <v>0</v>
      </c>
      <c r="G58" s="42">
        <f t="shared" si="25"/>
        <v>0</v>
      </c>
      <c r="H58" s="42">
        <f>$B$15</f>
        <v>0</v>
      </c>
      <c r="I58" s="23" t="str">
        <f>L7</f>
        <v>OK</v>
      </c>
    </row>
    <row r="61" spans="1:9">
      <c r="A61" s="35" t="s">
        <v>169</v>
      </c>
      <c r="B61" s="37"/>
      <c r="C61" s="37"/>
      <c r="D61" s="36" t="s">
        <v>170</v>
      </c>
      <c r="E61" s="36" t="s">
        <v>171</v>
      </c>
      <c r="F61" s="38" t="s">
        <v>172</v>
      </c>
    </row>
    <row r="62" spans="1:9">
      <c r="A62" s="27" t="s">
        <v>143</v>
      </c>
      <c r="B62" s="13">
        <f>F62-E62</f>
        <v>0</v>
      </c>
      <c r="C62" s="13" t="str">
        <f t="shared" ref="C62:C64" si="26">IF(COUNTBLANK(D62:F62) = 0, $L$7, $L$8)</f>
        <v>OK</v>
      </c>
      <c r="D62" s="13" t="str">
        <f>L7</f>
        <v>OK</v>
      </c>
      <c r="E62" s="13">
        <f>$B$16</f>
        <v>0</v>
      </c>
      <c r="F62" s="39">
        <f t="shared" ref="F62:F63" si="27">$B$10</f>
        <v>0</v>
      </c>
    </row>
    <row r="63" spans="1:9">
      <c r="A63" s="27" t="s">
        <v>148</v>
      </c>
      <c r="B63" s="13">
        <f>F63-D63</f>
        <v>0</v>
      </c>
      <c r="C63" s="13" t="str">
        <f t="shared" si="26"/>
        <v>OK</v>
      </c>
      <c r="D63" s="13">
        <f t="shared" ref="D63:D64" si="28">$B$11</f>
        <v>0</v>
      </c>
      <c r="E63" s="13" t="str">
        <f>L7</f>
        <v>OK</v>
      </c>
      <c r="F63" s="39">
        <f t="shared" si="27"/>
        <v>0</v>
      </c>
    </row>
    <row r="64" spans="1:9">
      <c r="A64" s="41" t="s">
        <v>142</v>
      </c>
      <c r="B64" s="22">
        <f>D64+E64</f>
        <v>0</v>
      </c>
      <c r="C64" s="22" t="str">
        <f t="shared" si="26"/>
        <v>OK</v>
      </c>
      <c r="D64" s="22">
        <f t="shared" si="28"/>
        <v>0</v>
      </c>
      <c r="E64" s="42">
        <f>$B$16</f>
        <v>0</v>
      </c>
      <c r="F64" s="23" t="str">
        <f>L7</f>
        <v>OK</v>
      </c>
    </row>
    <row r="67" spans="1:9">
      <c r="A67" s="35" t="s">
        <v>173</v>
      </c>
      <c r="B67" s="37"/>
      <c r="C67" s="37"/>
      <c r="D67" s="36" t="s">
        <v>160</v>
      </c>
      <c r="E67" s="36" t="s">
        <v>172</v>
      </c>
      <c r="F67" s="36" t="s">
        <v>158</v>
      </c>
      <c r="G67" s="36" t="s">
        <v>174</v>
      </c>
      <c r="H67" s="36" t="s">
        <v>168</v>
      </c>
      <c r="I67" s="38" t="s">
        <v>170</v>
      </c>
    </row>
    <row r="68" spans="1:9">
      <c r="A68" s="27" t="s">
        <v>164</v>
      </c>
      <c r="B68" s="13">
        <f>F68+G68+H68+I68-E68</f>
        <v>0</v>
      </c>
      <c r="C68" s="13" t="str">
        <f t="shared" ref="C68:C73" si="29">IF(COUNTBLANK(D68:I68) = 0, $L$7, $L$8)</f>
        <v>OK</v>
      </c>
      <c r="D68" s="13" t="str">
        <f>L7</f>
        <v>OK</v>
      </c>
      <c r="E68" s="40">
        <f>$B$10</f>
        <v>0</v>
      </c>
      <c r="F68" s="40">
        <f t="shared" ref="F68:F69" si="30">$B$3</f>
        <v>0</v>
      </c>
      <c r="G68" s="13">
        <f t="shared" ref="G68:G70" si="31">$B$4</f>
        <v>0</v>
      </c>
      <c r="H68" s="40">
        <f t="shared" ref="H68:H71" si="32">$B$5</f>
        <v>0</v>
      </c>
      <c r="I68" s="39">
        <f t="shared" ref="I68:I72" si="33">$B$11</f>
        <v>0</v>
      </c>
    </row>
    <row r="69" spans="1:9">
      <c r="A69" s="27" t="s">
        <v>142</v>
      </c>
      <c r="B69" s="13">
        <f>F69+G69+H69+I69-D69</f>
        <v>0</v>
      </c>
      <c r="C69" s="13" t="str">
        <f t="shared" si="29"/>
        <v>OK</v>
      </c>
      <c r="D69" s="13">
        <f t="shared" ref="D69:D73" si="34">$B$17</f>
        <v>0</v>
      </c>
      <c r="E69" s="13" t="str">
        <f>L7</f>
        <v>OK</v>
      </c>
      <c r="F69" s="40">
        <f t="shared" si="30"/>
        <v>0</v>
      </c>
      <c r="G69" s="13">
        <f t="shared" si="31"/>
        <v>0</v>
      </c>
      <c r="H69" s="40">
        <f t="shared" si="32"/>
        <v>0</v>
      </c>
      <c r="I69" s="39">
        <f t="shared" si="33"/>
        <v>0</v>
      </c>
    </row>
    <row r="70" spans="1:9">
      <c r="A70" s="27" t="s">
        <v>135</v>
      </c>
      <c r="B70" s="13">
        <f>D70+E70-G70-H70-I70</f>
        <v>0</v>
      </c>
      <c r="C70" s="13" t="str">
        <f t="shared" si="29"/>
        <v>OK</v>
      </c>
      <c r="D70" s="13">
        <f t="shared" si="34"/>
        <v>0</v>
      </c>
      <c r="E70" s="40">
        <f t="shared" ref="E70:E73" si="35">$B$10</f>
        <v>0</v>
      </c>
      <c r="F70" s="13" t="str">
        <f>L7</f>
        <v>OK</v>
      </c>
      <c r="G70" s="13">
        <f t="shared" si="31"/>
        <v>0</v>
      </c>
      <c r="H70" s="40">
        <f t="shared" si="32"/>
        <v>0</v>
      </c>
      <c r="I70" s="39">
        <f t="shared" si="33"/>
        <v>0</v>
      </c>
    </row>
    <row r="71" spans="1:9">
      <c r="A71" s="27" t="s">
        <v>136</v>
      </c>
      <c r="B71" s="13">
        <f>D71+E71-F71-H71-I71</f>
        <v>0</v>
      </c>
      <c r="C71" s="13" t="str">
        <f t="shared" si="29"/>
        <v>OK</v>
      </c>
      <c r="D71" s="13">
        <f t="shared" si="34"/>
        <v>0</v>
      </c>
      <c r="E71" s="40">
        <f t="shared" si="35"/>
        <v>0</v>
      </c>
      <c r="F71" s="40">
        <f t="shared" ref="F71:F73" si="36">$B$3</f>
        <v>0</v>
      </c>
      <c r="G71" s="13" t="str">
        <f>L7</f>
        <v>OK</v>
      </c>
      <c r="H71" s="40">
        <f t="shared" si="32"/>
        <v>0</v>
      </c>
      <c r="I71" s="39">
        <f t="shared" si="33"/>
        <v>0</v>
      </c>
    </row>
    <row r="72" spans="1:9">
      <c r="A72" s="27" t="s">
        <v>137</v>
      </c>
      <c r="B72" s="13">
        <f>D72+E72-F72-G72-I72</f>
        <v>0</v>
      </c>
      <c r="C72" s="13" t="str">
        <f t="shared" si="29"/>
        <v>OK</v>
      </c>
      <c r="D72" s="13">
        <f t="shared" si="34"/>
        <v>0</v>
      </c>
      <c r="E72" s="40">
        <f t="shared" si="35"/>
        <v>0</v>
      </c>
      <c r="F72" s="40">
        <f t="shared" si="36"/>
        <v>0</v>
      </c>
      <c r="G72" s="40">
        <f t="shared" ref="G72:G73" si="37">$B$4</f>
        <v>0</v>
      </c>
      <c r="H72" s="13" t="str">
        <f>L7</f>
        <v>OK</v>
      </c>
      <c r="I72" s="39">
        <f t="shared" si="33"/>
        <v>0</v>
      </c>
    </row>
    <row r="73" spans="1:9">
      <c r="A73" s="41" t="s">
        <v>143</v>
      </c>
      <c r="B73" s="22">
        <f>D73+E73-F73-G73-H73</f>
        <v>0</v>
      </c>
      <c r="C73" s="22" t="str">
        <f t="shared" si="29"/>
        <v>OK</v>
      </c>
      <c r="D73" s="22">
        <f t="shared" si="34"/>
        <v>0</v>
      </c>
      <c r="E73" s="42">
        <f t="shared" si="35"/>
        <v>0</v>
      </c>
      <c r="F73" s="42">
        <f t="shared" si="36"/>
        <v>0</v>
      </c>
      <c r="G73" s="42">
        <f t="shared" si="37"/>
        <v>0</v>
      </c>
      <c r="H73" s="42">
        <f>$B$5</f>
        <v>0</v>
      </c>
      <c r="I73" s="23" t="str">
        <f>L7</f>
        <v>OK</v>
      </c>
    </row>
    <row r="76" spans="1:9">
      <c r="A76" s="35" t="s">
        <v>175</v>
      </c>
      <c r="B76" s="37"/>
      <c r="C76" s="37"/>
      <c r="D76" s="36" t="s">
        <v>174</v>
      </c>
      <c r="E76" s="36" t="s">
        <v>156</v>
      </c>
      <c r="F76" s="36" t="s">
        <v>162</v>
      </c>
      <c r="G76" s="36" t="s">
        <v>167</v>
      </c>
      <c r="H76" s="38" t="s">
        <v>171</v>
      </c>
    </row>
    <row r="77" spans="1:9">
      <c r="A77" s="27" t="s">
        <v>136</v>
      </c>
      <c r="B77" s="13">
        <f>E77+F77+G77+H77</f>
        <v>0</v>
      </c>
      <c r="C77" s="13" t="str">
        <f t="shared" ref="C77:C81" si="38">IF(COUNTBLANK(D77:H77) = 0, $L$7, $L$8)</f>
        <v>OK</v>
      </c>
      <c r="D77" s="13" t="str">
        <f>L7</f>
        <v>OK</v>
      </c>
      <c r="E77" s="40">
        <f>$B$13</f>
        <v>0</v>
      </c>
      <c r="F77" s="40">
        <f t="shared" ref="F77:F78" si="39">$B$14</f>
        <v>0</v>
      </c>
      <c r="G77" s="40">
        <f t="shared" ref="G77:G79" si="40">$B$15</f>
        <v>0</v>
      </c>
      <c r="H77" s="44">
        <f t="shared" ref="H77:H80" si="41">$B$16</f>
        <v>0</v>
      </c>
    </row>
    <row r="78" spans="1:9">
      <c r="A78" s="27" t="s">
        <v>145</v>
      </c>
      <c r="B78" s="13">
        <f>D78-F78-G78-H78</f>
        <v>0</v>
      </c>
      <c r="C78" s="13" t="str">
        <f t="shared" si="38"/>
        <v>OK</v>
      </c>
      <c r="D78" s="40">
        <f t="shared" ref="D78:D81" si="42">$B$4</f>
        <v>0</v>
      </c>
      <c r="E78" s="13" t="str">
        <f>L7</f>
        <v>OK</v>
      </c>
      <c r="F78" s="40">
        <f t="shared" si="39"/>
        <v>0</v>
      </c>
      <c r="G78" s="40">
        <f t="shared" si="40"/>
        <v>0</v>
      </c>
      <c r="H78" s="44">
        <f t="shared" si="41"/>
        <v>0</v>
      </c>
    </row>
    <row r="79" spans="1:9">
      <c r="A79" s="27" t="s">
        <v>146</v>
      </c>
      <c r="B79" s="13">
        <f>D79-E79-G79-H79</f>
        <v>0</v>
      </c>
      <c r="C79" s="13" t="str">
        <f t="shared" si="38"/>
        <v>OK</v>
      </c>
      <c r="D79" s="40">
        <f t="shared" si="42"/>
        <v>0</v>
      </c>
      <c r="E79" s="40">
        <f t="shared" ref="E79:E81" si="43">$B$13</f>
        <v>0</v>
      </c>
      <c r="F79" s="13" t="str">
        <f>L7</f>
        <v>OK</v>
      </c>
      <c r="G79" s="40">
        <f t="shared" si="40"/>
        <v>0</v>
      </c>
      <c r="H79" s="44">
        <f t="shared" si="41"/>
        <v>0</v>
      </c>
    </row>
    <row r="80" spans="1:9">
      <c r="A80" s="27" t="s">
        <v>147</v>
      </c>
      <c r="B80" s="13">
        <f>D80-E80-F80-H80</f>
        <v>0</v>
      </c>
      <c r="C80" s="13" t="str">
        <f t="shared" si="38"/>
        <v>OK</v>
      </c>
      <c r="D80" s="40">
        <f t="shared" si="42"/>
        <v>0</v>
      </c>
      <c r="E80" s="40">
        <f t="shared" si="43"/>
        <v>0</v>
      </c>
      <c r="F80" s="40">
        <f t="shared" ref="F80:F81" si="44">$B$14</f>
        <v>0</v>
      </c>
      <c r="G80" s="13" t="str">
        <f>L7</f>
        <v>OK</v>
      </c>
      <c r="H80" s="44">
        <f t="shared" si="41"/>
        <v>0</v>
      </c>
    </row>
    <row r="81" spans="1:8">
      <c r="A81" s="41" t="s">
        <v>148</v>
      </c>
      <c r="B81" s="22">
        <f>D81-E81-F81-G81</f>
        <v>0</v>
      </c>
      <c r="C81" s="22" t="str">
        <f t="shared" si="38"/>
        <v>OK</v>
      </c>
      <c r="D81" s="42">
        <f t="shared" si="42"/>
        <v>0</v>
      </c>
      <c r="E81" s="42">
        <f t="shared" si="43"/>
        <v>0</v>
      </c>
      <c r="F81" s="42">
        <f t="shared" si="44"/>
        <v>0</v>
      </c>
      <c r="G81" s="42">
        <f>$B$15</f>
        <v>0</v>
      </c>
      <c r="H81" s="23" t="str">
        <f>L7</f>
        <v>OK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2:M61"/>
  <sheetViews>
    <sheetView workbookViewId="0"/>
  </sheetViews>
  <sheetFormatPr defaultColWidth="14.42578125" defaultRowHeight="15.75" customHeight="1"/>
  <cols>
    <col min="1" max="1" width="36" customWidth="1"/>
  </cols>
  <sheetData>
    <row r="2" spans="1:13">
      <c r="B2" s="1" t="s">
        <v>115</v>
      </c>
      <c r="C2" s="1" t="s">
        <v>116</v>
      </c>
      <c r="E2" s="45" t="s">
        <v>176</v>
      </c>
      <c r="F2" s="46" t="s">
        <v>177</v>
      </c>
      <c r="G2" s="47" t="s">
        <v>177</v>
      </c>
      <c r="H2" s="46" t="s">
        <v>178</v>
      </c>
      <c r="I2" s="48" t="s">
        <v>179</v>
      </c>
      <c r="J2" s="46" t="s">
        <v>180</v>
      </c>
      <c r="K2" s="46" t="s">
        <v>181</v>
      </c>
    </row>
    <row r="3" spans="1:13">
      <c r="A3" s="1" t="s">
        <v>182</v>
      </c>
      <c r="B3" s="29"/>
      <c r="C3" s="4" t="str">
        <f ca="1">IFERROR(__xludf.DUMMYFUNCTION("IFNA(INDEX(FILTER(E3:K3, NOT(ISBLANK(E3:K3)), E3:K3 &lt;&gt; $M$5), 1), $M$5)"),"Nem OK")</f>
        <v>Nem OK</v>
      </c>
      <c r="E3" s="18"/>
      <c r="F3" s="28"/>
      <c r="G3" s="13">
        <f>IF(C34=M4,B34,M5)</f>
        <v>0</v>
      </c>
      <c r="H3" s="28"/>
      <c r="I3" s="39"/>
      <c r="J3" s="28"/>
      <c r="K3" s="28"/>
    </row>
    <row r="4" spans="1:13">
      <c r="A4" s="1" t="s">
        <v>183</v>
      </c>
      <c r="B4" s="29"/>
      <c r="C4" s="4" t="str">
        <f ca="1">IFERROR(__xludf.DUMMYFUNCTION("IFNA(INDEX(FILTER(E4:K4, NOT(ISBLANK(E4:K4)), E4:K4 &lt;&gt; $M$5), 1), $M$5)"),"Nem OK")</f>
        <v>Nem OK</v>
      </c>
      <c r="E4" s="18"/>
      <c r="F4" s="28"/>
      <c r="G4" s="13">
        <f>IF(C35=M4,B35,M5)</f>
        <v>0</v>
      </c>
      <c r="H4" s="28"/>
      <c r="I4" s="39"/>
      <c r="J4" s="28"/>
      <c r="K4" s="28"/>
      <c r="M4" s="2" t="s">
        <v>124</v>
      </c>
    </row>
    <row r="5" spans="1:13">
      <c r="A5" s="1" t="s">
        <v>184</v>
      </c>
      <c r="B5" s="29"/>
      <c r="C5" s="4" t="str">
        <f ca="1">IFERROR(__xludf.DUMMYFUNCTION("IFNA(INDEX(FILTER(E5:K5, NOT(ISBLANK(E5:K5)), E5:K5 &lt;&gt; $M$5), 1), $M$5)"),"Nem OK")</f>
        <v>Nem OK</v>
      </c>
      <c r="E5" s="18"/>
      <c r="F5" s="28">
        <f>IF(C28=M4,B28,M5)</f>
        <v>0</v>
      </c>
      <c r="H5" s="28"/>
      <c r="I5" s="39"/>
      <c r="J5" s="28"/>
      <c r="K5" s="28"/>
      <c r="M5" s="2" t="s">
        <v>125</v>
      </c>
    </row>
    <row r="6" spans="1:13">
      <c r="A6" s="1" t="s">
        <v>185</v>
      </c>
      <c r="B6" s="29"/>
      <c r="C6" s="4" t="str">
        <f ca="1">IFERROR(__xludf.DUMMYFUNCTION("IFNA(INDEX(FILTER(E6:K6, NOT(ISBLANK(E6:K6)), E6:K6 &lt;&gt; $M$5), 1), $M$5)"),"Nem OK")</f>
        <v>Nem OK</v>
      </c>
      <c r="E6" s="18"/>
      <c r="F6" s="28"/>
      <c r="H6" s="28">
        <f>IF(C41=M4,B41,M5)</f>
        <v>0</v>
      </c>
      <c r="I6" s="39"/>
      <c r="J6" s="28"/>
      <c r="K6" s="28"/>
    </row>
    <row r="7" spans="1:13">
      <c r="A7" s="1" t="s">
        <v>186</v>
      </c>
      <c r="B7" s="29"/>
      <c r="C7" s="4" t="str">
        <f ca="1">IFERROR(__xludf.DUMMYFUNCTION("IFNA(INDEX(FILTER(E7:K7, NOT(ISBLANK(E7:K7)), E7:K7 &lt;&gt; $M$5), 1), $M$5)"),"Nem OK")</f>
        <v>Nem OK</v>
      </c>
      <c r="E7" s="18"/>
      <c r="F7" s="28">
        <f>IF(C29=M4,B29,M5)</f>
        <v>0</v>
      </c>
      <c r="H7" s="28">
        <f>IF(C42=M4,B42,M5)</f>
        <v>0</v>
      </c>
      <c r="I7" s="39"/>
      <c r="J7" s="28"/>
      <c r="K7" s="28"/>
    </row>
    <row r="8" spans="1:13">
      <c r="A8" s="1" t="s">
        <v>187</v>
      </c>
      <c r="B8" s="29"/>
      <c r="C8" s="4" t="str">
        <f ca="1">IFERROR(__xludf.DUMMYFUNCTION("IFNA(INDEX(FILTER(E8:K8, NOT(ISBLANK(E8:K8)), E8:K8 &lt;&gt; $M$5), 1), $M$5)"),"Nem OK")</f>
        <v>Nem OK</v>
      </c>
      <c r="E8" s="18"/>
      <c r="F8" s="28"/>
      <c r="H8" s="28"/>
      <c r="I8" s="39">
        <f>IF(C48=M4,B48,M5)</f>
        <v>0</v>
      </c>
      <c r="J8" s="28"/>
      <c r="K8" s="28"/>
    </row>
    <row r="9" spans="1:13">
      <c r="A9" s="1" t="s">
        <v>188</v>
      </c>
      <c r="B9" s="29"/>
      <c r="C9" s="4" t="str">
        <f ca="1">IFERROR(__xludf.DUMMYFUNCTION("IFNA(INDEX(FILTER(E9:K9, NOT(ISBLANK(E9:K9)), E9:K9 &lt;&gt; $M$5), 1), $M$5)"),"Nem OK")</f>
        <v>Nem OK</v>
      </c>
      <c r="E9" s="18"/>
      <c r="F9" s="28"/>
      <c r="H9" s="28"/>
      <c r="I9" s="39">
        <f>IF(C49=M4,B49,M5)</f>
        <v>0</v>
      </c>
      <c r="J9" s="28"/>
      <c r="K9" s="28"/>
    </row>
    <row r="10" spans="1:13">
      <c r="A10" s="1" t="s">
        <v>177</v>
      </c>
      <c r="B10" s="29"/>
      <c r="C10" s="4" t="str">
        <f ca="1">IFERROR(__xludf.DUMMYFUNCTION("IFNA(INDEX(FILTER(E10:K10, NOT(ISBLANK(E10:K10)), E10:K10 &lt;&gt; $M$5), 1), $M$5)"),"Nem OK")</f>
        <v>Nem OK</v>
      </c>
      <c r="E10" s="18">
        <f>IF(C22=M4,B22,M5)</f>
        <v>0</v>
      </c>
      <c r="F10" s="28">
        <f>IF(C27=M4,B27,M5)</f>
        <v>0</v>
      </c>
      <c r="G10" s="13">
        <f>IF(C33=M4,B33,M5)</f>
        <v>0</v>
      </c>
      <c r="H10" s="28">
        <f>IF(C40=M4,B40,M5)</f>
        <v>0</v>
      </c>
      <c r="I10" s="39"/>
      <c r="J10" s="28"/>
      <c r="K10" s="28"/>
    </row>
    <row r="11" spans="1:13">
      <c r="A11" s="1" t="s">
        <v>178</v>
      </c>
      <c r="B11" s="29"/>
      <c r="C11" s="4" t="str">
        <f ca="1">IFERROR(__xludf.DUMMYFUNCTION("IFNA(INDEX(FILTER(E11:K11, NOT(ISBLANK(E11:K11)), E11:K11 &lt;&gt; $M$5), 1), $M$5)"),"Nem OK")</f>
        <v>Nem OK</v>
      </c>
      <c r="E11" s="18"/>
      <c r="F11" s="28"/>
      <c r="H11" s="28">
        <f>IF(C39=M4,B39,M5)</f>
        <v>0</v>
      </c>
      <c r="I11" s="39">
        <f>IF(C47=M4,B47,M5)</f>
        <v>0</v>
      </c>
      <c r="J11" s="28">
        <f>IF(C54=M4,B54,M5)</f>
        <v>0</v>
      </c>
      <c r="K11" s="28"/>
    </row>
    <row r="12" spans="1:13">
      <c r="A12" s="1" t="s">
        <v>179</v>
      </c>
      <c r="B12" s="29"/>
      <c r="C12" s="4" t="str">
        <f ca="1">IFERROR(__xludf.DUMMYFUNCTION("IFNA(INDEX(FILTER(E12:K12, NOT(ISBLANK(E12:K12)), E12:K12 &lt;&gt; $M$5), 1), $M$5)"),"Nem OK")</f>
        <v>Nem OK</v>
      </c>
      <c r="E12" s="18"/>
      <c r="F12" s="28"/>
      <c r="H12" s="28"/>
      <c r="I12" s="39">
        <f>IF(C46=M4,B46,M5)</f>
        <v>0</v>
      </c>
      <c r="J12" s="28"/>
      <c r="K12" s="28">
        <f>IF(C60=M4,B60,M5)</f>
        <v>0</v>
      </c>
    </row>
    <row r="13" spans="1:13">
      <c r="A13" s="1" t="s">
        <v>176</v>
      </c>
      <c r="B13" s="29"/>
      <c r="C13" s="4" t="str">
        <f ca="1">IFERROR(__xludf.DUMMYFUNCTION("IFNA(INDEX(FILTER(E13:K13, NOT(ISBLANK(E13:K13)), E13:K13 &lt;&gt; $M$5), 1), $M$5)"),"Nem OK")</f>
        <v>Nem OK</v>
      </c>
      <c r="E13" s="18">
        <f>IF(C21=M4,B21,M5)</f>
        <v>0</v>
      </c>
      <c r="F13" s="28"/>
      <c r="H13" s="28"/>
      <c r="I13" s="39"/>
      <c r="J13" s="28"/>
      <c r="K13" s="28"/>
    </row>
    <row r="14" spans="1:13">
      <c r="A14" s="1" t="s">
        <v>180</v>
      </c>
      <c r="B14" s="29"/>
      <c r="C14" s="4" t="str">
        <f ca="1">IFERROR(__xludf.DUMMYFUNCTION("IFNA(INDEX(FILTER(E14:K14, NOT(ISBLANK(E14:K14)), E14:K14 &lt;&gt; $M$5), 1), $M$5)"),"Nem OK")</f>
        <v>Nem OK</v>
      </c>
      <c r="E14" s="18"/>
      <c r="F14" s="28"/>
      <c r="H14" s="28"/>
      <c r="I14" s="39"/>
      <c r="J14" s="28">
        <f>IF(C53=M4,B53,M5)</f>
        <v>0</v>
      </c>
      <c r="K14" s="28"/>
    </row>
    <row r="15" spans="1:13">
      <c r="A15" s="1" t="s">
        <v>181</v>
      </c>
      <c r="B15" s="29"/>
      <c r="C15" s="4" t="str">
        <f ca="1">IFERROR(__xludf.DUMMYFUNCTION("IFNA(INDEX(FILTER(E15:K15, NOT(ISBLANK(E15:K15)), E15:K15 &lt;&gt; $M$5), 1), $M$5)"),"Nem OK")</f>
        <v>Nem OK</v>
      </c>
      <c r="E15" s="18"/>
      <c r="F15" s="28"/>
      <c r="H15" s="28"/>
      <c r="I15" s="39"/>
      <c r="J15" s="28"/>
      <c r="K15" s="28">
        <f>IF(C59=M4,B59,M5)</f>
        <v>0</v>
      </c>
    </row>
    <row r="16" spans="1:13">
      <c r="A16" s="1" t="s">
        <v>65</v>
      </c>
      <c r="B16" s="29"/>
      <c r="C16" s="4" t="str">
        <f ca="1">IFERROR(__xludf.DUMMYFUNCTION("IFNA(INDEX(FILTER(E16:K16, NOT(ISBLANK(E16:K16)), E16:K16 &lt;&gt; $M$5), 1), $M$5)"),"Nem OK")</f>
        <v>Nem OK</v>
      </c>
      <c r="E16" s="32">
        <f>IF(C23=M4,B23,M5)</f>
        <v>0</v>
      </c>
      <c r="F16" s="34"/>
      <c r="G16" s="22"/>
      <c r="H16" s="34"/>
      <c r="I16" s="23"/>
      <c r="J16" s="34">
        <f>IF(C55=M4,B55,M5)</f>
        <v>0</v>
      </c>
      <c r="K16" s="34">
        <f>IF(C61=M4,B61,M5)</f>
        <v>0</v>
      </c>
    </row>
    <row r="20" spans="1:6">
      <c r="A20" s="35" t="s">
        <v>176</v>
      </c>
      <c r="B20" s="37"/>
      <c r="C20" s="37"/>
      <c r="D20" s="36" t="s">
        <v>176</v>
      </c>
      <c r="E20" s="36" t="s">
        <v>177</v>
      </c>
      <c r="F20" s="38" t="s">
        <v>189</v>
      </c>
    </row>
    <row r="21" spans="1:6">
      <c r="A21" s="27" t="s">
        <v>176</v>
      </c>
      <c r="B21" s="13">
        <f>E21-F21</f>
        <v>0</v>
      </c>
      <c r="C21" s="13" t="str">
        <f t="shared" ref="C21:C23" si="0">IF(COUNTBLANK(D21:F21) = 0, $M$4, $M$5)</f>
        <v>OK</v>
      </c>
      <c r="D21" s="13" t="str">
        <f>$M$4</f>
        <v>OK</v>
      </c>
      <c r="E21" s="13">
        <f>$B$10</f>
        <v>0</v>
      </c>
      <c r="F21" s="39">
        <f t="shared" ref="F21:F22" si="1">$B$16</f>
        <v>0</v>
      </c>
    </row>
    <row r="22" spans="1:6">
      <c r="A22" s="27" t="s">
        <v>177</v>
      </c>
      <c r="B22" s="13">
        <f>D22+F22</f>
        <v>0</v>
      </c>
      <c r="C22" s="13" t="str">
        <f t="shared" si="0"/>
        <v>OK</v>
      </c>
      <c r="D22" s="13">
        <f t="shared" ref="D22:D23" si="2">$B$13</f>
        <v>0</v>
      </c>
      <c r="E22" s="13" t="str">
        <f>$M$4</f>
        <v>OK</v>
      </c>
      <c r="F22" s="39">
        <f t="shared" si="1"/>
        <v>0</v>
      </c>
    </row>
    <row r="23" spans="1:6">
      <c r="A23" s="41" t="s">
        <v>189</v>
      </c>
      <c r="B23" s="22">
        <f>E23-D23</f>
        <v>0</v>
      </c>
      <c r="C23" s="22" t="str">
        <f t="shared" si="0"/>
        <v>OK</v>
      </c>
      <c r="D23" s="22">
        <f t="shared" si="2"/>
        <v>0</v>
      </c>
      <c r="E23" s="22">
        <f>$B$10</f>
        <v>0</v>
      </c>
      <c r="F23" s="23" t="str">
        <f>$M$4</f>
        <v>OK</v>
      </c>
    </row>
    <row r="26" spans="1:6">
      <c r="A26" s="35" t="s">
        <v>177</v>
      </c>
      <c r="B26" s="37"/>
      <c r="C26" s="37"/>
      <c r="D26" s="36" t="s">
        <v>177</v>
      </c>
      <c r="E26" s="36" t="s">
        <v>190</v>
      </c>
      <c r="F26" s="38" t="s">
        <v>191</v>
      </c>
    </row>
    <row r="27" spans="1:6">
      <c r="A27" s="27" t="s">
        <v>177</v>
      </c>
      <c r="B27" s="13">
        <f>E27+F27</f>
        <v>0</v>
      </c>
      <c r="C27" s="13" t="str">
        <f t="shared" ref="C27:C29" si="3">IF(COUNTBLANK(D27:F27) = 0, $M$4, $M$5)</f>
        <v>OK</v>
      </c>
      <c r="D27" s="13" t="str">
        <f>$M$4</f>
        <v>OK</v>
      </c>
      <c r="E27" s="13">
        <f>$B$5</f>
        <v>0</v>
      </c>
      <c r="F27" s="49">
        <f t="shared" ref="F27:F28" si="4">$B$7</f>
        <v>0</v>
      </c>
    </row>
    <row r="28" spans="1:6">
      <c r="A28" s="27" t="s">
        <v>190</v>
      </c>
      <c r="B28" s="13">
        <f>D28-F28</f>
        <v>0</v>
      </c>
      <c r="C28" s="13" t="str">
        <f t="shared" si="3"/>
        <v>OK</v>
      </c>
      <c r="D28" s="13">
        <f t="shared" ref="D28:D29" si="5">$B$10</f>
        <v>0</v>
      </c>
      <c r="E28" s="13" t="str">
        <f>$M$4</f>
        <v>OK</v>
      </c>
      <c r="F28" s="49">
        <f t="shared" si="4"/>
        <v>0</v>
      </c>
    </row>
    <row r="29" spans="1:6">
      <c r="A29" s="41" t="s">
        <v>191</v>
      </c>
      <c r="B29" s="22">
        <f>D29-E29</f>
        <v>0</v>
      </c>
      <c r="C29" s="22" t="str">
        <f t="shared" si="3"/>
        <v>OK</v>
      </c>
      <c r="D29" s="22">
        <f t="shared" si="5"/>
        <v>0</v>
      </c>
      <c r="E29" s="22">
        <f>$B$5</f>
        <v>0</v>
      </c>
      <c r="F29" s="23" t="str">
        <f>$M$4</f>
        <v>OK</v>
      </c>
    </row>
    <row r="32" spans="1:6">
      <c r="A32" s="35" t="s">
        <v>177</v>
      </c>
      <c r="B32" s="37"/>
      <c r="C32" s="37"/>
      <c r="D32" s="36" t="s">
        <v>177</v>
      </c>
      <c r="E32" s="36" t="s">
        <v>192</v>
      </c>
      <c r="F32" s="38" t="s">
        <v>193</v>
      </c>
    </row>
    <row r="33" spans="1:7">
      <c r="A33" s="27" t="s">
        <v>177</v>
      </c>
      <c r="B33" s="13">
        <f>E33-F33</f>
        <v>0</v>
      </c>
      <c r="C33" s="13" t="str">
        <f t="shared" ref="C33:C35" si="6">IF(COUNTBLANK(D33:F33) = 0, $M$4, $M$5)</f>
        <v>OK</v>
      </c>
      <c r="D33" s="13" t="str">
        <f>$M$4</f>
        <v>OK</v>
      </c>
      <c r="E33" s="13">
        <f>$B$3</f>
        <v>0</v>
      </c>
      <c r="F33" s="39">
        <f t="shared" ref="F33:F34" si="7">$B$4</f>
        <v>0</v>
      </c>
    </row>
    <row r="34" spans="1:7">
      <c r="A34" s="27" t="s">
        <v>192</v>
      </c>
      <c r="B34" s="13">
        <f>D34+F34</f>
        <v>0</v>
      </c>
      <c r="C34" s="13" t="str">
        <f t="shared" si="6"/>
        <v>OK</v>
      </c>
      <c r="D34" s="13">
        <f t="shared" ref="D34:D35" si="8">$B$10</f>
        <v>0</v>
      </c>
      <c r="E34" s="13" t="str">
        <f>$M$4</f>
        <v>OK</v>
      </c>
      <c r="F34" s="39">
        <f t="shared" si="7"/>
        <v>0</v>
      </c>
    </row>
    <row r="35" spans="1:7">
      <c r="A35" s="41" t="s">
        <v>193</v>
      </c>
      <c r="B35" s="22">
        <f>E35-D35</f>
        <v>0</v>
      </c>
      <c r="C35" s="22" t="str">
        <f t="shared" si="6"/>
        <v>OK</v>
      </c>
      <c r="D35" s="22">
        <f t="shared" si="8"/>
        <v>0</v>
      </c>
      <c r="E35" s="22">
        <f>$B$3</f>
        <v>0</v>
      </c>
      <c r="F35" s="23" t="str">
        <f>$M$4</f>
        <v>OK</v>
      </c>
    </row>
    <row r="38" spans="1:7">
      <c r="A38" s="35" t="s">
        <v>178</v>
      </c>
      <c r="B38" s="37"/>
      <c r="C38" s="37"/>
      <c r="D38" s="36" t="s">
        <v>178</v>
      </c>
      <c r="E38" s="36" t="s">
        <v>177</v>
      </c>
      <c r="F38" s="36" t="s">
        <v>194</v>
      </c>
      <c r="G38" s="38" t="s">
        <v>191</v>
      </c>
    </row>
    <row r="39" spans="1:7">
      <c r="A39" s="27" t="s">
        <v>178</v>
      </c>
      <c r="B39" s="13">
        <f>E39+F39-G39</f>
        <v>0</v>
      </c>
      <c r="C39" s="13" t="str">
        <f t="shared" ref="C39:C42" si="9">IF(COUNTBLANK(D39:G39) = 0, $M$4, $M$5)</f>
        <v>OK</v>
      </c>
      <c r="D39" s="13" t="str">
        <f>$M$4</f>
        <v>OK</v>
      </c>
      <c r="E39" s="13">
        <f>$B$10</f>
        <v>0</v>
      </c>
      <c r="F39" s="13">
        <f t="shared" ref="F39:F40" si="10">$B$6</f>
        <v>0</v>
      </c>
      <c r="G39" s="39">
        <f t="shared" ref="G39:G41" si="11">$B$7</f>
        <v>0</v>
      </c>
    </row>
    <row r="40" spans="1:7">
      <c r="A40" s="27" t="s">
        <v>177</v>
      </c>
      <c r="B40" s="13">
        <f>D40+G40-F40</f>
        <v>0</v>
      </c>
      <c r="C40" s="13" t="str">
        <f t="shared" si="9"/>
        <v>OK</v>
      </c>
      <c r="D40" s="13">
        <f t="shared" ref="D40:D42" si="12">$B$11</f>
        <v>0</v>
      </c>
      <c r="E40" s="13" t="str">
        <f>$M$4</f>
        <v>OK</v>
      </c>
      <c r="F40" s="13">
        <f t="shared" si="10"/>
        <v>0</v>
      </c>
      <c r="G40" s="39">
        <f t="shared" si="11"/>
        <v>0</v>
      </c>
    </row>
    <row r="41" spans="1:7">
      <c r="A41" s="27" t="s">
        <v>194</v>
      </c>
      <c r="B41" s="13">
        <f>D41+G41-E41</f>
        <v>0</v>
      </c>
      <c r="C41" s="13" t="str">
        <f t="shared" si="9"/>
        <v>OK</v>
      </c>
      <c r="D41" s="13">
        <f t="shared" si="12"/>
        <v>0</v>
      </c>
      <c r="E41" s="13">
        <f t="shared" ref="E41:E42" si="13">$B$10</f>
        <v>0</v>
      </c>
      <c r="F41" s="13" t="str">
        <f>$M$4</f>
        <v>OK</v>
      </c>
      <c r="G41" s="39">
        <f t="shared" si="11"/>
        <v>0</v>
      </c>
    </row>
    <row r="42" spans="1:7">
      <c r="A42" s="41" t="s">
        <v>191</v>
      </c>
      <c r="B42" s="22">
        <f>E42+F42-D42</f>
        <v>0</v>
      </c>
      <c r="C42" s="22" t="str">
        <f t="shared" si="9"/>
        <v>OK</v>
      </c>
      <c r="D42" s="22">
        <f t="shared" si="12"/>
        <v>0</v>
      </c>
      <c r="E42" s="22">
        <f t="shared" si="13"/>
        <v>0</v>
      </c>
      <c r="F42" s="22">
        <f>$B$6</f>
        <v>0</v>
      </c>
      <c r="G42" s="23" t="str">
        <f>$M$4</f>
        <v>OK</v>
      </c>
    </row>
    <row r="45" spans="1:7">
      <c r="A45" s="35" t="s">
        <v>179</v>
      </c>
      <c r="B45" s="37"/>
      <c r="C45" s="37"/>
      <c r="D45" s="36" t="s">
        <v>179</v>
      </c>
      <c r="E45" s="36" t="s">
        <v>178</v>
      </c>
      <c r="F45" s="36" t="s">
        <v>195</v>
      </c>
      <c r="G45" s="38" t="s">
        <v>196</v>
      </c>
    </row>
    <row r="46" spans="1:7">
      <c r="A46" s="27" t="s">
        <v>179</v>
      </c>
      <c r="B46" s="13">
        <f>E46+F46-G46</f>
        <v>0</v>
      </c>
      <c r="C46" s="13" t="str">
        <f t="shared" ref="C46:C49" si="14">IF(COUNTBLANK(D46:G46) = 0, $M$4, $M$5)</f>
        <v>OK</v>
      </c>
      <c r="D46" s="13" t="str">
        <f>$M$4</f>
        <v>OK</v>
      </c>
      <c r="E46" s="13">
        <f>$B$11</f>
        <v>0</v>
      </c>
      <c r="F46" s="13">
        <f t="shared" ref="F46:F47" si="15">$B$8</f>
        <v>0</v>
      </c>
      <c r="G46" s="39">
        <f t="shared" ref="G46:G48" si="16">$B$9</f>
        <v>0</v>
      </c>
    </row>
    <row r="47" spans="1:7">
      <c r="A47" s="27" t="s">
        <v>178</v>
      </c>
      <c r="B47" s="13">
        <f>D47+G47-F47</f>
        <v>0</v>
      </c>
      <c r="C47" s="13" t="str">
        <f t="shared" si="14"/>
        <v>OK</v>
      </c>
      <c r="D47" s="13">
        <f t="shared" ref="D47:D49" si="17">$B$12</f>
        <v>0</v>
      </c>
      <c r="E47" s="13" t="str">
        <f>$M$4</f>
        <v>OK</v>
      </c>
      <c r="F47" s="13">
        <f t="shared" si="15"/>
        <v>0</v>
      </c>
      <c r="G47" s="39">
        <f t="shared" si="16"/>
        <v>0</v>
      </c>
    </row>
    <row r="48" spans="1:7">
      <c r="A48" s="27" t="s">
        <v>195</v>
      </c>
      <c r="B48" s="13">
        <f>D48+G48-E48</f>
        <v>0</v>
      </c>
      <c r="C48" s="13" t="str">
        <f t="shared" si="14"/>
        <v>OK</v>
      </c>
      <c r="D48" s="13">
        <f t="shared" si="17"/>
        <v>0</v>
      </c>
      <c r="E48" s="13">
        <f t="shared" ref="E48:E49" si="18">$B$11</f>
        <v>0</v>
      </c>
      <c r="F48" s="13" t="str">
        <f>$M$4</f>
        <v>OK</v>
      </c>
      <c r="G48" s="39">
        <f t="shared" si="16"/>
        <v>0</v>
      </c>
    </row>
    <row r="49" spans="1:7">
      <c r="A49" s="41" t="s">
        <v>196</v>
      </c>
      <c r="B49" s="22">
        <f>E49+F49-D49</f>
        <v>0</v>
      </c>
      <c r="C49" s="13" t="str">
        <f t="shared" si="14"/>
        <v>OK</v>
      </c>
      <c r="D49" s="22">
        <f t="shared" si="17"/>
        <v>0</v>
      </c>
      <c r="E49" s="22">
        <f t="shared" si="18"/>
        <v>0</v>
      </c>
      <c r="F49" s="22">
        <f>$B$8</f>
        <v>0</v>
      </c>
      <c r="G49" s="23" t="str">
        <f>$M$4</f>
        <v>OK</v>
      </c>
    </row>
    <row r="50" spans="1:7">
      <c r="C50" s="37"/>
    </row>
    <row r="52" spans="1:7">
      <c r="A52" s="35" t="s">
        <v>180</v>
      </c>
      <c r="B52" s="37"/>
      <c r="C52" s="37"/>
      <c r="D52" s="36" t="s">
        <v>180</v>
      </c>
      <c r="E52" s="36" t="s">
        <v>178</v>
      </c>
      <c r="F52" s="38" t="s">
        <v>189</v>
      </c>
    </row>
    <row r="53" spans="1:7">
      <c r="A53" s="27" t="s">
        <v>180</v>
      </c>
      <c r="B53" s="13">
        <f>E53-F53</f>
        <v>0</v>
      </c>
      <c r="C53" s="13" t="str">
        <f t="shared" ref="C53:C55" si="19">IF(COUNTBLANK(D53:F53) = 0, $M$4, $M$5)</f>
        <v>OK</v>
      </c>
      <c r="D53" s="13" t="str">
        <f>$M$4</f>
        <v>OK</v>
      </c>
      <c r="E53" s="13">
        <f>$B$11</f>
        <v>0</v>
      </c>
      <c r="F53" s="39">
        <f t="shared" ref="F53:F54" si="20">$B$16</f>
        <v>0</v>
      </c>
    </row>
    <row r="54" spans="1:7">
      <c r="A54" s="27" t="s">
        <v>178</v>
      </c>
      <c r="B54" s="13">
        <f>D54+F54</f>
        <v>0</v>
      </c>
      <c r="C54" s="13" t="str">
        <f t="shared" si="19"/>
        <v>OK</v>
      </c>
      <c r="D54" s="13">
        <f t="shared" ref="D54:D55" si="21">$B$14</f>
        <v>0</v>
      </c>
      <c r="E54" s="13" t="str">
        <f>$M$4</f>
        <v>OK</v>
      </c>
      <c r="F54" s="39">
        <f t="shared" si="20"/>
        <v>0</v>
      </c>
    </row>
    <row r="55" spans="1:7">
      <c r="A55" s="41" t="s">
        <v>189</v>
      </c>
      <c r="B55" s="22">
        <f>E55-D55</f>
        <v>0</v>
      </c>
      <c r="C55" s="22" t="str">
        <f t="shared" si="19"/>
        <v>OK</v>
      </c>
      <c r="D55" s="22">
        <f t="shared" si="21"/>
        <v>0</v>
      </c>
      <c r="E55" s="22">
        <f>$B$11</f>
        <v>0</v>
      </c>
      <c r="F55" s="23" t="str">
        <f>$M$4</f>
        <v>OK</v>
      </c>
    </row>
    <row r="58" spans="1:7">
      <c r="A58" s="35" t="s">
        <v>181</v>
      </c>
      <c r="B58" s="37"/>
      <c r="C58" s="37"/>
      <c r="D58" s="36" t="s">
        <v>181</v>
      </c>
      <c r="E58" s="36" t="s">
        <v>179</v>
      </c>
      <c r="F58" s="38" t="s">
        <v>189</v>
      </c>
    </row>
    <row r="59" spans="1:7">
      <c r="A59" s="27" t="s">
        <v>181</v>
      </c>
      <c r="B59" s="13">
        <f>E59-F59</f>
        <v>0</v>
      </c>
      <c r="C59" s="13" t="str">
        <f t="shared" ref="C59:C61" si="22">IF(COUNTBLANK(D59:F59) = 0, $M$4, $M$5)</f>
        <v>OK</v>
      </c>
      <c r="D59" s="13" t="str">
        <f>$M$4</f>
        <v>OK</v>
      </c>
      <c r="E59" s="13">
        <f>$B$12</f>
        <v>0</v>
      </c>
      <c r="F59" s="39">
        <f t="shared" ref="F59:F60" si="23">$B$16</f>
        <v>0</v>
      </c>
    </row>
    <row r="60" spans="1:7">
      <c r="A60" s="27" t="s">
        <v>179</v>
      </c>
      <c r="B60" s="13">
        <f>D60+F60</f>
        <v>0</v>
      </c>
      <c r="C60" s="13" t="str">
        <f t="shared" si="22"/>
        <v>OK</v>
      </c>
      <c r="D60" s="13">
        <f t="shared" ref="D60:D61" si="24">$B$15</f>
        <v>0</v>
      </c>
      <c r="E60" s="13" t="str">
        <f>$M$4</f>
        <v>OK</v>
      </c>
      <c r="F60" s="39">
        <f t="shared" si="23"/>
        <v>0</v>
      </c>
    </row>
    <row r="61" spans="1:7">
      <c r="A61" s="41" t="s">
        <v>189</v>
      </c>
      <c r="B61" s="22">
        <f>E61-D61</f>
        <v>0</v>
      </c>
      <c r="C61" s="22" t="str">
        <f t="shared" si="22"/>
        <v>OK</v>
      </c>
      <c r="D61" s="22">
        <f t="shared" si="24"/>
        <v>0</v>
      </c>
      <c r="E61" s="22">
        <f>$B$12</f>
        <v>0</v>
      </c>
      <c r="F61" s="23" t="str">
        <f>$M$4</f>
        <v>OK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D11"/>
  <sheetViews>
    <sheetView workbookViewId="0">
      <selection activeCell="E18" sqref="E18"/>
    </sheetView>
  </sheetViews>
  <sheetFormatPr defaultColWidth="14.42578125" defaultRowHeight="15.75" customHeight="1"/>
  <cols>
    <col min="1" max="1" width="16.85546875" customWidth="1"/>
  </cols>
  <sheetData>
    <row r="2" spans="1:4">
      <c r="B2" s="1" t="s">
        <v>38</v>
      </c>
      <c r="C2" s="1" t="s">
        <v>39</v>
      </c>
    </row>
    <row r="3" spans="1:4">
      <c r="A3" s="1" t="s">
        <v>3</v>
      </c>
      <c r="B3" s="3">
        <v>-3</v>
      </c>
      <c r="C3" s="3">
        <v>1800</v>
      </c>
    </row>
    <row r="5" spans="1:4">
      <c r="B5" s="1" t="s">
        <v>40</v>
      </c>
      <c r="C5" s="1" t="s">
        <v>41</v>
      </c>
      <c r="D5" s="1" t="s">
        <v>39</v>
      </c>
    </row>
    <row r="6" spans="1:4">
      <c r="A6" s="1" t="s">
        <v>42</v>
      </c>
      <c r="C6" s="4">
        <f>1/B3</f>
        <v>-0.33333333333333331</v>
      </c>
      <c r="D6" s="4">
        <f>-1*C3/B3</f>
        <v>600</v>
      </c>
    </row>
    <row r="7" spans="1:4">
      <c r="A7" s="1" t="s">
        <v>43</v>
      </c>
      <c r="B7" s="4">
        <f t="shared" ref="B7:C7" si="0">C6</f>
        <v>-0.33333333333333331</v>
      </c>
      <c r="C7" s="4">
        <f t="shared" si="0"/>
        <v>600</v>
      </c>
    </row>
    <row r="9" spans="1:4">
      <c r="A9" s="1" t="s">
        <v>44</v>
      </c>
      <c r="B9" s="4">
        <f>-C7/(2*B7)</f>
        <v>900</v>
      </c>
    </row>
    <row r="10" spans="1:4">
      <c r="A10" s="1" t="s">
        <v>42</v>
      </c>
      <c r="B10" s="4">
        <f>B6*POWER(B9, 2)+C6*B9+D6</f>
        <v>300</v>
      </c>
    </row>
    <row r="11" spans="1:4">
      <c r="A11" s="1" t="s">
        <v>43</v>
      </c>
      <c r="B11" s="4">
        <f>B10*B9</f>
        <v>270000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D13"/>
  <sheetViews>
    <sheetView workbookViewId="0">
      <selection activeCell="B13" sqref="B13"/>
    </sheetView>
  </sheetViews>
  <sheetFormatPr defaultColWidth="14.42578125" defaultRowHeight="15.75" customHeight="1"/>
  <cols>
    <col min="1" max="1" width="26.42578125" customWidth="1"/>
  </cols>
  <sheetData>
    <row r="2" spans="1:4">
      <c r="B2" s="1" t="s">
        <v>39</v>
      </c>
      <c r="C2" s="1" t="s">
        <v>41</v>
      </c>
    </row>
    <row r="3" spans="1:4">
      <c r="A3" s="1" t="s">
        <v>42</v>
      </c>
      <c r="B3" s="3">
        <v>950</v>
      </c>
      <c r="C3" s="3">
        <v>-0.5</v>
      </c>
    </row>
    <row r="4" spans="1:4">
      <c r="A4" s="6"/>
      <c r="B4" s="1" t="s">
        <v>40</v>
      </c>
      <c r="C4" s="1" t="s">
        <v>41</v>
      </c>
      <c r="D4" s="1" t="s">
        <v>39</v>
      </c>
    </row>
    <row r="5" spans="1:4">
      <c r="A5" s="1" t="s">
        <v>45</v>
      </c>
      <c r="B5" s="3">
        <v>0.5</v>
      </c>
      <c r="C5" s="3">
        <v>100</v>
      </c>
      <c r="D5" s="3">
        <v>1000</v>
      </c>
    </row>
    <row r="6" spans="1:4">
      <c r="A6" s="1" t="s">
        <v>46</v>
      </c>
      <c r="C6" s="4">
        <f>B5*2</f>
        <v>1</v>
      </c>
      <c r="D6" s="4">
        <f>C5</f>
        <v>100</v>
      </c>
    </row>
    <row r="7" spans="1:4">
      <c r="A7" s="1" t="s">
        <v>47</v>
      </c>
      <c r="C7" s="4">
        <f>2*C3</f>
        <v>-1</v>
      </c>
      <c r="D7" s="4">
        <f>B3</f>
        <v>950</v>
      </c>
    </row>
    <row r="8" spans="1:4">
      <c r="A8" s="1" t="s">
        <v>44</v>
      </c>
      <c r="B8" s="4">
        <f>D8/C8</f>
        <v>425</v>
      </c>
      <c r="C8" s="4">
        <f>C6-C7</f>
        <v>2</v>
      </c>
      <c r="D8" s="4">
        <f>D7-D6</f>
        <v>850</v>
      </c>
    </row>
    <row r="9" spans="1:4">
      <c r="A9" s="1" t="s">
        <v>42</v>
      </c>
      <c r="B9" s="4">
        <f>B3+C3*B8</f>
        <v>737.5</v>
      </c>
    </row>
    <row r="10" spans="1:4">
      <c r="A10" s="1" t="s">
        <v>45</v>
      </c>
      <c r="B10" s="4">
        <f>B5*POWER($B$8, 2)+C5*$B$8+D5</f>
        <v>133812.5</v>
      </c>
    </row>
    <row r="11" spans="1:4">
      <c r="A11" s="1" t="s">
        <v>48</v>
      </c>
      <c r="B11" s="4">
        <f>B6*POWER($B$8, 2)+C6*$B$8+D6</f>
        <v>525</v>
      </c>
    </row>
    <row r="12" spans="1:4">
      <c r="A12" s="1" t="s">
        <v>49</v>
      </c>
      <c r="B12" s="4">
        <f>(B3-D6)/(C6-C3)</f>
        <v>566.66666666666663</v>
      </c>
    </row>
    <row r="13" spans="1:4">
      <c r="A13" s="1" t="s">
        <v>50</v>
      </c>
      <c r="B13" s="4">
        <f>((B9-B11)*(B12-B8))/2</f>
        <v>15052.083333333328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E14"/>
  <sheetViews>
    <sheetView tabSelected="1" workbookViewId="0">
      <selection activeCell="E13" sqref="E13"/>
    </sheetView>
  </sheetViews>
  <sheetFormatPr defaultColWidth="14.42578125" defaultRowHeight="15.75" customHeight="1"/>
  <cols>
    <col min="1" max="1" width="17.5703125" customWidth="1"/>
  </cols>
  <sheetData>
    <row r="2" spans="1:5">
      <c r="B2" s="1" t="s">
        <v>51</v>
      </c>
      <c r="C2" s="1" t="s">
        <v>52</v>
      </c>
      <c r="D2" s="1" t="s">
        <v>39</v>
      </c>
      <c r="E2" s="1" t="s">
        <v>53</v>
      </c>
    </row>
    <row r="3" spans="1:5">
      <c r="A3" s="1" t="s">
        <v>45</v>
      </c>
      <c r="B3" s="3">
        <v>2</v>
      </c>
      <c r="C3" s="3">
        <v>80</v>
      </c>
      <c r="D3" s="3">
        <v>3200</v>
      </c>
    </row>
    <row r="4" spans="1:5">
      <c r="A4" s="1" t="s">
        <v>46</v>
      </c>
      <c r="C4" s="4">
        <f>2*B3</f>
        <v>4</v>
      </c>
      <c r="D4" s="4">
        <f>C3</f>
        <v>80</v>
      </c>
    </row>
    <row r="5" spans="1:5">
      <c r="A5" s="1" t="s">
        <v>54</v>
      </c>
      <c r="C5" s="4">
        <f t="shared" ref="C5:E5" si="0">B3</f>
        <v>2</v>
      </c>
      <c r="D5" s="4">
        <f t="shared" si="0"/>
        <v>80</v>
      </c>
      <c r="E5" s="4">
        <f t="shared" si="0"/>
        <v>3200</v>
      </c>
    </row>
    <row r="6" spans="1:5">
      <c r="A6" s="1" t="s">
        <v>42</v>
      </c>
      <c r="C6" s="3">
        <v>-2</v>
      </c>
      <c r="D6" s="3">
        <v>2800</v>
      </c>
    </row>
    <row r="7" spans="1:5">
      <c r="A7" s="10" t="s">
        <v>55</v>
      </c>
      <c r="B7" s="2" t="s">
        <v>56</v>
      </c>
    </row>
    <row r="8" spans="1:5">
      <c r="A8" s="1" t="s">
        <v>44</v>
      </c>
      <c r="B8" s="3">
        <v>50</v>
      </c>
      <c r="C8" s="2" t="s">
        <v>57</v>
      </c>
    </row>
    <row r="9" spans="1:5">
      <c r="A9" s="1" t="s">
        <v>42</v>
      </c>
      <c r="B9" s="4">
        <f>B5*POWER(B8, 2)+C5*B8+D5+E5/B8</f>
        <v>244</v>
      </c>
    </row>
    <row r="11" spans="1:5">
      <c r="B11" s="1" t="s">
        <v>0</v>
      </c>
      <c r="C11" s="1" t="s">
        <v>39</v>
      </c>
    </row>
    <row r="12" spans="1:5">
      <c r="A12" s="1" t="s">
        <v>44</v>
      </c>
      <c r="B12" s="4">
        <f>(1/C6)</f>
        <v>-0.5</v>
      </c>
      <c r="C12" s="4">
        <f>-1*(1/C6)*D6</f>
        <v>1400</v>
      </c>
    </row>
    <row r="13" spans="1:5">
      <c r="A13" s="1" t="s">
        <v>58</v>
      </c>
      <c r="B13" s="4">
        <f>B12*B9+C12</f>
        <v>1278</v>
      </c>
    </row>
    <row r="14" spans="1:5">
      <c r="A14" s="1" t="s">
        <v>59</v>
      </c>
      <c r="B14" s="4">
        <f>B13/B8</f>
        <v>25.56</v>
      </c>
    </row>
  </sheetData>
  <hyperlinks>
    <hyperlink ref="A7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5"/>
  <sheetViews>
    <sheetView workbookViewId="0">
      <selection sqref="A1:D1"/>
    </sheetView>
  </sheetViews>
  <sheetFormatPr defaultColWidth="14.42578125" defaultRowHeight="15.75" customHeight="1"/>
  <sheetData>
    <row r="1" spans="1:9">
      <c r="A1" s="50" t="s">
        <v>60</v>
      </c>
      <c r="B1" s="51"/>
      <c r="C1" s="51"/>
      <c r="D1" s="52"/>
      <c r="F1" s="50">
        <v>15000</v>
      </c>
      <c r="G1" s="51"/>
      <c r="H1" s="51"/>
      <c r="I1" s="52"/>
    </row>
    <row r="2" spans="1:9">
      <c r="A2" s="50" t="s">
        <v>61</v>
      </c>
      <c r="B2" s="51"/>
      <c r="C2" s="52"/>
      <c r="D2" s="53" t="s">
        <v>62</v>
      </c>
      <c r="F2" s="50">
        <v>16500</v>
      </c>
      <c r="G2" s="51"/>
      <c r="H2" s="52"/>
      <c r="I2" s="53">
        <v>-1500</v>
      </c>
    </row>
    <row r="3" spans="1:9">
      <c r="A3" s="53" t="s">
        <v>63</v>
      </c>
      <c r="B3" s="50" t="s">
        <v>64</v>
      </c>
      <c r="C3" s="52"/>
      <c r="D3" s="55"/>
      <c r="F3" s="53">
        <v>8000</v>
      </c>
      <c r="G3" s="50">
        <v>8500</v>
      </c>
      <c r="H3" s="52"/>
      <c r="I3" s="55"/>
    </row>
    <row r="4" spans="1:9">
      <c r="A4" s="54"/>
      <c r="B4" s="11" t="s">
        <v>65</v>
      </c>
      <c r="C4" s="11" t="s">
        <v>66</v>
      </c>
      <c r="D4" s="54"/>
      <c r="F4" s="54"/>
      <c r="G4" s="11">
        <v>2000</v>
      </c>
      <c r="H4" s="11">
        <v>6500</v>
      </c>
      <c r="I4" s="54"/>
    </row>
    <row r="5" spans="1:9">
      <c r="A5" s="50" t="s">
        <v>67</v>
      </c>
      <c r="B5" s="52"/>
      <c r="C5" s="50" t="s">
        <v>68</v>
      </c>
      <c r="D5" s="52"/>
      <c r="F5" s="50">
        <v>10000</v>
      </c>
      <c r="G5" s="52"/>
      <c r="H5" s="50">
        <v>5000</v>
      </c>
      <c r="I5" s="52"/>
    </row>
  </sheetData>
  <mergeCells count="14">
    <mergeCell ref="A1:D1"/>
    <mergeCell ref="F1:I1"/>
    <mergeCell ref="A2:C2"/>
    <mergeCell ref="D2:D4"/>
    <mergeCell ref="I2:I4"/>
    <mergeCell ref="A3:A4"/>
    <mergeCell ref="B3:C3"/>
    <mergeCell ref="F2:H2"/>
    <mergeCell ref="F3:F4"/>
    <mergeCell ref="G3:H3"/>
    <mergeCell ref="A5:B5"/>
    <mergeCell ref="C5:D5"/>
    <mergeCell ref="F5:G5"/>
    <mergeCell ref="H5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3:C22"/>
  <sheetViews>
    <sheetView workbookViewId="0"/>
  </sheetViews>
  <sheetFormatPr defaultColWidth="14.42578125" defaultRowHeight="15.75" customHeight="1"/>
  <cols>
    <col min="1" max="1" width="18.5703125" customWidth="1"/>
  </cols>
  <sheetData>
    <row r="3" spans="1:3">
      <c r="A3" s="1" t="s">
        <v>69</v>
      </c>
      <c r="B3" s="3">
        <v>30000000</v>
      </c>
    </row>
    <row r="4" spans="1:3">
      <c r="A4" s="1" t="s">
        <v>70</v>
      </c>
      <c r="B4" s="3">
        <v>3</v>
      </c>
    </row>
    <row r="5" spans="1:3">
      <c r="A5" s="1" t="s">
        <v>71</v>
      </c>
      <c r="B5" s="3"/>
    </row>
    <row r="6" spans="1:3">
      <c r="A6" s="1" t="s">
        <v>72</v>
      </c>
      <c r="B6" s="3">
        <v>15</v>
      </c>
      <c r="C6" s="2" t="s">
        <v>73</v>
      </c>
    </row>
    <row r="7" spans="1:3">
      <c r="A7" s="1" t="s">
        <v>74</v>
      </c>
      <c r="B7" s="4" t="e">
        <f ca="1">B3/SUM(INDIRECT(ADDRESS(13, 2)&amp;":"&amp;ADDRESS((13+B4-1), 2)))</f>
        <v>#NAME?</v>
      </c>
    </row>
    <row r="10" spans="1:3">
      <c r="B10" s="12"/>
    </row>
    <row r="12" spans="1:3">
      <c r="A12" s="1" t="s">
        <v>70</v>
      </c>
      <c r="B12" s="1" t="s">
        <v>39</v>
      </c>
    </row>
    <row r="13" spans="1:3">
      <c r="A13" s="2">
        <v>1</v>
      </c>
      <c r="B13" s="4" t="e">
        <f t="shared" ref="B13:B22" ca="1" si="0">POW(1/(1+$B$6/100), A13)</f>
        <v>#NAME?</v>
      </c>
    </row>
    <row r="14" spans="1:3">
      <c r="A14" s="2">
        <v>2</v>
      </c>
      <c r="B14" s="4" t="e">
        <f t="shared" ca="1" si="0"/>
        <v>#NAME?</v>
      </c>
    </row>
    <row r="15" spans="1:3">
      <c r="A15" s="2">
        <v>3</v>
      </c>
      <c r="B15" s="4" t="e">
        <f t="shared" ca="1" si="0"/>
        <v>#NAME?</v>
      </c>
    </row>
    <row r="16" spans="1:3">
      <c r="A16" s="2">
        <v>4</v>
      </c>
      <c r="B16" s="4" t="e">
        <f t="shared" ca="1" si="0"/>
        <v>#NAME?</v>
      </c>
    </row>
    <row r="17" spans="1:2">
      <c r="A17" s="2">
        <v>5</v>
      </c>
      <c r="B17" s="4" t="e">
        <f t="shared" ca="1" si="0"/>
        <v>#NAME?</v>
      </c>
    </row>
    <row r="18" spans="1:2">
      <c r="A18" s="2">
        <v>6</v>
      </c>
      <c r="B18" s="4" t="e">
        <f t="shared" ca="1" si="0"/>
        <v>#NAME?</v>
      </c>
    </row>
    <row r="19" spans="1:2">
      <c r="A19" s="2">
        <v>7</v>
      </c>
      <c r="B19" s="4" t="e">
        <f t="shared" ca="1" si="0"/>
        <v>#NAME?</v>
      </c>
    </row>
    <row r="20" spans="1:2">
      <c r="A20" s="2">
        <v>8</v>
      </c>
      <c r="B20" s="4" t="e">
        <f t="shared" ca="1" si="0"/>
        <v>#NAME?</v>
      </c>
    </row>
    <row r="21" spans="1:2">
      <c r="A21" s="2">
        <v>9</v>
      </c>
      <c r="B21" s="4" t="e">
        <f t="shared" ca="1" si="0"/>
        <v>#NAME?</v>
      </c>
    </row>
    <row r="22" spans="1:2">
      <c r="A22" s="2">
        <v>10</v>
      </c>
      <c r="B22" s="4" t="e">
        <f t="shared" ca="1" si="0"/>
        <v>#NAME?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3:F8"/>
  <sheetViews>
    <sheetView workbookViewId="0"/>
  </sheetViews>
  <sheetFormatPr defaultColWidth="14.42578125" defaultRowHeight="15.75" customHeight="1"/>
  <cols>
    <col min="1" max="2" width="17" customWidth="1"/>
    <col min="6" max="6" width="22" customWidth="1"/>
  </cols>
  <sheetData>
    <row r="3" spans="1:6">
      <c r="B3" s="1" t="s">
        <v>27</v>
      </c>
      <c r="C3" s="1" t="s">
        <v>39</v>
      </c>
      <c r="F3" s="1" t="s">
        <v>2</v>
      </c>
    </row>
    <row r="4" spans="1:6">
      <c r="A4" s="1" t="s">
        <v>44</v>
      </c>
      <c r="B4" s="3">
        <v>0.05</v>
      </c>
      <c r="C4" s="3">
        <v>100</v>
      </c>
      <c r="E4" s="6"/>
      <c r="F4" s="2" t="s">
        <v>75</v>
      </c>
    </row>
    <row r="5" spans="1:6">
      <c r="A5" s="1" t="s">
        <v>45</v>
      </c>
      <c r="B5" s="3">
        <v>30</v>
      </c>
      <c r="C5" s="3">
        <v>1000</v>
      </c>
      <c r="D5" s="3">
        <v>5000</v>
      </c>
      <c r="F5" s="2" t="s">
        <v>76</v>
      </c>
    </row>
    <row r="7" spans="1:6">
      <c r="A7" s="1" t="s">
        <v>54</v>
      </c>
      <c r="B7" s="4" t="str">
        <f>CONCATENATE(2*B5, "Q", IF(C5&lt;0, "-", "+"), ABS(C5))</f>
        <v>60Q+1000</v>
      </c>
      <c r="C7" s="2" t="s">
        <v>77</v>
      </c>
    </row>
    <row r="8" spans="1:6">
      <c r="A8" s="1" t="s">
        <v>78</v>
      </c>
      <c r="B8" s="4" t="str">
        <f>CONCATENATE(B5, "Q", IF(C5&lt;0, "-", "+"), ABS(C5), IF(D5&lt;0, "-", "+"), ABS(D5), "/Q")</f>
        <v>30Q+1000+5000/Q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3:C15"/>
  <sheetViews>
    <sheetView workbookViewId="0"/>
  </sheetViews>
  <sheetFormatPr defaultColWidth="14.42578125" defaultRowHeight="15.75" customHeight="1"/>
  <cols>
    <col min="1" max="1" width="19.28515625" customWidth="1"/>
    <col min="6" max="6" width="20.140625" customWidth="1"/>
  </cols>
  <sheetData>
    <row r="3" spans="1:3">
      <c r="B3" s="1" t="s">
        <v>0</v>
      </c>
      <c r="C3" s="1" t="s">
        <v>1</v>
      </c>
    </row>
    <row r="4" spans="1:3">
      <c r="A4" s="1" t="s">
        <v>79</v>
      </c>
      <c r="B4" s="3">
        <v>-0.5</v>
      </c>
      <c r="C4" s="3">
        <v>400</v>
      </c>
    </row>
    <row r="5" spans="1:3">
      <c r="A5" s="1" t="s">
        <v>80</v>
      </c>
      <c r="B5" s="3">
        <v>200</v>
      </c>
    </row>
    <row r="6" spans="1:3">
      <c r="A6" s="1" t="s">
        <v>81</v>
      </c>
      <c r="B6" s="3">
        <v>240</v>
      </c>
    </row>
    <row r="8" spans="1:3">
      <c r="A8" s="1" t="s">
        <v>82</v>
      </c>
      <c r="B8" s="4">
        <f>B4*B5+C4</f>
        <v>300</v>
      </c>
    </row>
    <row r="9" spans="1:3">
      <c r="A9" s="1" t="s">
        <v>83</v>
      </c>
      <c r="B9" s="4">
        <f>B4*B6+C4</f>
        <v>280</v>
      </c>
    </row>
    <row r="10" spans="1:3">
      <c r="A10" s="1" t="s">
        <v>84</v>
      </c>
      <c r="B10" s="4">
        <f>((B9-B8)/(B6-B5))*((B6+B5)/(B9+B8))</f>
        <v>-0.37931034482758619</v>
      </c>
      <c r="C10" s="13" t="str">
        <f>CONCATENATE("Kerekítve: ", ROUND(B10, 2))</f>
        <v>Kerekítve: -0.38</v>
      </c>
    </row>
    <row r="11" spans="1:3">
      <c r="A11" s="1" t="s">
        <v>79</v>
      </c>
      <c r="B11" s="4" t="e">
        <f ca="1">_xludf.IFS(ABS(B10) &gt; 1, "Árrugalmas", ABS(B10) &lt; 1, "Árrugalmatlan", ABS(B10) = 1, "Egységnyi árrugalmasságú")</f>
        <v>#NAME?</v>
      </c>
    </row>
    <row r="12" spans="1:3">
      <c r="A12" s="1" t="s">
        <v>85</v>
      </c>
      <c r="B12" s="4" t="e">
        <f ca="1">_xludf.IFS(ABS(B10) &gt; 1, "Árváltozással ellentétes irányú", ABS(B10) &lt; 1, "Árváltozással megegyező irányú", ABS(B10) = 1, "Változatlan")</f>
        <v>#NAME?</v>
      </c>
    </row>
    <row r="14" spans="1:3">
      <c r="A14" s="1" t="s">
        <v>86</v>
      </c>
      <c r="B14" s="4">
        <f t="shared" ref="B14:B15" si="0">B5*B8</f>
        <v>60000</v>
      </c>
    </row>
    <row r="15" spans="1:3">
      <c r="A15" s="1" t="s">
        <v>87</v>
      </c>
      <c r="B15" s="4">
        <f t="shared" si="0"/>
        <v>67200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3:B11"/>
  <sheetViews>
    <sheetView workbookViewId="0"/>
  </sheetViews>
  <sheetFormatPr defaultColWidth="14.42578125" defaultRowHeight="15.75" customHeight="1"/>
  <cols>
    <col min="1" max="1" width="21" customWidth="1"/>
    <col min="2" max="2" width="18" customWidth="1"/>
  </cols>
  <sheetData>
    <row r="3" spans="1:2">
      <c r="A3" s="1" t="s">
        <v>88</v>
      </c>
      <c r="B3" s="3">
        <v>120</v>
      </c>
    </row>
    <row r="4" spans="1:2">
      <c r="A4" s="1" t="s">
        <v>89</v>
      </c>
      <c r="B4" s="3">
        <v>100</v>
      </c>
    </row>
    <row r="5" spans="1:2">
      <c r="A5" s="1" t="s">
        <v>90</v>
      </c>
      <c r="B5" s="3">
        <v>700</v>
      </c>
    </row>
    <row r="6" spans="1:2">
      <c r="A6" s="1" t="s">
        <v>91</v>
      </c>
      <c r="B6" s="3">
        <v>400</v>
      </c>
    </row>
    <row r="8" spans="1:2">
      <c r="A8" s="1" t="s">
        <v>92</v>
      </c>
      <c r="B8" s="4">
        <f>((B6-B5)/(B4-B3))*((B3+B4)/(B5+B6))</f>
        <v>3</v>
      </c>
    </row>
    <row r="9" spans="1:2">
      <c r="A9" s="1" t="s">
        <v>13</v>
      </c>
      <c r="B9" s="5" t="str">
        <f>IF(ABS(B8)=0, "Tökéletesen rugalmatlan kereslet", CONCATENATE("Ha az első ára 1%-kal nő, akkor a második kereslete ", ABS(B8), " %-kal ", IF(B8&lt;0,"csökken", "nő")))</f>
        <v>Ha az első ára 1%-kal nő, akkor a második kereslete 3 %-kal nő</v>
      </c>
    </row>
    <row r="10" spans="1:2">
      <c r="A10" s="1" t="s">
        <v>13</v>
      </c>
      <c r="B10" s="4" t="e">
        <f ca="1">_xludf.IFS(ABS(B8)=1, "Egységnyi rugalmasság", ABS(B8)&lt;1, "Rugalmatlan kereslet", ABS(B8)&gt;1, "Rugalmas kereslet")</f>
        <v>#NAME?</v>
      </c>
    </row>
    <row r="11" spans="1:2">
      <c r="A11" s="1" t="s">
        <v>93</v>
      </c>
      <c r="B11" s="4" t="e">
        <f ca="1">_xludf.IFS(B8&gt;0, "Helyettesítő termék", B8&lt;0, "Kiegészítő termék", B8=0, "Semleges termék")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KeresletKínálat</vt:lpstr>
      <vt:lpstr>Bevételmaximalizálás</vt:lpstr>
      <vt:lpstr>Optimalizált helyzet</vt:lpstr>
      <vt:lpstr>Vállalatok száma</vt:lpstr>
      <vt:lpstr>Árbevétel</vt:lpstr>
      <vt:lpstr>Éves jövedelem</vt:lpstr>
      <vt:lpstr>Határköltség</vt:lpstr>
      <vt:lpstr>Kereslet rugalmasság</vt:lpstr>
      <vt:lpstr>Ívrugalmasság</vt:lpstr>
      <vt:lpstr>Pénzteremtés</vt:lpstr>
      <vt:lpstr>EPIC pénzteremtés</vt:lpstr>
      <vt:lpstr>EPIC államosítás</vt:lpstr>
      <vt:lpstr>EPIC 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Akos Rittgasszer</cp:lastModifiedBy>
  <dcterms:modified xsi:type="dcterms:W3CDTF">2020-10-28T16:50:05Z</dcterms:modified>
</cp:coreProperties>
</file>