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rás\BME\Kurzusok\2023\Tavasz\Befektetések\Előadások\Jelen\"/>
    </mc:Choice>
  </mc:AlternateContent>
  <bookViews>
    <workbookView xWindow="0" yWindow="0" windowWidth="23040" windowHeight="9090" tabRatio="811"/>
  </bookViews>
  <sheets>
    <sheet name="PE PB PEG" sheetId="12" r:id="rId1"/>
    <sheet name="CAPM" sheetId="6" r:id="rId2"/>
    <sheet name="DOL" sheetId="5" r:id="rId3"/>
    <sheet name="DDM" sheetId="7" r:id="rId4"/>
    <sheet name="GORDON" sheetId="8" r:id="rId5"/>
    <sheet name="Összetett Gordon + PVGO" sheetId="9" r:id="rId6"/>
    <sheet name="EVA" sheetId="11" r:id="rId7"/>
    <sheet name="DuPont" sheetId="10" r:id="rId8"/>
    <sheet name="Margin of Safety" sheetId="14" r:id="rId9"/>
    <sheet name="Kelly Criterion" sheetId="15" r:id="rId10"/>
    <sheet name="Likviditási ráták" sheetId="13" r:id="rId11"/>
    <sheet name="Teljesítménymérés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F9" i="9"/>
  <c r="F8" i="9"/>
  <c r="F7" i="9"/>
  <c r="F6" i="9"/>
  <c r="F5" i="9"/>
  <c r="C11" i="8"/>
  <c r="C9" i="8"/>
  <c r="E11" i="7"/>
  <c r="E6" i="7"/>
  <c r="C12" i="5"/>
  <c r="C10" i="5"/>
  <c r="C12" i="6"/>
  <c r="C11" i="6"/>
  <c r="C10" i="6"/>
  <c r="G17" i="12"/>
  <c r="G16" i="12"/>
  <c r="G15" i="12"/>
  <c r="G14" i="12"/>
  <c r="I12" i="12"/>
  <c r="G12" i="12"/>
  <c r="G11" i="12"/>
  <c r="G10" i="12"/>
  <c r="G9" i="12"/>
  <c r="G8" i="12"/>
  <c r="H6" i="16" l="1"/>
  <c r="G8" i="13"/>
  <c r="G7" i="13"/>
  <c r="G6" i="13"/>
  <c r="G6" i="15"/>
  <c r="G5" i="15"/>
  <c r="G8" i="14"/>
  <c r="G7" i="14"/>
  <c r="D11" i="8"/>
  <c r="G6" i="12"/>
  <c r="G7" i="15" l="1"/>
  <c r="H9" i="16"/>
  <c r="H8" i="16"/>
  <c r="G9" i="14" l="1"/>
  <c r="G6" i="14"/>
  <c r="G5" i="14"/>
  <c r="E7" i="7"/>
  <c r="G18" i="12"/>
  <c r="G13" i="12"/>
  <c r="G5" i="12"/>
  <c r="G7" i="12" s="1"/>
  <c r="H11" i="16"/>
  <c r="H10" i="16"/>
  <c r="E8" i="7" l="1"/>
  <c r="H7" i="16"/>
  <c r="H5" i="16"/>
  <c r="F11" i="10" l="1"/>
  <c r="G10" i="14"/>
  <c r="D9" i="8" l="1"/>
  <c r="E9" i="8"/>
  <c r="Q13" i="7" l="1"/>
  <c r="K13" i="7"/>
  <c r="E13" i="7"/>
  <c r="G5" i="13" l="1"/>
  <c r="X10" i="9" l="1"/>
  <c r="R10" i="9"/>
  <c r="L10" i="9"/>
  <c r="F10" i="9"/>
  <c r="D10" i="8"/>
  <c r="E10" i="8"/>
  <c r="C10" i="8"/>
  <c r="R7" i="9"/>
  <c r="I10" i="5"/>
  <c r="F10" i="5"/>
  <c r="C11" i="5"/>
  <c r="E11" i="8"/>
  <c r="F12" i="5" l="1"/>
  <c r="F10" i="10"/>
  <c r="J7" i="10"/>
  <c r="N5" i="10" s="1"/>
  <c r="J6" i="10"/>
  <c r="F5" i="10"/>
  <c r="M4" i="10"/>
  <c r="F4" i="10"/>
  <c r="J8" i="10" s="1"/>
  <c r="F3" i="10"/>
  <c r="F7" i="10" l="1"/>
  <c r="J5" i="10"/>
  <c r="N6" i="10" s="1"/>
  <c r="F6" i="10"/>
  <c r="X8" i="9"/>
  <c r="R8" i="9"/>
  <c r="L8" i="9"/>
  <c r="X6" i="9"/>
  <c r="R6" i="9"/>
  <c r="L6" i="9"/>
  <c r="X5" i="9"/>
  <c r="X7" i="9" s="1"/>
  <c r="X9" i="9" s="1"/>
  <c r="R5" i="9"/>
  <c r="R9" i="9" s="1"/>
  <c r="L5" i="9"/>
  <c r="L7" i="9" s="1"/>
  <c r="L9" i="9" s="1"/>
  <c r="Q10" i="7"/>
  <c r="K10" i="7"/>
  <c r="E10" i="7"/>
  <c r="Q9" i="7"/>
  <c r="K9" i="7"/>
  <c r="E9" i="7"/>
  <c r="Q8" i="7"/>
  <c r="K8" i="7"/>
  <c r="Q7" i="7"/>
  <c r="K7" i="7"/>
  <c r="Q6" i="7"/>
  <c r="Q11" i="7" s="1"/>
  <c r="K6" i="7"/>
  <c r="K11" i="7" s="1"/>
  <c r="C13" i="6"/>
  <c r="C14" i="6" s="1"/>
  <c r="I12" i="5"/>
  <c r="F9" i="10" l="1"/>
  <c r="F8" i="10"/>
  <c r="J4" i="10"/>
  <c r="F11" i="5"/>
  <c r="I11" i="5"/>
  <c r="J9" i="10" l="1"/>
  <c r="N4" i="10"/>
  <c r="N7" i="10" s="1"/>
</calcChain>
</file>

<file path=xl/sharedStrings.xml><?xml version="1.0" encoding="utf-8"?>
<sst xmlns="http://schemas.openxmlformats.org/spreadsheetml/2006/main" count="288" uniqueCount="176">
  <si>
    <t>ß</t>
  </si>
  <si>
    <t>Rm</t>
  </si>
  <si>
    <t>Rf</t>
  </si>
  <si>
    <t>alfa</t>
  </si>
  <si>
    <t>Ra</t>
  </si>
  <si>
    <t>Re</t>
  </si>
  <si>
    <t>Profit</t>
  </si>
  <si>
    <t>DOL</t>
  </si>
  <si>
    <t>Jensen alfa</t>
  </si>
  <si>
    <t>SML felett/alatt</t>
  </si>
  <si>
    <t>Döntés?</t>
  </si>
  <si>
    <t>Input</t>
  </si>
  <si>
    <t>az eszköz historikus hozama</t>
  </si>
  <si>
    <t>a piaci hozam</t>
  </si>
  <si>
    <t>béta</t>
  </si>
  <si>
    <t>a kockázatmentes hozam</t>
  </si>
  <si>
    <t>Re=Ri=k</t>
  </si>
  <si>
    <t>Fix Költség</t>
  </si>
  <si>
    <t>Degree of Operating Leverage</t>
  </si>
  <si>
    <t>Értékesítés</t>
  </si>
  <si>
    <t>Zéro profit</t>
  </si>
  <si>
    <t>Mekkora a DOL?</t>
  </si>
  <si>
    <t>KÉRDÉSEK:</t>
  </si>
  <si>
    <t>INPUTOK</t>
  </si>
  <si>
    <t>KÉRDÉSEK</t>
  </si>
  <si>
    <t>CAPM</t>
  </si>
  <si>
    <t>1.</t>
  </si>
  <si>
    <t>2.</t>
  </si>
  <si>
    <t>3.</t>
  </si>
  <si>
    <t>k</t>
  </si>
  <si>
    <t>D1</t>
  </si>
  <si>
    <t>D2</t>
  </si>
  <si>
    <t>D3</t>
  </si>
  <si>
    <t>D4</t>
  </si>
  <si>
    <t>D5</t>
  </si>
  <si>
    <t>ROE</t>
  </si>
  <si>
    <t>g</t>
  </si>
  <si>
    <t>b</t>
  </si>
  <si>
    <t>D</t>
  </si>
  <si>
    <t>PVGO</t>
  </si>
  <si>
    <t>4.</t>
  </si>
  <si>
    <t>INPUT</t>
  </si>
  <si>
    <t>EPS=E</t>
  </si>
  <si>
    <r>
      <t>NGV</t>
    </r>
    <r>
      <rPr>
        <b/>
        <sz val="8"/>
        <color theme="1"/>
        <rFont val="Calibri"/>
        <family val="2"/>
        <charset val="238"/>
        <scheme val="minor"/>
      </rPr>
      <t>0</t>
    </r>
  </si>
  <si>
    <t>No.</t>
  </si>
  <si>
    <t>EBIT</t>
  </si>
  <si>
    <t>ROA (EBIT)</t>
  </si>
  <si>
    <t>EBITDA</t>
  </si>
  <si>
    <t>Értékesítés-esés</t>
  </si>
  <si>
    <t>Ha az értékesítés a fentit esi, mennyit esik a profit?</t>
  </si>
  <si>
    <t>Mekkora értékesítés-veszteségnél nulla a profit?</t>
  </si>
  <si>
    <t>piaci kapitalizációs ráta</t>
  </si>
  <si>
    <t>Osztalék</t>
  </si>
  <si>
    <t>Év</t>
  </si>
  <si>
    <t>Eladási ár</t>
  </si>
  <si>
    <r>
      <t>Belső érték=V</t>
    </r>
    <r>
      <rPr>
        <b/>
        <sz val="8"/>
        <color theme="1"/>
        <rFont val="Calibri"/>
        <family val="2"/>
        <charset val="238"/>
        <scheme val="minor"/>
      </rPr>
      <t>o</t>
    </r>
  </si>
  <si>
    <t>PV</t>
  </si>
  <si>
    <t>DDM</t>
  </si>
  <si>
    <t>Venni vagy eladni ezen a piaci áron?</t>
  </si>
  <si>
    <t>Gordon-modell</t>
  </si>
  <si>
    <t>Piaci ár</t>
  </si>
  <si>
    <t>osztalék éves növekedése</t>
  </si>
  <si>
    <r>
      <t>D</t>
    </r>
    <r>
      <rPr>
        <b/>
        <sz val="8"/>
        <rFont val="Calibri"/>
        <family val="2"/>
        <charset val="238"/>
        <scheme val="minor"/>
      </rPr>
      <t>1</t>
    </r>
  </si>
  <si>
    <t>első év osztaléka</t>
  </si>
  <si>
    <t>Belső érték</t>
  </si>
  <si>
    <t>Venni vagy eladni a fenti piaci áron?</t>
  </si>
  <si>
    <r>
      <t>V</t>
    </r>
    <r>
      <rPr>
        <b/>
        <sz val="8"/>
        <rFont val="Calibri"/>
        <family val="2"/>
        <charset val="238"/>
        <scheme val="minor"/>
      </rPr>
      <t>0</t>
    </r>
  </si>
  <si>
    <t>Összetett Gordon modell + PVGO</t>
  </si>
  <si>
    <t>Működési tőkeáttétel (DOL)</t>
  </si>
  <si>
    <t>Venni/eladni?</t>
  </si>
  <si>
    <t>(de nincs minden rendben)</t>
  </si>
  <si>
    <r>
      <t>P</t>
    </r>
    <r>
      <rPr>
        <b/>
        <sz val="8"/>
        <color theme="1"/>
        <rFont val="Calibri"/>
        <family val="2"/>
        <charset val="238"/>
        <scheme val="minor"/>
      </rPr>
      <t>0</t>
    </r>
  </si>
  <si>
    <t>Átlagos kamatláb a hiteleken</t>
  </si>
  <si>
    <t>Hitelek</t>
  </si>
  <si>
    <t>Adókulcs</t>
  </si>
  <si>
    <t>ESZKÖZÖK</t>
  </si>
  <si>
    <t>Amortizáció</t>
  </si>
  <si>
    <t>Fizetett kamat</t>
  </si>
  <si>
    <t>Sajáttőke</t>
  </si>
  <si>
    <t>Adózás előtti eredmény</t>
  </si>
  <si>
    <t>Fizetett adó</t>
  </si>
  <si>
    <t>Adózott eredmény</t>
  </si>
  <si>
    <t>ROA (adózás utáni)</t>
  </si>
  <si>
    <t>Adóteher</t>
  </si>
  <si>
    <t>Kamatteher</t>
  </si>
  <si>
    <t>Marzs</t>
  </si>
  <si>
    <t>Forgási sebesség</t>
  </si>
  <si>
    <t>Tőkeáttétel</t>
  </si>
  <si>
    <t>Alapmutatók</t>
  </si>
  <si>
    <t>DuPont felbontás (5)</t>
  </si>
  <si>
    <t>DuPont felbontás (3)</t>
  </si>
  <si>
    <t>Faktor</t>
  </si>
  <si>
    <t>Érték</t>
  </si>
  <si>
    <t>Összesített tőkeáttételi tényező</t>
  </si>
  <si>
    <t>DuPont Felbontás (ROE)</t>
  </si>
  <si>
    <t>EVA</t>
  </si>
  <si>
    <t>Gazdasági hozzáadott érték/Economic Value Added (EVA)</t>
  </si>
  <si>
    <t>ROC</t>
  </si>
  <si>
    <t xml:space="preserve">Return on Capital: befektetett tőke-arányos nyereség </t>
  </si>
  <si>
    <t>saját tőke</t>
  </si>
  <si>
    <t>Kérdés</t>
  </si>
  <si>
    <t>P/E</t>
  </si>
  <si>
    <t>Ár</t>
  </si>
  <si>
    <t>Részvényszám</t>
  </si>
  <si>
    <t>Közkézhányad</t>
  </si>
  <si>
    <t>Tőzsdén lévő részvények száma</t>
  </si>
  <si>
    <t>Mérlegfőösszeg</t>
  </si>
  <si>
    <t>BVPS</t>
  </si>
  <si>
    <t>Piaci kapitalizáció (HUF)</t>
  </si>
  <si>
    <t>Piaci kapitalizáció (USD)</t>
  </si>
  <si>
    <t>Saját tőke</t>
  </si>
  <si>
    <t>USDHUF</t>
  </si>
  <si>
    <t>EPS</t>
  </si>
  <si>
    <t>ROA</t>
  </si>
  <si>
    <t>Minősítés</t>
  </si>
  <si>
    <t>Baa3, BBB-, BBB+</t>
  </si>
  <si>
    <t>Tavalyi EPS</t>
  </si>
  <si>
    <t>Mutatószámok</t>
  </si>
  <si>
    <t>EPS növekedési ütem</t>
  </si>
  <si>
    <t>PEG</t>
  </si>
  <si>
    <t>Másik cég PEG-je</t>
  </si>
  <si>
    <t>PEG alapján alulárazott-e?</t>
  </si>
  <si>
    <t>Másik cég P/E-je</t>
  </si>
  <si>
    <t>P/E alapján alulárazott-e?</t>
  </si>
  <si>
    <t>újrabefektetési hányad</t>
  </si>
  <si>
    <t>ár</t>
  </si>
  <si>
    <t>Likviditási ráta</t>
  </si>
  <si>
    <t>Készpénzráta</t>
  </si>
  <si>
    <t>Likviditási ráták</t>
  </si>
  <si>
    <t>P/B</t>
  </si>
  <si>
    <t>P/B alapján alulárazott-e?</t>
  </si>
  <si>
    <t>Másik cég P/B-je</t>
  </si>
  <si>
    <t>= PB/ROE</t>
  </si>
  <si>
    <t>Készpénz</t>
  </si>
  <si>
    <t>Likvid értékpapírok</t>
  </si>
  <si>
    <t>Vevőkövetelések</t>
  </si>
  <si>
    <t>Egyéb rövid lejáratú eszközök</t>
  </si>
  <si>
    <t>Rövid lejáratú kötelezettségek</t>
  </si>
  <si>
    <t>Forgóeszközök</t>
  </si>
  <si>
    <t>Likviditási gyorsráta (savteszt)</t>
  </si>
  <si>
    <t>mid cap-large cap határon</t>
  </si>
  <si>
    <t>Margin of Safety</t>
  </si>
  <si>
    <t>Kelly Criterion</t>
  </si>
  <si>
    <t>Megvennénk-e MoS nélkül?</t>
  </si>
  <si>
    <t>Megvennénk-e MoS-el?</t>
  </si>
  <si>
    <t>Buffet Safety (ez nem lesz kiírva)</t>
  </si>
  <si>
    <t>Maximum mekkora MoS-nél vennénk meg?</t>
  </si>
  <si>
    <t>Warren Buffet megvenné-e?</t>
  </si>
  <si>
    <t>Winning probability</t>
  </si>
  <si>
    <t>Win/Loss Ratio</t>
  </si>
  <si>
    <t>Összes trade (#)</t>
  </si>
  <si>
    <t>Nyereséges trade-ek (#)</t>
  </si>
  <si>
    <t>Coefficient of Variation szerinti MoS?</t>
  </si>
  <si>
    <t>1 éves sztenderd szórás (részvényár)</t>
  </si>
  <si>
    <t>1 éves átlagos részvényár</t>
  </si>
  <si>
    <t>CV alapján megvennénk e?</t>
  </si>
  <si>
    <t>A Kelly alapján a tőkénk hány százalékát fektessük be?</t>
  </si>
  <si>
    <t>Nyereséges trade-ek átlagos nettó nyeresége ($)</t>
  </si>
  <si>
    <t>Veszteséges trade-ek átlagos nettó vesztesége ($)</t>
  </si>
  <si>
    <t>a CAPM-ben kiszámolt elvárt hozam=piaci kapitalizációs ráta=a részvények tőkeköltsége</t>
  </si>
  <si>
    <t>Így nem kérdezem a P/E-t.</t>
  </si>
  <si>
    <t>Teljesítménymérés</t>
  </si>
  <si>
    <t>Egységnyi szórásra eső hozam</t>
  </si>
  <si>
    <t>Sharpe</t>
  </si>
  <si>
    <t>Treynor</t>
  </si>
  <si>
    <t>Információs hányados</t>
  </si>
  <si>
    <t>A portfólió hozama</t>
  </si>
  <si>
    <t xml:space="preserve"> A portfólió szórása</t>
  </si>
  <si>
    <t>Kockázatmentes hozam</t>
  </si>
  <si>
    <t>Portfólió béta</t>
  </si>
  <si>
    <t>Sortino</t>
  </si>
  <si>
    <t>Sterling</t>
  </si>
  <si>
    <t>Calmar</t>
  </si>
  <si>
    <t>Lefelé irányuló szórás</t>
  </si>
  <si>
    <t>Átlagos csökkenés</t>
  </si>
  <si>
    <t>Legnagyobb csökkenés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</si>
</sst>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_-[$$-409]* #,##0.00_ ;_-[$$-409]* \-#,##0.00\ ;_-[$$-409]* &quot;-&quot;??_ ;_-@_ "/>
    <numFmt numFmtId="166" formatCode="#,##0.0"/>
    <numFmt numFmtId="167" formatCode="#,##0\ [$USD]"/>
    <numFmt numFmtId="168" formatCode="0.000"/>
    <numFmt numFmtId="169" formatCode="0.0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0" fillId="3" borderId="4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9" fontId="6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 applyFill="1"/>
    <xf numFmtId="0" fontId="0" fillId="5" borderId="0" xfId="0" applyFill="1"/>
    <xf numFmtId="2" fontId="6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0" xfId="0" applyFont="1" applyFill="1" applyAlignment="1">
      <alignment horizontal="right"/>
    </xf>
    <xf numFmtId="9" fontId="5" fillId="4" borderId="0" xfId="1" applyFont="1" applyFill="1" applyAlignment="1">
      <alignment horizontal="right"/>
    </xf>
    <xf numFmtId="10" fontId="5" fillId="4" borderId="0" xfId="1" applyNumberFormat="1" applyFont="1" applyFill="1" applyAlignment="1">
      <alignment horizontal="right"/>
    </xf>
    <xf numFmtId="10" fontId="3" fillId="4" borderId="6" xfId="0" applyNumberFormat="1" applyFont="1" applyFill="1" applyBorder="1" applyAlignment="1">
      <alignment horizontal="center"/>
    </xf>
    <xf numFmtId="10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11" fillId="5" borderId="0" xfId="0" applyFont="1" applyFill="1"/>
    <xf numFmtId="0" fontId="6" fillId="4" borderId="0" xfId="0" applyFont="1" applyFill="1" applyAlignment="1">
      <alignment horizontal="center"/>
    </xf>
    <xf numFmtId="9" fontId="6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6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1" applyNumberFormat="1" applyFont="1"/>
    <xf numFmtId="164" fontId="11" fillId="0" borderId="0" xfId="0" applyNumberFormat="1" applyFont="1"/>
    <xf numFmtId="10" fontId="11" fillId="0" borderId="0" xfId="0" applyNumberFormat="1" applyFont="1"/>
    <xf numFmtId="10" fontId="6" fillId="0" borderId="0" xfId="1" applyNumberFormat="1" applyFont="1"/>
    <xf numFmtId="2" fontId="11" fillId="0" borderId="0" xfId="0" applyNumberFormat="1" applyFont="1"/>
    <xf numFmtId="166" fontId="6" fillId="0" borderId="0" xfId="0" applyNumberFormat="1" applyFont="1"/>
    <xf numFmtId="0" fontId="2" fillId="6" borderId="0" xfId="0" applyFont="1" applyFill="1" applyAlignment="1">
      <alignment horizontal="center"/>
    </xf>
    <xf numFmtId="167" fontId="2" fillId="0" borderId="0" xfId="0" applyNumberFormat="1" applyFont="1"/>
    <xf numFmtId="167" fontId="2" fillId="4" borderId="0" xfId="0" applyNumberFormat="1" applyFont="1" applyFill="1"/>
    <xf numFmtId="0" fontId="6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0" fillId="3" borderId="0" xfId="0" applyNumberFormat="1" applyFill="1"/>
    <xf numFmtId="3" fontId="2" fillId="4" borderId="0" xfId="0" applyNumberFormat="1" applyFont="1" applyFill="1"/>
    <xf numFmtId="9" fontId="0" fillId="3" borderId="0" xfId="0" applyNumberFormat="1" applyFont="1" applyFill="1"/>
    <xf numFmtId="2" fontId="2" fillId="4" borderId="0" xfId="0" applyNumberFormat="1" applyFont="1" applyFill="1"/>
    <xf numFmtId="10" fontId="2" fillId="4" borderId="0" xfId="1" applyNumberFormat="1" applyFont="1" applyFill="1"/>
    <xf numFmtId="0" fontId="0" fillId="3" borderId="0" xfId="0" applyFill="1" applyAlignment="1">
      <alignment horizontal="right"/>
    </xf>
    <xf numFmtId="168" fontId="2" fillId="4" borderId="0" xfId="0" applyNumberFormat="1" applyFont="1" applyFill="1"/>
    <xf numFmtId="4" fontId="0" fillId="3" borderId="0" xfId="0" applyNumberFormat="1" applyFill="1"/>
    <xf numFmtId="0" fontId="2" fillId="4" borderId="0" xfId="0" applyFont="1" applyFill="1" applyAlignment="1">
      <alignment horizontal="right"/>
    </xf>
    <xf numFmtId="0" fontId="2" fillId="0" borderId="0" xfId="0" quotePrefix="1" applyFont="1"/>
    <xf numFmtId="0" fontId="12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0" fontId="6" fillId="0" borderId="0" xfId="0" applyFont="1" applyAlignment="1"/>
    <xf numFmtId="0" fontId="14" fillId="9" borderId="0" xfId="0" applyFont="1" applyFill="1" applyAlignment="1">
      <alignment horizontal="center"/>
    </xf>
    <xf numFmtId="0" fontId="14" fillId="9" borderId="0" xfId="0" applyFont="1" applyFill="1"/>
    <xf numFmtId="164" fontId="0" fillId="3" borderId="0" xfId="1" applyNumberFormat="1" applyFont="1" applyFill="1"/>
    <xf numFmtId="0" fontId="15" fillId="0" borderId="0" xfId="0" applyFont="1" applyAlignment="1">
      <alignment horizontal="right"/>
    </xf>
    <xf numFmtId="164" fontId="13" fillId="3" borderId="0" xfId="1" applyNumberFormat="1" applyFont="1" applyFill="1"/>
    <xf numFmtId="10" fontId="5" fillId="4" borderId="0" xfId="1" applyNumberFormat="1" applyFont="1" applyFill="1" applyAlignment="1">
      <alignment horizontal="center" vertical="center"/>
    </xf>
    <xf numFmtId="10" fontId="5" fillId="4" borderId="0" xfId="1" applyNumberFormat="1" applyFont="1" applyFill="1" applyAlignment="1">
      <alignment horizontal="center"/>
    </xf>
    <xf numFmtId="169" fontId="5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43" fontId="5" fillId="4" borderId="0" xfId="2" applyFont="1" applyFill="1" applyAlignment="1">
      <alignment horizontal="center"/>
    </xf>
    <xf numFmtId="0" fontId="2" fillId="0" borderId="0" xfId="0" applyFont="1" applyAlignment="1">
      <alignment horizontal="right" vertical="center" wrapText="1"/>
    </xf>
    <xf numFmtId="43" fontId="5" fillId="4" borderId="0" xfId="2" applyNumberFormat="1" applyFont="1" applyFill="1" applyAlignment="1">
      <alignment vertical="center" wrapText="1"/>
    </xf>
    <xf numFmtId="43" fontId="5" fillId="4" borderId="0" xfId="2" applyFont="1" applyFill="1" applyAlignment="1">
      <alignment vertical="center" wrapText="1"/>
    </xf>
    <xf numFmtId="0" fontId="2" fillId="3" borderId="0" xfId="0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/>
    <xf numFmtId="2" fontId="2" fillId="4" borderId="0" xfId="0" applyNumberFormat="1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10" fontId="5" fillId="4" borderId="0" xfId="1" applyNumberFormat="1" applyFont="1" applyFill="1" applyAlignment="1">
      <alignment horizontal="center" vertical="center" wrapText="1"/>
    </xf>
  </cellXfs>
  <cellStyles count="3">
    <cellStyle name="Ezres" xfId="2" builtinId="3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zoomScale="150" zoomScaleNormal="150" workbookViewId="0">
      <selection activeCell="G18" sqref="G18"/>
    </sheetView>
  </sheetViews>
  <sheetFormatPr defaultRowHeight="15" x14ac:dyDescent="0.25"/>
  <cols>
    <col min="2" max="2" width="17.85546875" bestFit="1" customWidth="1"/>
    <col min="3" max="3" width="19.5703125" customWidth="1"/>
    <col min="6" max="6" width="29.42578125" bestFit="1" customWidth="1"/>
    <col min="7" max="7" width="17.7109375" bestFit="1" customWidth="1"/>
    <col min="8" max="19" width="9.140625" customWidth="1"/>
  </cols>
  <sheetData>
    <row r="2" spans="1:9" ht="21" x14ac:dyDescent="0.35">
      <c r="A2" s="23" t="s">
        <v>117</v>
      </c>
    </row>
    <row r="5" spans="1:9" x14ac:dyDescent="0.25">
      <c r="B5" s="5" t="s">
        <v>111</v>
      </c>
      <c r="C5" s="63">
        <v>395</v>
      </c>
      <c r="F5" s="5" t="s">
        <v>105</v>
      </c>
      <c r="G5" s="64">
        <f>C7*C8</f>
        <v>280000010</v>
      </c>
    </row>
    <row r="6" spans="1:9" x14ac:dyDescent="0.25">
      <c r="B6" s="5" t="s">
        <v>102</v>
      </c>
      <c r="C6" s="63">
        <v>10200</v>
      </c>
      <c r="F6" s="5" t="s">
        <v>108</v>
      </c>
      <c r="G6" s="64">
        <f>G5*C6</f>
        <v>2856000102000</v>
      </c>
    </row>
    <row r="7" spans="1:9" x14ac:dyDescent="0.25">
      <c r="B7" s="5" t="s">
        <v>103</v>
      </c>
      <c r="C7" s="63">
        <v>280000010</v>
      </c>
      <c r="F7" s="5" t="s">
        <v>109</v>
      </c>
      <c r="G7" s="64">
        <f>G6/C5</f>
        <v>7230380005.0632915</v>
      </c>
      <c r="H7" s="5" t="s">
        <v>140</v>
      </c>
    </row>
    <row r="8" spans="1:9" x14ac:dyDescent="0.25">
      <c r="B8" s="5" t="s">
        <v>104</v>
      </c>
      <c r="C8" s="65">
        <v>1</v>
      </c>
      <c r="F8" s="5" t="s">
        <v>107</v>
      </c>
      <c r="G8" s="64">
        <f>C10/C7</f>
        <v>6523.7747670080444</v>
      </c>
    </row>
    <row r="9" spans="1:9" x14ac:dyDescent="0.25">
      <c r="B9" s="5" t="s">
        <v>106</v>
      </c>
      <c r="C9" s="63">
        <v>14590288000000</v>
      </c>
      <c r="F9" s="5" t="s">
        <v>129</v>
      </c>
      <c r="G9" s="66">
        <f>C6/G8</f>
        <v>1.5635119795341983</v>
      </c>
    </row>
    <row r="10" spans="1:9" x14ac:dyDescent="0.25">
      <c r="B10" s="5" t="s">
        <v>110</v>
      </c>
      <c r="C10" s="63">
        <v>1826657000000</v>
      </c>
      <c r="F10" s="5" t="s">
        <v>130</v>
      </c>
      <c r="G10" s="71" t="str">
        <f>IF(G9&lt;C16, "Igen", "Nem")</f>
        <v>Nem</v>
      </c>
    </row>
    <row r="11" spans="1:9" x14ac:dyDescent="0.25">
      <c r="B11" s="5" t="s">
        <v>81</v>
      </c>
      <c r="C11" s="63">
        <v>318322000000</v>
      </c>
      <c r="F11" s="5" t="s">
        <v>112</v>
      </c>
      <c r="G11" s="66">
        <f>C11/C7</f>
        <v>1136.8642451119913</v>
      </c>
    </row>
    <row r="12" spans="1:9" x14ac:dyDescent="0.25">
      <c r="B12" s="5" t="s">
        <v>114</v>
      </c>
      <c r="C12" s="68" t="s">
        <v>115</v>
      </c>
      <c r="F12" s="5" t="s">
        <v>101</v>
      </c>
      <c r="G12" s="66">
        <f>C6/G11</f>
        <v>8.9720474927903187</v>
      </c>
      <c r="H12" s="72" t="s">
        <v>132</v>
      </c>
      <c r="I12" s="66">
        <f>G9/G15</f>
        <v>8.9720474927903204</v>
      </c>
    </row>
    <row r="13" spans="1:9" x14ac:dyDescent="0.25">
      <c r="B13" s="5" t="s">
        <v>116</v>
      </c>
      <c r="C13" s="63">
        <v>1074</v>
      </c>
      <c r="F13" s="5" t="s">
        <v>123</v>
      </c>
      <c r="G13" s="71" t="str">
        <f>IF(G12&lt;C15, "Igen", "Nem")</f>
        <v>Igen</v>
      </c>
    </row>
    <row r="14" spans="1:9" x14ac:dyDescent="0.25">
      <c r="B14" s="5" t="s">
        <v>120</v>
      </c>
      <c r="C14" s="70">
        <v>2</v>
      </c>
      <c r="F14" s="5" t="s">
        <v>113</v>
      </c>
      <c r="G14" s="67">
        <f>C11/C9</f>
        <v>2.1817389759544156E-2</v>
      </c>
    </row>
    <row r="15" spans="1:9" x14ac:dyDescent="0.25">
      <c r="B15" s="5" t="s">
        <v>122</v>
      </c>
      <c r="C15" s="70">
        <v>12</v>
      </c>
      <c r="F15" s="5" t="s">
        <v>35</v>
      </c>
      <c r="G15" s="67">
        <f>C11/C10</f>
        <v>0.17426479081732366</v>
      </c>
    </row>
    <row r="16" spans="1:9" x14ac:dyDescent="0.25">
      <c r="B16" s="5" t="s">
        <v>131</v>
      </c>
      <c r="C16" s="70">
        <v>1.5</v>
      </c>
      <c r="F16" s="5" t="s">
        <v>118</v>
      </c>
      <c r="G16" s="67">
        <f>G11/C13-1</f>
        <v>5.8532816677831834E-2</v>
      </c>
    </row>
    <row r="17" spans="6:7" x14ac:dyDescent="0.25">
      <c r="F17" s="5" t="s">
        <v>119</v>
      </c>
      <c r="G17" s="69">
        <f>G12/(G16*100)</f>
        <v>1.5328234658812014</v>
      </c>
    </row>
    <row r="18" spans="6:7" x14ac:dyDescent="0.25">
      <c r="F18" s="5" t="s">
        <v>121</v>
      </c>
      <c r="G18" s="71" t="str">
        <f>IF(G17&lt;C14, "Igen", "Nem")</f>
        <v>Igen</v>
      </c>
    </row>
    <row r="20" spans="6:7" x14ac:dyDescent="0.25">
      <c r="F20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90" zoomScaleNormal="190" workbookViewId="0">
      <selection activeCell="D6" sqref="D6"/>
    </sheetView>
  </sheetViews>
  <sheetFormatPr defaultRowHeight="15" x14ac:dyDescent="0.25"/>
  <cols>
    <col min="2" max="2" width="2.42578125" customWidth="1"/>
    <col min="3" max="3" width="46.42578125" bestFit="1" customWidth="1"/>
    <col min="5" max="5" width="3.42578125" customWidth="1"/>
    <col min="6" max="6" width="28.85546875" customWidth="1"/>
    <col min="7" max="7" width="14.85546875" customWidth="1"/>
  </cols>
  <sheetData>
    <row r="1" spans="1:7" ht="21" x14ac:dyDescent="0.35">
      <c r="A1" s="23" t="s">
        <v>142</v>
      </c>
    </row>
    <row r="5" spans="1:7" x14ac:dyDescent="0.25">
      <c r="C5" s="12" t="s">
        <v>150</v>
      </c>
      <c r="D5" s="63">
        <v>100</v>
      </c>
      <c r="F5" s="5" t="s">
        <v>148</v>
      </c>
      <c r="G5" s="89">
        <f>D6/D5</f>
        <v>0.6</v>
      </c>
    </row>
    <row r="6" spans="1:7" x14ac:dyDescent="0.25">
      <c r="C6" s="12" t="s">
        <v>151</v>
      </c>
      <c r="D6" s="63">
        <v>60</v>
      </c>
      <c r="F6" s="5" t="s">
        <v>149</v>
      </c>
      <c r="G6" s="90">
        <f>D7/D8</f>
        <v>1.0416666666666667</v>
      </c>
    </row>
    <row r="7" spans="1:7" x14ac:dyDescent="0.25">
      <c r="C7" s="12" t="s">
        <v>157</v>
      </c>
      <c r="D7" s="70">
        <v>2500</v>
      </c>
      <c r="F7" s="114" t="s">
        <v>156</v>
      </c>
      <c r="G7" s="115">
        <f>IF((G5-((1-G5)/G6))&lt;=0, "Nem nekünk való ez a játék", G5-((1-G5)/G6))</f>
        <v>0.21599999999999997</v>
      </c>
    </row>
    <row r="8" spans="1:7" x14ac:dyDescent="0.25">
      <c r="C8" s="12" t="s">
        <v>158</v>
      </c>
      <c r="D8" s="70">
        <v>2400</v>
      </c>
      <c r="F8" s="114"/>
      <c r="G8" s="115"/>
    </row>
  </sheetData>
  <mergeCells count="2">
    <mergeCell ref="F7:F8"/>
    <mergeCell ref="G7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90" zoomScaleNormal="190" workbookViewId="0">
      <selection activeCell="A2" sqref="A2"/>
    </sheetView>
  </sheetViews>
  <sheetFormatPr defaultRowHeight="15" x14ac:dyDescent="0.25"/>
  <cols>
    <col min="3" max="3" width="28.5703125" bestFit="1" customWidth="1"/>
    <col min="6" max="6" width="27.5703125" bestFit="1" customWidth="1"/>
    <col min="7" max="7" width="9.140625" customWidth="1"/>
  </cols>
  <sheetData>
    <row r="1" spans="1:7" ht="21" x14ac:dyDescent="0.35">
      <c r="A1" s="23" t="s">
        <v>128</v>
      </c>
    </row>
    <row r="5" spans="1:7" x14ac:dyDescent="0.25">
      <c r="C5" s="5" t="s">
        <v>138</v>
      </c>
      <c r="D5" s="63">
        <v>50000</v>
      </c>
      <c r="F5" s="5" t="s">
        <v>136</v>
      </c>
      <c r="G5" s="64">
        <f>D5-SUM(D6:D8)</f>
        <v>39000</v>
      </c>
    </row>
    <row r="6" spans="1:7" x14ac:dyDescent="0.25">
      <c r="C6" s="73" t="s">
        <v>133</v>
      </c>
      <c r="D6" s="63">
        <v>2000</v>
      </c>
      <c r="F6" s="5" t="s">
        <v>126</v>
      </c>
      <c r="G6" s="66">
        <f>D5/D9</f>
        <v>2.5</v>
      </c>
    </row>
    <row r="7" spans="1:7" x14ac:dyDescent="0.25">
      <c r="C7" s="73" t="s">
        <v>134</v>
      </c>
      <c r="D7" s="63">
        <v>4000</v>
      </c>
      <c r="F7" s="5" t="s">
        <v>139</v>
      </c>
      <c r="G7" s="66">
        <f>SUM(D6:D8)/D9</f>
        <v>0.55000000000000004</v>
      </c>
    </row>
    <row r="8" spans="1:7" x14ac:dyDescent="0.25">
      <c r="C8" s="73" t="s">
        <v>135</v>
      </c>
      <c r="D8" s="63">
        <v>5000</v>
      </c>
      <c r="F8" s="5" t="s">
        <v>127</v>
      </c>
      <c r="G8" s="66">
        <f>SUM(D6:D7)/D9</f>
        <v>0.3</v>
      </c>
    </row>
    <row r="9" spans="1:7" x14ac:dyDescent="0.25">
      <c r="C9" s="5" t="s">
        <v>137</v>
      </c>
      <c r="D9" s="63">
        <v>20000</v>
      </c>
    </row>
    <row r="10" spans="1:7" x14ac:dyDescent="0.25">
      <c r="F10" s="5"/>
      <c r="G10" s="10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70" zoomScaleNormal="170" workbookViewId="0">
      <selection activeCell="H6" sqref="H6"/>
    </sheetView>
  </sheetViews>
  <sheetFormatPr defaultRowHeight="15" x14ac:dyDescent="0.25"/>
  <cols>
    <col min="4" max="4" width="35.7109375" bestFit="1" customWidth="1"/>
    <col min="5" max="5" width="11.7109375" bestFit="1" customWidth="1"/>
    <col min="6" max="6" width="3.5703125" customWidth="1"/>
    <col min="7" max="7" width="28" bestFit="1" customWidth="1"/>
  </cols>
  <sheetData>
    <row r="1" spans="1:8" ht="21" x14ac:dyDescent="0.35">
      <c r="A1" s="23" t="s">
        <v>161</v>
      </c>
    </row>
    <row r="5" spans="1:8" x14ac:dyDescent="0.25">
      <c r="D5" s="12" t="s">
        <v>166</v>
      </c>
      <c r="E5" s="85">
        <v>0.62519659903342106</v>
      </c>
      <c r="G5" s="12" t="s">
        <v>162</v>
      </c>
      <c r="H5" s="93">
        <f>E5/E6</f>
        <v>1.0157509165667804</v>
      </c>
    </row>
    <row r="6" spans="1:8" x14ac:dyDescent="0.25">
      <c r="D6" s="12" t="s">
        <v>167</v>
      </c>
      <c r="E6" s="85">
        <v>0.61550188027058261</v>
      </c>
      <c r="G6" s="12" t="s">
        <v>163</v>
      </c>
      <c r="H6" s="93">
        <f>(E5-E7)/E6</f>
        <v>0.99950401250272813</v>
      </c>
    </row>
    <row r="7" spans="1:8" ht="15.75" customHeight="1" x14ac:dyDescent="0.25">
      <c r="D7" s="12" t="s">
        <v>168</v>
      </c>
      <c r="E7" s="85">
        <v>0.01</v>
      </c>
      <c r="G7" s="94" t="s">
        <v>164</v>
      </c>
      <c r="H7" s="95">
        <f>(E5-E7)/E8</f>
        <v>0.41013106602228072</v>
      </c>
    </row>
    <row r="8" spans="1:8" ht="16.5" customHeight="1" x14ac:dyDescent="0.25">
      <c r="D8" s="12" t="s">
        <v>169</v>
      </c>
      <c r="E8" s="70">
        <v>1.5</v>
      </c>
      <c r="G8" s="94" t="s">
        <v>165</v>
      </c>
      <c r="H8" s="96">
        <f>E9/E6</f>
        <v>8.1234520320261822E-2</v>
      </c>
    </row>
    <row r="9" spans="1:8" x14ac:dyDescent="0.25">
      <c r="D9" s="12" t="s">
        <v>8</v>
      </c>
      <c r="E9" s="85">
        <v>0.05</v>
      </c>
      <c r="G9" s="94" t="s">
        <v>170</v>
      </c>
      <c r="H9" s="96">
        <f>(E5-E7)/E10</f>
        <v>12.30393198066842</v>
      </c>
    </row>
    <row r="10" spans="1:8" x14ac:dyDescent="0.25">
      <c r="D10" s="12" t="s">
        <v>173</v>
      </c>
      <c r="E10" s="85">
        <v>0.05</v>
      </c>
      <c r="G10" s="94" t="s">
        <v>171</v>
      </c>
      <c r="H10" s="96">
        <f>(E5-E7)/E11</f>
        <v>6.1519659903342099</v>
      </c>
    </row>
    <row r="11" spans="1:8" x14ac:dyDescent="0.25">
      <c r="D11" s="12" t="s">
        <v>174</v>
      </c>
      <c r="E11" s="85">
        <v>0.1</v>
      </c>
      <c r="G11" s="94" t="s">
        <v>172</v>
      </c>
      <c r="H11" s="96">
        <f>(E5-E7)/E12</f>
        <v>3.0759829951671049</v>
      </c>
    </row>
    <row r="12" spans="1:8" x14ac:dyDescent="0.25">
      <c r="D12" s="12" t="s">
        <v>175</v>
      </c>
      <c r="E12" s="85"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10" zoomScaleNormal="210" workbookViewId="0"/>
  </sheetViews>
  <sheetFormatPr defaultRowHeight="15" x14ac:dyDescent="0.25"/>
  <cols>
    <col min="2" max="2" width="17.28515625" customWidth="1"/>
    <col min="3" max="3" width="15.28515625" customWidth="1"/>
    <col min="5" max="5" width="7.7109375" bestFit="1" customWidth="1"/>
  </cols>
  <sheetData>
    <row r="1" spans="1:6" ht="18.75" x14ac:dyDescent="0.3">
      <c r="A1" s="11" t="s">
        <v>25</v>
      </c>
    </row>
    <row r="3" spans="1:6" ht="15.75" thickBot="1" x14ac:dyDescent="0.3"/>
    <row r="4" spans="1:6" ht="15.75" thickBot="1" x14ac:dyDescent="0.3">
      <c r="B4" s="104" t="s">
        <v>11</v>
      </c>
      <c r="C4" s="105"/>
    </row>
    <row r="5" spans="1:6" x14ac:dyDescent="0.25">
      <c r="B5" s="4" t="s">
        <v>4</v>
      </c>
      <c r="C5" s="10">
        <v>0.13</v>
      </c>
      <c r="E5" s="12" t="s">
        <v>4</v>
      </c>
      <c r="F5" s="5" t="s">
        <v>12</v>
      </c>
    </row>
    <row r="6" spans="1:6" x14ac:dyDescent="0.25">
      <c r="B6" s="2" t="s">
        <v>1</v>
      </c>
      <c r="C6" s="9">
        <v>0.09</v>
      </c>
      <c r="E6" s="12" t="s">
        <v>1</v>
      </c>
      <c r="F6" s="5" t="s">
        <v>13</v>
      </c>
    </row>
    <row r="7" spans="1:6" x14ac:dyDescent="0.25">
      <c r="B7" s="2" t="s">
        <v>0</v>
      </c>
      <c r="C7" s="8">
        <v>2</v>
      </c>
      <c r="E7" s="12" t="s">
        <v>0</v>
      </c>
      <c r="F7" s="5" t="s">
        <v>14</v>
      </c>
    </row>
    <row r="8" spans="1:6" ht="15.75" thickBot="1" x14ac:dyDescent="0.3">
      <c r="B8" s="3" t="s">
        <v>2</v>
      </c>
      <c r="C8" s="7">
        <v>0.06</v>
      </c>
      <c r="E8" s="12" t="s">
        <v>2</v>
      </c>
      <c r="F8" s="5" t="s">
        <v>15</v>
      </c>
    </row>
    <row r="9" spans="1:6" ht="15.75" thickBot="1" x14ac:dyDescent="0.3">
      <c r="B9" s="106" t="s">
        <v>24</v>
      </c>
      <c r="C9" s="107"/>
      <c r="E9" s="12"/>
      <c r="F9" s="5"/>
    </row>
    <row r="10" spans="1:6" x14ac:dyDescent="0.25">
      <c r="B10" s="4" t="s">
        <v>5</v>
      </c>
      <c r="C10" s="37">
        <f>C8+C7*(C6-C8)</f>
        <v>0.12</v>
      </c>
      <c r="E10" s="12" t="s">
        <v>16</v>
      </c>
      <c r="F10" s="5" t="s">
        <v>159</v>
      </c>
    </row>
    <row r="11" spans="1:6" x14ac:dyDescent="0.25">
      <c r="B11" s="2" t="s">
        <v>3</v>
      </c>
      <c r="C11" s="38">
        <f>C5-C6</f>
        <v>4.0000000000000008E-2</v>
      </c>
    </row>
    <row r="12" spans="1:6" x14ac:dyDescent="0.25">
      <c r="B12" s="2" t="s">
        <v>8</v>
      </c>
      <c r="C12" s="38">
        <f>C5-C10</f>
        <v>1.0000000000000009E-2</v>
      </c>
    </row>
    <row r="13" spans="1:6" x14ac:dyDescent="0.25">
      <c r="B13" s="2" t="s">
        <v>9</v>
      </c>
      <c r="C13" s="39" t="str">
        <f>IF(C12=0, "SML-en", IF(C12&gt;0, "SML felett", "SML alatt"))</f>
        <v>SML felett</v>
      </c>
    </row>
    <row r="14" spans="1:6" ht="15.75" thickBot="1" x14ac:dyDescent="0.3">
      <c r="B14" s="3" t="s">
        <v>10</v>
      </c>
      <c r="C14" s="40" t="str">
        <f>IF(C13="SML-en","Venni",IF(C13="SML felett","Venni","Adni"))</f>
        <v>Venni</v>
      </c>
    </row>
  </sheetData>
  <mergeCells count="2">
    <mergeCell ref="B4:C4"/>
    <mergeCell ref="B9:C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2" zoomScale="180" zoomScaleNormal="180" workbookViewId="0">
      <selection activeCell="A12" sqref="A12"/>
    </sheetView>
  </sheetViews>
  <sheetFormatPr defaultRowHeight="15" x14ac:dyDescent="0.25"/>
  <cols>
    <col min="1" max="1" width="44.85546875" bestFit="1" customWidth="1"/>
    <col min="2" max="2" width="15.7109375" bestFit="1" customWidth="1"/>
    <col min="4" max="4" width="3.28515625" customWidth="1"/>
    <col min="5" max="5" width="15.7109375" bestFit="1" customWidth="1"/>
    <col min="6" max="6" width="15.5703125" style="1" customWidth="1"/>
    <col min="7" max="7" width="2.7109375" customWidth="1"/>
    <col min="8" max="8" width="15.7109375" bestFit="1" customWidth="1"/>
    <col min="9" max="9" width="9.140625" customWidth="1"/>
  </cols>
  <sheetData>
    <row r="1" spans="1:10" ht="18.75" x14ac:dyDescent="0.3">
      <c r="A1" s="33" t="s">
        <v>68</v>
      </c>
    </row>
    <row r="2" spans="1:10" x14ac:dyDescent="0.25">
      <c r="B2" s="6" t="s">
        <v>7</v>
      </c>
      <c r="C2" s="5" t="s">
        <v>18</v>
      </c>
    </row>
    <row r="3" spans="1:10" x14ac:dyDescent="0.25">
      <c r="A3" s="5"/>
      <c r="B3" s="5"/>
      <c r="C3" s="5"/>
      <c r="D3" s="5"/>
      <c r="E3" s="5"/>
      <c r="F3" s="6"/>
      <c r="G3" s="5"/>
      <c r="H3" s="5"/>
      <c r="I3" s="5"/>
      <c r="J3" s="5"/>
    </row>
    <row r="4" spans="1:10" x14ac:dyDescent="0.25">
      <c r="A4" s="5" t="s">
        <v>23</v>
      </c>
      <c r="B4" s="5"/>
      <c r="C4" s="5"/>
      <c r="D4" s="5"/>
      <c r="E4" s="5"/>
      <c r="F4" s="6"/>
      <c r="G4" s="5"/>
      <c r="H4" s="5"/>
      <c r="I4" s="5"/>
      <c r="J4" s="5"/>
    </row>
    <row r="5" spans="1:10" x14ac:dyDescent="0.25">
      <c r="A5" s="5"/>
      <c r="B5" s="5" t="s">
        <v>17</v>
      </c>
      <c r="C5" s="97">
        <v>12</v>
      </c>
      <c r="D5" s="5"/>
      <c r="E5" s="5" t="s">
        <v>17</v>
      </c>
      <c r="F5" s="12">
        <v>7</v>
      </c>
      <c r="G5" s="5"/>
      <c r="H5" s="5" t="s">
        <v>17</v>
      </c>
      <c r="I5" s="12">
        <v>9</v>
      </c>
      <c r="J5" s="5"/>
    </row>
    <row r="6" spans="1:10" x14ac:dyDescent="0.25">
      <c r="A6" s="5"/>
      <c r="B6" s="5" t="s">
        <v>6</v>
      </c>
      <c r="C6" s="97">
        <v>2</v>
      </c>
      <c r="D6" s="5"/>
      <c r="E6" s="5" t="s">
        <v>6</v>
      </c>
      <c r="F6" s="12">
        <v>4</v>
      </c>
      <c r="G6" s="5"/>
      <c r="H6" s="5" t="s">
        <v>6</v>
      </c>
      <c r="I6" s="12">
        <v>2</v>
      </c>
      <c r="J6" s="5"/>
    </row>
    <row r="7" spans="1:10" x14ac:dyDescent="0.25">
      <c r="A7" s="13"/>
      <c r="B7" s="13" t="s">
        <v>48</v>
      </c>
      <c r="C7" s="98">
        <v>-0.13</v>
      </c>
      <c r="D7" s="13"/>
      <c r="E7" s="13" t="s">
        <v>48</v>
      </c>
      <c r="F7" s="17">
        <v>-0.1</v>
      </c>
      <c r="G7" s="13"/>
      <c r="H7" s="13" t="s">
        <v>48</v>
      </c>
      <c r="I7" s="17">
        <v>-0.1</v>
      </c>
      <c r="J7" s="5"/>
    </row>
    <row r="8" spans="1:10" x14ac:dyDescent="0.25">
      <c r="A8" s="5"/>
      <c r="B8" s="5"/>
      <c r="C8" s="12"/>
      <c r="D8" s="5"/>
      <c r="E8" s="5"/>
      <c r="F8" s="12"/>
      <c r="G8" s="5"/>
      <c r="H8" s="5"/>
      <c r="I8" s="12"/>
      <c r="J8" s="5"/>
    </row>
    <row r="9" spans="1:10" x14ac:dyDescent="0.25">
      <c r="A9" s="5" t="s">
        <v>22</v>
      </c>
      <c r="B9" s="5"/>
      <c r="C9" s="12"/>
      <c r="D9" s="5"/>
      <c r="E9" s="5"/>
      <c r="F9" s="12"/>
      <c r="G9" s="5"/>
      <c r="H9" s="5"/>
      <c r="I9" s="12"/>
      <c r="J9" s="5"/>
    </row>
    <row r="10" spans="1:10" s="14" customFormat="1" x14ac:dyDescent="0.25">
      <c r="A10" s="13" t="s">
        <v>21</v>
      </c>
      <c r="B10" s="13" t="s">
        <v>7</v>
      </c>
      <c r="C10" s="34">
        <f>1+C5/C6</f>
        <v>7</v>
      </c>
      <c r="D10" s="13"/>
      <c r="E10" s="13" t="s">
        <v>7</v>
      </c>
      <c r="F10" s="34">
        <f>1+F5/F6</f>
        <v>2.75</v>
      </c>
      <c r="G10" s="13"/>
      <c r="H10" s="13" t="s">
        <v>7</v>
      </c>
      <c r="I10" s="34">
        <f>1+I5/I6</f>
        <v>5.5</v>
      </c>
      <c r="J10" s="13"/>
    </row>
    <row r="11" spans="1:10" s="14" customFormat="1" x14ac:dyDescent="0.25">
      <c r="A11" s="13" t="s">
        <v>49</v>
      </c>
      <c r="B11" s="13" t="s">
        <v>6</v>
      </c>
      <c r="C11" s="35">
        <f>C7*C10</f>
        <v>-0.91</v>
      </c>
      <c r="D11" s="13"/>
      <c r="E11" s="13" t="s">
        <v>6</v>
      </c>
      <c r="F11" s="35">
        <f>F7*F10</f>
        <v>-0.27500000000000002</v>
      </c>
      <c r="G11" s="13"/>
      <c r="H11" s="13" t="s">
        <v>6</v>
      </c>
      <c r="I11" s="35">
        <f>I7*I10</f>
        <v>-0.55000000000000004</v>
      </c>
      <c r="J11" s="13"/>
    </row>
    <row r="12" spans="1:10" s="14" customFormat="1" x14ac:dyDescent="0.25">
      <c r="A12" s="13" t="s">
        <v>50</v>
      </c>
      <c r="B12" s="13" t="s">
        <v>20</v>
      </c>
      <c r="C12" s="36">
        <f>-1/C10</f>
        <v>-0.14285714285714285</v>
      </c>
      <c r="D12" s="13"/>
      <c r="E12" s="13" t="s">
        <v>20</v>
      </c>
      <c r="F12" s="36">
        <f>-1/F10</f>
        <v>-0.36363636363636365</v>
      </c>
      <c r="G12" s="13"/>
      <c r="H12" s="13" t="s">
        <v>20</v>
      </c>
      <c r="I12" s="36">
        <f>-1/I10</f>
        <v>-0.18181818181818182</v>
      </c>
      <c r="J12" s="13"/>
    </row>
    <row r="13" spans="1:10" s="14" customFormat="1" x14ac:dyDescent="0.25">
      <c r="J13" s="13"/>
    </row>
    <row r="14" spans="1:10" s="14" customFormat="1" x14ac:dyDescent="0.25">
      <c r="A14" s="13"/>
      <c r="B14" s="13"/>
      <c r="C14" s="13"/>
      <c r="D14" s="13"/>
      <c r="E14" s="13"/>
      <c r="F14" s="15"/>
      <c r="G14" s="13"/>
      <c r="H14" s="13"/>
      <c r="I14" s="13"/>
      <c r="J14" s="13"/>
    </row>
    <row r="15" spans="1:10" s="14" customFormat="1" x14ac:dyDescent="0.25">
      <c r="A15" s="13"/>
      <c r="B15" s="13"/>
      <c r="C15" s="13"/>
      <c r="D15" s="13"/>
      <c r="E15" s="13"/>
      <c r="F15" s="15"/>
      <c r="G15" s="13"/>
      <c r="H15" s="13"/>
      <c r="I15" s="13"/>
      <c r="J15" s="13"/>
    </row>
    <row r="16" spans="1:10" s="14" customFormat="1" x14ac:dyDescent="0.25">
      <c r="A16" s="13"/>
      <c r="B16" s="13"/>
      <c r="C16" s="13"/>
      <c r="D16" s="13"/>
      <c r="E16" s="13"/>
      <c r="F16" s="15"/>
      <c r="G16" s="13"/>
      <c r="H16" s="13"/>
      <c r="I16" s="13"/>
      <c r="J16" s="13"/>
    </row>
    <row r="17" spans="1:10" s="14" customFormat="1" x14ac:dyDescent="0.25">
      <c r="A17" s="13"/>
      <c r="B17" s="13"/>
      <c r="C17" s="13"/>
      <c r="D17" s="13"/>
      <c r="E17" s="13"/>
      <c r="F17" s="15"/>
      <c r="G17" s="13"/>
      <c r="H17" s="13"/>
      <c r="I17" s="13"/>
      <c r="J17" s="13"/>
    </row>
    <row r="18" spans="1:10" s="14" customFormat="1" x14ac:dyDescent="0.25">
      <c r="A18" s="13"/>
      <c r="B18" s="13"/>
      <c r="C18" s="13"/>
      <c r="D18" s="13"/>
      <c r="E18" s="13"/>
      <c r="F18" s="15"/>
      <c r="G18" s="13"/>
      <c r="H18" s="13"/>
      <c r="I18" s="13"/>
      <c r="J18" s="13"/>
    </row>
    <row r="19" spans="1:10" s="14" customFormat="1" x14ac:dyDescent="0.25">
      <c r="A19" s="13"/>
      <c r="B19" s="13"/>
      <c r="C19" s="13"/>
      <c r="D19" s="13"/>
      <c r="E19" s="13"/>
      <c r="F19" s="15"/>
      <c r="G19" s="13"/>
      <c r="H19" s="13"/>
      <c r="I19" s="13"/>
      <c r="J19" s="13"/>
    </row>
    <row r="20" spans="1:10" s="14" customFormat="1" x14ac:dyDescent="0.25">
      <c r="F20" s="16"/>
    </row>
    <row r="21" spans="1:10" s="14" customFormat="1" x14ac:dyDescent="0.25">
      <c r="F21" s="16"/>
    </row>
    <row r="22" spans="1:10" s="14" customFormat="1" x14ac:dyDescent="0.25">
      <c r="F22" s="16"/>
    </row>
    <row r="23" spans="1:10" s="14" customFormat="1" x14ac:dyDescent="0.25">
      <c r="F23" s="16"/>
    </row>
    <row r="24" spans="1:10" s="14" customFormat="1" x14ac:dyDescent="0.25">
      <c r="F2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50" zoomScaleNormal="150" workbookViewId="0">
      <selection activeCell="N11" sqref="N11"/>
    </sheetView>
  </sheetViews>
  <sheetFormatPr defaultColWidth="8.85546875" defaultRowHeight="15" x14ac:dyDescent="0.25"/>
  <cols>
    <col min="1" max="1" width="6.5703125" style="1" bestFit="1" customWidth="1"/>
    <col min="2" max="2" width="3.5703125" style="1" bestFit="1" customWidth="1"/>
    <col min="3" max="3" width="8.85546875" style="1"/>
    <col min="4" max="4" width="23.140625" style="1" bestFit="1" customWidth="1"/>
    <col min="5" max="5" width="8.85546875" style="1" customWidth="1"/>
    <col min="6" max="6" width="4.7109375" style="78" customWidth="1"/>
    <col min="7" max="7" width="2.7109375" style="1" bestFit="1" customWidth="1"/>
    <col min="8" max="8" width="3.5703125" style="1" bestFit="1" customWidth="1"/>
    <col min="9" max="9" width="9" style="1" bestFit="1" customWidth="1"/>
    <col min="10" max="10" width="23.140625" style="1" bestFit="1" customWidth="1"/>
    <col min="11" max="11" width="8.85546875" style="1" customWidth="1"/>
    <col min="12" max="12" width="4.85546875" style="78" customWidth="1"/>
    <col min="13" max="13" width="3.140625" style="1" bestFit="1" customWidth="1"/>
    <col min="14" max="14" width="8.85546875" style="1"/>
    <col min="15" max="15" width="9" style="1" bestFit="1" customWidth="1"/>
    <col min="16" max="16" width="24.140625" style="1" bestFit="1" customWidth="1"/>
    <col min="17" max="17" width="8.85546875" style="1" customWidth="1"/>
    <col min="18" max="16384" width="8.85546875" style="1"/>
  </cols>
  <sheetData>
    <row r="1" spans="1:17" ht="18.75" x14ac:dyDescent="0.3">
      <c r="A1" s="32" t="s">
        <v>57</v>
      </c>
    </row>
    <row r="2" spans="1:17" ht="15.75" x14ac:dyDescent="0.25">
      <c r="A2" s="18" t="s">
        <v>26</v>
      </c>
      <c r="B2" s="18"/>
      <c r="C2" s="18"/>
      <c r="D2" s="18"/>
      <c r="E2" s="18"/>
      <c r="F2" s="79"/>
      <c r="G2" s="18" t="s">
        <v>27</v>
      </c>
      <c r="H2" s="18"/>
      <c r="I2" s="18"/>
      <c r="J2" s="18"/>
      <c r="K2" s="18"/>
      <c r="L2" s="79"/>
      <c r="M2" s="18" t="s">
        <v>28</v>
      </c>
    </row>
    <row r="3" spans="1:17" ht="15.75" x14ac:dyDescent="0.25">
      <c r="A3" s="18"/>
      <c r="B3" s="18"/>
      <c r="C3" s="18" t="s">
        <v>29</v>
      </c>
      <c r="D3" s="18" t="s">
        <v>51</v>
      </c>
      <c r="G3" s="18"/>
      <c r="H3" s="18"/>
      <c r="I3" s="18" t="s">
        <v>29</v>
      </c>
      <c r="J3" s="18" t="s">
        <v>51</v>
      </c>
      <c r="M3" s="18"/>
      <c r="N3" s="18"/>
      <c r="O3" s="18" t="s">
        <v>29</v>
      </c>
      <c r="P3" s="18" t="s">
        <v>51</v>
      </c>
    </row>
    <row r="4" spans="1:17" ht="15.75" x14ac:dyDescent="0.25">
      <c r="A4" s="18"/>
      <c r="B4" s="18"/>
      <c r="C4" s="76">
        <v>0.1</v>
      </c>
      <c r="D4" s="18"/>
      <c r="G4" s="18"/>
      <c r="H4" s="18"/>
      <c r="I4" s="76">
        <v>0.04</v>
      </c>
      <c r="J4" s="18"/>
      <c r="M4" s="18"/>
      <c r="N4" s="18"/>
      <c r="O4" s="76">
        <v>0.06</v>
      </c>
      <c r="P4" s="18"/>
    </row>
    <row r="5" spans="1:17" ht="15.75" x14ac:dyDescent="0.25">
      <c r="A5" s="18" t="s">
        <v>53</v>
      </c>
      <c r="C5" s="18" t="s">
        <v>52</v>
      </c>
      <c r="D5" s="18" t="s">
        <v>54</v>
      </c>
      <c r="E5" s="18" t="s">
        <v>56</v>
      </c>
      <c r="G5" s="18" t="s">
        <v>53</v>
      </c>
      <c r="I5" s="18" t="s">
        <v>52</v>
      </c>
      <c r="J5" s="18" t="s">
        <v>54</v>
      </c>
      <c r="K5" s="18" t="s">
        <v>56</v>
      </c>
      <c r="M5" s="18" t="s">
        <v>53</v>
      </c>
      <c r="O5" s="18" t="s">
        <v>52</v>
      </c>
      <c r="P5" s="18" t="s">
        <v>54</v>
      </c>
      <c r="Q5" s="18" t="s">
        <v>56</v>
      </c>
    </row>
    <row r="6" spans="1:17" ht="15.75" x14ac:dyDescent="0.25">
      <c r="A6" s="18">
        <v>1</v>
      </c>
      <c r="B6" s="75" t="s">
        <v>30</v>
      </c>
      <c r="C6" s="75">
        <v>5</v>
      </c>
      <c r="D6" s="18"/>
      <c r="E6" s="26">
        <f>(C6+D6)/((1+$C$4)^A6)</f>
        <v>4.545454545454545</v>
      </c>
      <c r="G6" s="18">
        <v>1</v>
      </c>
      <c r="H6" s="75" t="s">
        <v>30</v>
      </c>
      <c r="I6" s="75">
        <v>3</v>
      </c>
      <c r="J6" s="18"/>
      <c r="K6" s="26">
        <f>(I6+J6)/((1+$I$4)^G6)</f>
        <v>2.8846153846153846</v>
      </c>
      <c r="M6" s="18">
        <v>1</v>
      </c>
      <c r="N6" s="18" t="s">
        <v>30</v>
      </c>
      <c r="O6" s="75">
        <v>5</v>
      </c>
      <c r="P6" s="18"/>
      <c r="Q6" s="26">
        <f>(O6+P6)/((1+$O$4)^M6)</f>
        <v>4.7169811320754711</v>
      </c>
    </row>
    <row r="7" spans="1:17" ht="15.75" x14ac:dyDescent="0.25">
      <c r="A7" s="18">
        <v>2</v>
      </c>
      <c r="B7" s="75" t="s">
        <v>31</v>
      </c>
      <c r="C7" s="75">
        <v>9</v>
      </c>
      <c r="D7" s="18"/>
      <c r="E7" s="26">
        <f>(C7+D7)/((1+$C$4)^A7)</f>
        <v>7.438016528925619</v>
      </c>
      <c r="G7" s="18">
        <v>2</v>
      </c>
      <c r="H7" s="75" t="s">
        <v>31</v>
      </c>
      <c r="I7" s="75">
        <v>6</v>
      </c>
      <c r="J7" s="18"/>
      <c r="K7" s="26">
        <f t="shared" ref="K7:K9" si="0">(I7+J7)/((1+$I$4)^G7)</f>
        <v>5.5473372781065082</v>
      </c>
      <c r="M7" s="18">
        <v>2</v>
      </c>
      <c r="N7" s="18" t="s">
        <v>31</v>
      </c>
      <c r="O7" s="75">
        <v>7</v>
      </c>
      <c r="P7" s="18"/>
      <c r="Q7" s="26">
        <f>(O7+P7)/((1+$O$4)^M7)</f>
        <v>6.2299750800996785</v>
      </c>
    </row>
    <row r="8" spans="1:17" ht="15.75" x14ac:dyDescent="0.25">
      <c r="A8" s="18">
        <v>3</v>
      </c>
      <c r="B8" s="75" t="s">
        <v>32</v>
      </c>
      <c r="C8" s="75">
        <v>2</v>
      </c>
      <c r="D8" s="75">
        <v>38</v>
      </c>
      <c r="E8" s="26">
        <f>(C8+D8)/((1+$C$4)^A8)</f>
        <v>30.0525920360631</v>
      </c>
      <c r="G8" s="18">
        <v>3</v>
      </c>
      <c r="H8" s="75" t="s">
        <v>32</v>
      </c>
      <c r="I8" s="75">
        <v>5</v>
      </c>
      <c r="J8" s="18"/>
      <c r="K8" s="26">
        <f t="shared" si="0"/>
        <v>4.4449817933545743</v>
      </c>
      <c r="M8" s="18">
        <v>3</v>
      </c>
      <c r="N8" s="18" t="s">
        <v>32</v>
      </c>
      <c r="O8" s="75">
        <v>8</v>
      </c>
      <c r="P8" s="18"/>
      <c r="Q8" s="26">
        <f>(O8+P8)/((1+$O$4)^M8)</f>
        <v>6.7169542642584128</v>
      </c>
    </row>
    <row r="9" spans="1:17" ht="15.75" x14ac:dyDescent="0.25">
      <c r="A9" s="18">
        <v>4</v>
      </c>
      <c r="B9" s="18" t="s">
        <v>33</v>
      </c>
      <c r="C9" s="18"/>
      <c r="D9" s="18"/>
      <c r="E9" s="26">
        <f t="shared" ref="E9:E10" si="1">(C9+D9)/((1+$C$4)^A9)</f>
        <v>0</v>
      </c>
      <c r="G9" s="18">
        <v>4</v>
      </c>
      <c r="H9" s="75" t="s">
        <v>33</v>
      </c>
      <c r="I9" s="75">
        <v>4</v>
      </c>
      <c r="J9" s="75">
        <v>50</v>
      </c>
      <c r="K9" s="26">
        <f t="shared" si="0"/>
        <v>46.159426315605188</v>
      </c>
      <c r="M9" s="18">
        <v>4</v>
      </c>
      <c r="N9" s="18" t="s">
        <v>33</v>
      </c>
      <c r="O9" s="75">
        <v>3</v>
      </c>
      <c r="P9" s="18"/>
      <c r="Q9" s="26">
        <f>(O9+P9)/((1+$O$4)^M9)</f>
        <v>2.3762809897140613</v>
      </c>
    </row>
    <row r="10" spans="1:17" ht="15.75" x14ac:dyDescent="0.25">
      <c r="A10" s="18">
        <v>5</v>
      </c>
      <c r="B10" s="18" t="s">
        <v>34</v>
      </c>
      <c r="C10" s="18"/>
      <c r="D10" s="18"/>
      <c r="E10" s="26">
        <f t="shared" si="1"/>
        <v>0</v>
      </c>
      <c r="G10" s="18">
        <v>5</v>
      </c>
      <c r="H10" s="18" t="s">
        <v>34</v>
      </c>
      <c r="I10" s="18"/>
      <c r="J10" s="18"/>
      <c r="K10" s="26">
        <f>(I10+J10)/((1+$I$4)^G10)</f>
        <v>0</v>
      </c>
      <c r="M10" s="18">
        <v>5</v>
      </c>
      <c r="N10" s="18" t="s">
        <v>34</v>
      </c>
      <c r="O10" s="75">
        <v>2</v>
      </c>
      <c r="P10" s="75">
        <v>64</v>
      </c>
      <c r="Q10" s="26">
        <f>(O10+P10)/((1+$O$4)^M10)</f>
        <v>49.319039409159757</v>
      </c>
    </row>
    <row r="11" spans="1:17" ht="15.75" x14ac:dyDescent="0.25">
      <c r="D11" s="6" t="s">
        <v>55</v>
      </c>
      <c r="E11" s="21">
        <f>SUM(E6:E10)</f>
        <v>42.036063110443266</v>
      </c>
      <c r="J11" s="6" t="s">
        <v>55</v>
      </c>
      <c r="K11" s="21">
        <f>SUM(K6:K10)</f>
        <v>59.036360771681657</v>
      </c>
      <c r="P11" s="6" t="s">
        <v>55</v>
      </c>
      <c r="Q11" s="21">
        <f>SUM(Q6:Q10)</f>
        <v>69.359230875307375</v>
      </c>
    </row>
    <row r="12" spans="1:17" x14ac:dyDescent="0.25">
      <c r="E12" s="6"/>
      <c r="F12" s="80"/>
      <c r="G12" s="6"/>
      <c r="H12" s="108"/>
      <c r="I12" s="108"/>
      <c r="J12" s="6"/>
      <c r="K12" s="6"/>
      <c r="L12" s="80"/>
      <c r="M12" s="6"/>
      <c r="N12" s="108"/>
      <c r="O12" s="108"/>
      <c r="P12" s="6"/>
    </row>
    <row r="13" spans="1:17" x14ac:dyDescent="0.25">
      <c r="C13" s="108" t="s">
        <v>58</v>
      </c>
      <c r="D13" s="108"/>
      <c r="E13" s="27" t="str">
        <f>IF(E11&gt;=D14,"VENNI","ELADNI")</f>
        <v>ELADNI</v>
      </c>
      <c r="I13" s="108" t="s">
        <v>58</v>
      </c>
      <c r="J13" s="108"/>
      <c r="K13" s="74" t="str">
        <f>IF(K11&gt;=J14,"VENNI","ELADNI")</f>
        <v>VENNI</v>
      </c>
      <c r="O13" s="108" t="s">
        <v>58</v>
      </c>
      <c r="P13" s="108"/>
      <c r="Q13" s="74" t="str">
        <f>IF(Q11&gt;=P14,"VENNI","ELADNI")</f>
        <v>ELADNI</v>
      </c>
    </row>
    <row r="14" spans="1:17" x14ac:dyDescent="0.25">
      <c r="D14" s="77">
        <v>45</v>
      </c>
      <c r="J14" s="77">
        <v>59</v>
      </c>
      <c r="P14" s="77">
        <v>70</v>
      </c>
    </row>
  </sheetData>
  <mergeCells count="5">
    <mergeCell ref="C13:D13"/>
    <mergeCell ref="H12:I12"/>
    <mergeCell ref="N12:O12"/>
    <mergeCell ref="I13:J13"/>
    <mergeCell ref="O13:P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10" zoomScaleNormal="210" workbookViewId="0">
      <selection activeCell="C1" sqref="C1"/>
    </sheetView>
  </sheetViews>
  <sheetFormatPr defaultColWidth="8.85546875" defaultRowHeight="15" x14ac:dyDescent="0.25"/>
  <cols>
    <col min="1" max="1" width="36.85546875" style="14" bestFit="1" customWidth="1"/>
    <col min="2" max="2" width="10.7109375" style="14" bestFit="1" customWidth="1"/>
    <col min="3" max="4" width="8.85546875" style="14"/>
    <col min="5" max="5" width="9.42578125" style="14" bestFit="1" customWidth="1"/>
    <col min="6" max="16384" width="8.85546875" style="14"/>
  </cols>
  <sheetData>
    <row r="1" spans="1:8" ht="18.75" x14ac:dyDescent="0.3">
      <c r="A1" s="31" t="s">
        <v>59</v>
      </c>
    </row>
    <row r="2" spans="1:8" x14ac:dyDescent="0.25">
      <c r="A2" s="14" t="s">
        <v>51</v>
      </c>
      <c r="B2" s="15" t="s">
        <v>29</v>
      </c>
      <c r="C2" s="99">
        <v>0.1</v>
      </c>
      <c r="D2" s="28">
        <v>7.0000000000000007E-2</v>
      </c>
      <c r="E2" s="28">
        <v>0.11</v>
      </c>
      <c r="F2" s="16"/>
      <c r="G2" s="16"/>
      <c r="H2" s="16"/>
    </row>
    <row r="3" spans="1:8" x14ac:dyDescent="0.25">
      <c r="A3" s="14" t="s">
        <v>61</v>
      </c>
      <c r="B3" s="15" t="s">
        <v>36</v>
      </c>
      <c r="C3" s="99">
        <v>0.05</v>
      </c>
      <c r="D3" s="28">
        <v>0.03</v>
      </c>
      <c r="E3" s="28">
        <v>0.01</v>
      </c>
      <c r="F3" s="16"/>
      <c r="G3" s="16"/>
      <c r="H3" s="16"/>
    </row>
    <row r="4" spans="1:8" x14ac:dyDescent="0.25">
      <c r="A4" s="14" t="s">
        <v>63</v>
      </c>
      <c r="B4" s="15" t="s">
        <v>62</v>
      </c>
      <c r="C4" s="100">
        <v>7</v>
      </c>
      <c r="D4" s="15">
        <v>7</v>
      </c>
      <c r="E4" s="15">
        <v>20</v>
      </c>
      <c r="F4" s="16"/>
      <c r="G4" s="16"/>
      <c r="H4" s="16"/>
    </row>
    <row r="5" spans="1:8" x14ac:dyDescent="0.25">
      <c r="A5" s="14" t="s">
        <v>125</v>
      </c>
      <c r="B5" s="15" t="s">
        <v>60</v>
      </c>
      <c r="C5" s="100">
        <v>150</v>
      </c>
      <c r="D5" s="15">
        <v>175</v>
      </c>
      <c r="E5" s="15">
        <v>201</v>
      </c>
      <c r="F5" s="16"/>
      <c r="G5" s="16"/>
      <c r="H5" s="16"/>
    </row>
    <row r="6" spans="1:8" x14ac:dyDescent="0.25">
      <c r="A6" s="14" t="s">
        <v>124</v>
      </c>
      <c r="B6" s="15" t="s">
        <v>37</v>
      </c>
      <c r="C6" s="28">
        <v>0.4</v>
      </c>
      <c r="D6" s="28">
        <v>0.5</v>
      </c>
      <c r="E6" s="28">
        <v>0.6</v>
      </c>
      <c r="F6" s="16"/>
      <c r="G6" s="16"/>
      <c r="H6" s="16"/>
    </row>
    <row r="7" spans="1:8" x14ac:dyDescent="0.25">
      <c r="B7" s="15"/>
      <c r="C7" s="15"/>
      <c r="D7" s="15"/>
      <c r="E7" s="15"/>
      <c r="F7" s="16"/>
      <c r="G7" s="16"/>
      <c r="H7" s="16"/>
    </row>
    <row r="8" spans="1:8" x14ac:dyDescent="0.25">
      <c r="B8" s="16"/>
      <c r="C8" s="16"/>
      <c r="D8" s="83"/>
      <c r="E8" s="83"/>
      <c r="F8" s="16"/>
      <c r="G8" s="16"/>
      <c r="H8" s="16"/>
    </row>
    <row r="9" spans="1:8" x14ac:dyDescent="0.25">
      <c r="A9" s="14" t="s">
        <v>64</v>
      </c>
      <c r="B9" s="15" t="s">
        <v>66</v>
      </c>
      <c r="C9" s="29">
        <f>C4/(C2-C3)</f>
        <v>140</v>
      </c>
      <c r="D9" s="101">
        <f t="shared" ref="D9:E9" si="0">D4/(D2-D3)</f>
        <v>174.99999999999997</v>
      </c>
      <c r="E9" s="101">
        <f t="shared" si="0"/>
        <v>200</v>
      </c>
      <c r="F9" s="16"/>
      <c r="G9" s="16"/>
      <c r="H9" s="16"/>
    </row>
    <row r="10" spans="1:8" x14ac:dyDescent="0.25">
      <c r="A10" s="109" t="s">
        <v>65</v>
      </c>
      <c r="B10" s="109"/>
      <c r="C10" s="62" t="str">
        <f>IF(C9&gt;=C5,"Venni","Eladni")</f>
        <v>Eladni</v>
      </c>
      <c r="D10" s="101" t="str">
        <f t="shared" ref="D10:E10" si="1">IF(D9&gt;=D5,"Venni","Eladni")</f>
        <v>Venni</v>
      </c>
      <c r="E10" s="101" t="str">
        <f t="shared" si="1"/>
        <v>Eladni</v>
      </c>
      <c r="F10" s="16"/>
      <c r="G10" s="16"/>
      <c r="H10" s="16"/>
    </row>
    <row r="11" spans="1:8" x14ac:dyDescent="0.25">
      <c r="B11" s="15" t="s">
        <v>101</v>
      </c>
      <c r="C11" s="30">
        <f>(1-C6)/(C2-C3)</f>
        <v>11.999999999999998</v>
      </c>
      <c r="D11" s="30">
        <f>(1-D6)/(D2-D3)</f>
        <v>12.499999999999998</v>
      </c>
      <c r="E11" s="103">
        <f t="shared" ref="E11" si="2">(1-E6)/(E2-E3)</f>
        <v>4</v>
      </c>
      <c r="F11" s="16"/>
      <c r="G11" s="16"/>
      <c r="H11" s="16"/>
    </row>
    <row r="12" spans="1:8" x14ac:dyDescent="0.25">
      <c r="B12" s="15" t="s">
        <v>160</v>
      </c>
      <c r="C12" s="16"/>
      <c r="D12" s="83"/>
      <c r="E12" s="83"/>
      <c r="F12" s="16"/>
      <c r="G12" s="16"/>
      <c r="H12" s="16"/>
    </row>
    <row r="13" spans="1:8" x14ac:dyDescent="0.25">
      <c r="D13" s="84"/>
      <c r="E13" s="84"/>
    </row>
  </sheetData>
  <mergeCells count="1"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150" zoomScaleNormal="150" workbookViewId="0">
      <selection activeCell="A10" sqref="A10"/>
    </sheetView>
  </sheetViews>
  <sheetFormatPr defaultRowHeight="15" x14ac:dyDescent="0.25"/>
  <cols>
    <col min="1" max="1" width="2.5703125" customWidth="1"/>
    <col min="2" max="2" width="7.7109375" bestFit="1" customWidth="1"/>
    <col min="3" max="3" width="7.42578125" bestFit="1" customWidth="1"/>
    <col min="4" max="4" width="3" style="24" customWidth="1"/>
    <col min="5" max="5" width="17.42578125" customWidth="1"/>
    <col min="6" max="6" width="8" customWidth="1"/>
    <col min="7" max="7" width="3.7109375" style="25" customWidth="1"/>
    <col min="8" max="8" width="7.7109375" bestFit="1" customWidth="1"/>
    <col min="9" max="9" width="7.42578125" bestFit="1" customWidth="1"/>
    <col min="10" max="10" width="3.7109375" style="24" customWidth="1"/>
    <col min="11" max="11" width="14.28515625" customWidth="1"/>
    <col min="12" max="12" width="7.140625" customWidth="1"/>
    <col min="13" max="13" width="3.7109375" style="25" customWidth="1"/>
    <col min="14" max="14" width="7.7109375" bestFit="1" customWidth="1"/>
    <col min="15" max="15" width="7.42578125" bestFit="1" customWidth="1"/>
    <col min="16" max="16" width="3.7109375" style="24" customWidth="1"/>
    <col min="17" max="17" width="14.28515625" customWidth="1"/>
    <col min="18" max="18" width="8.5703125" customWidth="1"/>
    <col min="19" max="19" width="3.7109375" style="25" customWidth="1"/>
    <col min="20" max="20" width="7.7109375" bestFit="1" customWidth="1"/>
    <col min="21" max="21" width="8.5703125" bestFit="1" customWidth="1"/>
    <col min="22" max="22" width="3.7109375" style="24" customWidth="1"/>
    <col min="23" max="23" width="14.28515625" customWidth="1"/>
    <col min="24" max="24" width="8" customWidth="1"/>
  </cols>
  <sheetData>
    <row r="1" spans="1:24" ht="18.75" x14ac:dyDescent="0.3">
      <c r="A1" s="11" t="s">
        <v>67</v>
      </c>
    </row>
    <row r="3" spans="1:24" ht="15.75" x14ac:dyDescent="0.25">
      <c r="B3" s="19" t="s">
        <v>26</v>
      </c>
      <c r="C3" s="41"/>
      <c r="D3" s="42"/>
      <c r="E3" s="41"/>
      <c r="F3" s="41"/>
      <c r="G3" s="43"/>
      <c r="H3" s="19" t="s">
        <v>27</v>
      </c>
      <c r="I3" s="41"/>
      <c r="J3" s="42"/>
      <c r="K3" s="41"/>
      <c r="L3" s="41"/>
      <c r="M3" s="43"/>
      <c r="N3" s="19" t="s">
        <v>28</v>
      </c>
      <c r="O3" s="41"/>
      <c r="P3" s="42"/>
      <c r="Q3" s="41"/>
      <c r="R3" s="41"/>
      <c r="S3" s="43"/>
      <c r="T3" s="19" t="s">
        <v>40</v>
      </c>
      <c r="U3" s="41"/>
      <c r="V3" s="42"/>
      <c r="W3" s="41"/>
      <c r="X3" s="41"/>
    </row>
    <row r="4" spans="1:24" ht="15.75" x14ac:dyDescent="0.25">
      <c r="B4" s="110" t="s">
        <v>41</v>
      </c>
      <c r="C4" s="110"/>
      <c r="D4" s="42"/>
      <c r="E4" s="111" t="s">
        <v>24</v>
      </c>
      <c r="F4" s="111"/>
      <c r="G4" s="43"/>
      <c r="H4" s="110" t="s">
        <v>41</v>
      </c>
      <c r="I4" s="110"/>
      <c r="J4" s="42"/>
      <c r="K4" s="111" t="s">
        <v>24</v>
      </c>
      <c r="L4" s="111"/>
      <c r="M4" s="43"/>
      <c r="N4" s="110" t="s">
        <v>41</v>
      </c>
      <c r="O4" s="110"/>
      <c r="P4" s="42"/>
      <c r="Q4" s="111" t="s">
        <v>24</v>
      </c>
      <c r="R4" s="111"/>
      <c r="S4" s="43"/>
      <c r="T4" s="110" t="s">
        <v>41</v>
      </c>
      <c r="U4" s="110"/>
      <c r="V4" s="42"/>
      <c r="W4" s="111" t="s">
        <v>24</v>
      </c>
      <c r="X4" s="111"/>
    </row>
    <row r="5" spans="1:24" ht="15.75" x14ac:dyDescent="0.25">
      <c r="B5" s="18" t="s">
        <v>35</v>
      </c>
      <c r="C5" s="20">
        <v>0.12</v>
      </c>
      <c r="D5" s="42"/>
      <c r="E5" s="18" t="s">
        <v>38</v>
      </c>
      <c r="F5" s="44">
        <f>C8*(1-C6)</f>
        <v>1.7999999999999998</v>
      </c>
      <c r="G5" s="43"/>
      <c r="H5" s="18" t="s">
        <v>35</v>
      </c>
      <c r="I5" s="20">
        <v>0.18</v>
      </c>
      <c r="J5" s="42"/>
      <c r="K5" s="18" t="s">
        <v>38</v>
      </c>
      <c r="L5" s="44">
        <f>I8*(1-I6)</f>
        <v>1.7999999999999998</v>
      </c>
      <c r="M5" s="43"/>
      <c r="N5" s="18" t="s">
        <v>35</v>
      </c>
      <c r="O5" s="20">
        <v>0.1</v>
      </c>
      <c r="P5" s="42"/>
      <c r="Q5" s="18" t="s">
        <v>38</v>
      </c>
      <c r="R5" s="44">
        <f>O8*(1-O6)</f>
        <v>4.8</v>
      </c>
      <c r="S5" s="43"/>
      <c r="T5" s="18" t="s">
        <v>35</v>
      </c>
      <c r="U5" s="20">
        <v>0.13</v>
      </c>
      <c r="V5" s="42"/>
      <c r="W5" s="18" t="s">
        <v>38</v>
      </c>
      <c r="X5" s="44">
        <f>U8*(1-U6)</f>
        <v>6</v>
      </c>
    </row>
    <row r="6" spans="1:24" ht="15.75" x14ac:dyDescent="0.25">
      <c r="B6" s="18" t="s">
        <v>37</v>
      </c>
      <c r="C6" s="20">
        <v>0.55000000000000004</v>
      </c>
      <c r="D6" s="42"/>
      <c r="E6" s="18" t="s">
        <v>36</v>
      </c>
      <c r="F6" s="81">
        <f>C5*C6</f>
        <v>6.6000000000000003E-2</v>
      </c>
      <c r="G6" s="43"/>
      <c r="H6" s="18" t="s">
        <v>37</v>
      </c>
      <c r="I6" s="20">
        <v>0.55000000000000004</v>
      </c>
      <c r="J6" s="42"/>
      <c r="K6" s="18" t="s">
        <v>36</v>
      </c>
      <c r="L6" s="45">
        <f>I5*I6</f>
        <v>9.9000000000000005E-2</v>
      </c>
      <c r="M6" s="43"/>
      <c r="N6" s="18" t="s">
        <v>37</v>
      </c>
      <c r="O6" s="20">
        <v>0.4</v>
      </c>
      <c r="P6" s="42"/>
      <c r="Q6" s="18" t="s">
        <v>36</v>
      </c>
      <c r="R6" s="45">
        <f>O5*O6</f>
        <v>4.0000000000000008E-2</v>
      </c>
      <c r="S6" s="43"/>
      <c r="T6" s="18" t="s">
        <v>37</v>
      </c>
      <c r="U6" s="20">
        <v>0.4</v>
      </c>
      <c r="V6" s="42"/>
      <c r="W6" s="18" t="s">
        <v>36</v>
      </c>
      <c r="X6" s="45">
        <f>U5*U6</f>
        <v>5.2000000000000005E-2</v>
      </c>
    </row>
    <row r="7" spans="1:24" ht="15.75" x14ac:dyDescent="0.25">
      <c r="B7" s="18" t="s">
        <v>29</v>
      </c>
      <c r="C7" s="20">
        <v>0.16</v>
      </c>
      <c r="D7" s="42"/>
      <c r="E7" s="18" t="s">
        <v>71</v>
      </c>
      <c r="F7" s="46">
        <f>F5/(C7-F6)</f>
        <v>19.148936170212764</v>
      </c>
      <c r="G7" s="43"/>
      <c r="H7" s="18" t="s">
        <v>29</v>
      </c>
      <c r="I7" s="20">
        <v>0.16</v>
      </c>
      <c r="J7" s="42"/>
      <c r="K7" s="18" t="s">
        <v>71</v>
      </c>
      <c r="L7" s="46">
        <f>L5/(I7-L6)</f>
        <v>29.508196721311474</v>
      </c>
      <c r="M7" s="43"/>
      <c r="N7" s="18" t="s">
        <v>29</v>
      </c>
      <c r="O7" s="20">
        <v>0.12</v>
      </c>
      <c r="P7" s="42"/>
      <c r="Q7" s="18" t="s">
        <v>71</v>
      </c>
      <c r="R7" s="46">
        <f>R5/(O7-R6)</f>
        <v>60.000000000000007</v>
      </c>
      <c r="S7" s="43"/>
      <c r="T7" s="18" t="s">
        <v>29</v>
      </c>
      <c r="U7" s="20">
        <v>0.12</v>
      </c>
      <c r="V7" s="42"/>
      <c r="W7" s="18" t="s">
        <v>71</v>
      </c>
      <c r="X7" s="46">
        <f>X5/(U7-X6)</f>
        <v>88.235294117647072</v>
      </c>
    </row>
    <row r="8" spans="1:24" ht="15.75" x14ac:dyDescent="0.25">
      <c r="B8" s="18" t="s">
        <v>42</v>
      </c>
      <c r="C8" s="47">
        <v>4</v>
      </c>
      <c r="D8" s="42"/>
      <c r="E8" s="18" t="s">
        <v>43</v>
      </c>
      <c r="F8" s="46">
        <f>C8/C7</f>
        <v>25</v>
      </c>
      <c r="G8" s="43"/>
      <c r="H8" s="18" t="s">
        <v>42</v>
      </c>
      <c r="I8" s="47">
        <v>4</v>
      </c>
      <c r="J8" s="42"/>
      <c r="K8" s="18" t="s">
        <v>43</v>
      </c>
      <c r="L8" s="46">
        <f>I8/I7</f>
        <v>25</v>
      </c>
      <c r="M8" s="43"/>
      <c r="N8" s="18" t="s">
        <v>42</v>
      </c>
      <c r="O8" s="47">
        <v>8</v>
      </c>
      <c r="P8" s="42"/>
      <c r="Q8" s="18" t="s">
        <v>43</v>
      </c>
      <c r="R8" s="46">
        <f>O8/O7</f>
        <v>66.666666666666671</v>
      </c>
      <c r="S8" s="43"/>
      <c r="T8" s="18" t="s">
        <v>42</v>
      </c>
      <c r="U8" s="47">
        <v>10</v>
      </c>
      <c r="V8" s="42"/>
      <c r="W8" s="18" t="s">
        <v>43</v>
      </c>
      <c r="X8" s="46">
        <f>U8/U7</f>
        <v>83.333333333333343</v>
      </c>
    </row>
    <row r="9" spans="1:24" ht="15.75" x14ac:dyDescent="0.25">
      <c r="B9" s="19" t="s">
        <v>60</v>
      </c>
      <c r="C9" s="18">
        <v>20</v>
      </c>
      <c r="D9" s="42"/>
      <c r="E9" s="18" t="s">
        <v>39</v>
      </c>
      <c r="F9" s="46">
        <f>F7-F8</f>
        <v>-5.8510638297872362</v>
      </c>
      <c r="G9" s="43"/>
      <c r="H9" s="19" t="s">
        <v>60</v>
      </c>
      <c r="I9" s="18">
        <v>29</v>
      </c>
      <c r="J9" s="42"/>
      <c r="K9" s="18" t="s">
        <v>39</v>
      </c>
      <c r="L9" s="46">
        <f>L7-L8</f>
        <v>4.5081967213114744</v>
      </c>
      <c r="M9" s="43"/>
      <c r="N9" s="19" t="s">
        <v>60</v>
      </c>
      <c r="O9" s="18">
        <v>59</v>
      </c>
      <c r="P9" s="42"/>
      <c r="Q9" s="18" t="s">
        <v>39</v>
      </c>
      <c r="R9" s="46">
        <f>R7-R8</f>
        <v>-6.6666666666666643</v>
      </c>
      <c r="S9" s="43"/>
      <c r="T9" s="19" t="s">
        <v>60</v>
      </c>
      <c r="U9" s="18">
        <v>90</v>
      </c>
      <c r="V9" s="42"/>
      <c r="W9" s="18" t="s">
        <v>39</v>
      </c>
      <c r="X9" s="46">
        <f>X7-X8</f>
        <v>4.9019607843137294</v>
      </c>
    </row>
    <row r="10" spans="1:24" ht="15.75" x14ac:dyDescent="0.25">
      <c r="B10" s="41"/>
      <c r="C10" s="41"/>
      <c r="D10" s="42"/>
      <c r="E10" s="18" t="s">
        <v>69</v>
      </c>
      <c r="F10" s="44" t="str">
        <f>IF(F7&gt;=C9,"VENNI","ELADNI")</f>
        <v>ELADNI</v>
      </c>
      <c r="G10" s="43"/>
      <c r="H10" s="41"/>
      <c r="I10" s="41"/>
      <c r="J10" s="42"/>
      <c r="K10" s="18" t="s">
        <v>69</v>
      </c>
      <c r="L10" s="61" t="str">
        <f>IF(L7&gt;=I9,"VENNI","ELADNI")</f>
        <v>VENNI</v>
      </c>
      <c r="M10" s="43"/>
      <c r="N10" s="41"/>
      <c r="O10" s="41"/>
      <c r="P10" s="42"/>
      <c r="Q10" s="18" t="s">
        <v>69</v>
      </c>
      <c r="R10" s="61" t="str">
        <f>IF(R7&gt;=O9,"VENNI","ELADNI")</f>
        <v>VENNI</v>
      </c>
      <c r="S10" s="43"/>
      <c r="T10" s="41"/>
      <c r="U10" s="41"/>
      <c r="V10" s="42"/>
      <c r="W10" s="18" t="s">
        <v>69</v>
      </c>
      <c r="X10" s="61" t="str">
        <f>IF(X7&gt;=U9,"VENNI","ELADNI")</f>
        <v>ELADNI</v>
      </c>
    </row>
    <row r="11" spans="1:24" ht="15.75" x14ac:dyDescent="0.25">
      <c r="B11" s="41"/>
      <c r="C11" s="41"/>
      <c r="D11" s="42"/>
      <c r="E11" s="41"/>
      <c r="F11" s="41"/>
      <c r="G11" s="43"/>
      <c r="H11" s="41"/>
      <c r="I11" s="41"/>
      <c r="J11" s="42"/>
      <c r="K11" s="41"/>
      <c r="L11" s="41"/>
      <c r="M11" s="43"/>
      <c r="N11" s="41"/>
      <c r="O11" s="82"/>
      <c r="P11" s="82" t="s">
        <v>70</v>
      </c>
      <c r="Q11" s="82"/>
      <c r="R11" s="82"/>
      <c r="S11" s="43"/>
      <c r="T11" s="41"/>
      <c r="U11" s="41"/>
      <c r="V11" s="42"/>
      <c r="W11" s="41"/>
      <c r="X11" s="41"/>
    </row>
    <row r="12" spans="1:24" ht="15.75" x14ac:dyDescent="0.25">
      <c r="B12" s="41"/>
      <c r="C12" s="41"/>
      <c r="D12" s="42"/>
      <c r="E12" s="41"/>
      <c r="F12" s="41"/>
      <c r="G12" s="43"/>
      <c r="H12" s="41"/>
      <c r="I12" s="41"/>
      <c r="J12" s="42"/>
      <c r="K12" s="41"/>
      <c r="L12" s="41"/>
      <c r="M12" s="43"/>
      <c r="N12" s="41"/>
      <c r="O12" s="41"/>
      <c r="P12" s="42"/>
      <c r="Q12" s="41"/>
      <c r="R12" s="41"/>
      <c r="S12" s="43"/>
      <c r="T12" s="41"/>
      <c r="U12" s="41"/>
      <c r="V12" s="42"/>
      <c r="W12" s="41"/>
      <c r="X12" s="41"/>
    </row>
    <row r="13" spans="1:24" ht="15.75" x14ac:dyDescent="0.25">
      <c r="B13" s="41"/>
      <c r="C13" s="41"/>
      <c r="D13" s="42"/>
      <c r="E13" s="41"/>
      <c r="F13" s="41"/>
      <c r="G13" s="43"/>
      <c r="H13" s="41"/>
      <c r="I13" s="41"/>
      <c r="J13" s="42"/>
      <c r="K13" s="41"/>
      <c r="L13" s="41"/>
      <c r="M13" s="43"/>
      <c r="N13" s="41"/>
      <c r="O13" s="41"/>
      <c r="P13" s="42"/>
      <c r="Q13" s="41"/>
      <c r="R13" s="41"/>
      <c r="S13" s="43"/>
      <c r="T13" s="41"/>
      <c r="U13" s="41"/>
      <c r="V13" s="42"/>
      <c r="W13" s="41"/>
      <c r="X13" s="41"/>
    </row>
  </sheetData>
  <mergeCells count="8">
    <mergeCell ref="T4:U4"/>
    <mergeCell ref="W4:X4"/>
    <mergeCell ref="B4:C4"/>
    <mergeCell ref="E4:F4"/>
    <mergeCell ref="H4:I4"/>
    <mergeCell ref="K4:L4"/>
    <mergeCell ref="N4:O4"/>
    <mergeCell ref="Q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00" zoomScaleNormal="200" workbookViewId="0">
      <selection activeCell="C11" sqref="C11"/>
    </sheetView>
  </sheetViews>
  <sheetFormatPr defaultRowHeight="15" x14ac:dyDescent="0.25"/>
  <cols>
    <col min="1" max="1" width="50.5703125" bestFit="1" customWidth="1"/>
    <col min="2" max="3" width="15.7109375" bestFit="1" customWidth="1"/>
  </cols>
  <sheetData>
    <row r="1" spans="1:3" ht="21" x14ac:dyDescent="0.35">
      <c r="A1" s="23" t="s">
        <v>95</v>
      </c>
    </row>
    <row r="2" spans="1:3" x14ac:dyDescent="0.25">
      <c r="A2" s="5" t="s">
        <v>96</v>
      </c>
    </row>
    <row r="4" spans="1:3" x14ac:dyDescent="0.25">
      <c r="B4" s="58" t="s">
        <v>11</v>
      </c>
    </row>
    <row r="5" spans="1:3" x14ac:dyDescent="0.25">
      <c r="A5" t="s">
        <v>98</v>
      </c>
      <c r="B5" s="6" t="s">
        <v>97</v>
      </c>
      <c r="C5" s="22">
        <v>0.13</v>
      </c>
    </row>
    <row r="6" spans="1:3" x14ac:dyDescent="0.25">
      <c r="A6" t="s">
        <v>51</v>
      </c>
      <c r="B6" s="6" t="s">
        <v>29</v>
      </c>
      <c r="C6" s="22">
        <v>0.09</v>
      </c>
    </row>
    <row r="7" spans="1:3" x14ac:dyDescent="0.25">
      <c r="B7" s="6" t="s">
        <v>99</v>
      </c>
      <c r="C7" s="59">
        <v>200000000</v>
      </c>
    </row>
    <row r="9" spans="1:3" x14ac:dyDescent="0.25">
      <c r="B9" s="112" t="s">
        <v>100</v>
      </c>
      <c r="C9" s="112"/>
    </row>
    <row r="10" spans="1:3" x14ac:dyDescent="0.25">
      <c r="B10" s="27" t="s">
        <v>95</v>
      </c>
      <c r="C10" s="60">
        <f>(C5-C6)*C7</f>
        <v>8000000.0000000019</v>
      </c>
    </row>
  </sheetData>
  <mergeCells count="1">
    <mergeCell ref="B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10" zoomScaleNormal="110" workbookViewId="0">
      <selection activeCell="M14" sqref="M14"/>
    </sheetView>
  </sheetViews>
  <sheetFormatPr defaultColWidth="8.85546875" defaultRowHeight="15.75" x14ac:dyDescent="0.25"/>
  <cols>
    <col min="1" max="1" width="8.85546875" style="41"/>
    <col min="2" max="2" width="26" style="48" bestFit="1" customWidth="1"/>
    <col min="3" max="3" width="9.28515625" style="41" customWidth="1"/>
    <col min="4" max="4" width="3.28515625" style="41" customWidth="1"/>
    <col min="5" max="5" width="23.42578125" style="48" bestFit="1" customWidth="1"/>
    <col min="6" max="6" width="9.42578125" style="41" bestFit="1" customWidth="1"/>
    <col min="7" max="7" width="3.42578125" style="41" customWidth="1"/>
    <col min="8" max="8" width="4" style="41" bestFit="1" customWidth="1"/>
    <col min="9" max="9" width="16.42578125" style="48" bestFit="1" customWidth="1"/>
    <col min="10" max="10" width="8.85546875" style="41"/>
    <col min="11" max="11" width="2.7109375" style="41" customWidth="1"/>
    <col min="12" max="12" width="4" style="41" bestFit="1" customWidth="1"/>
    <col min="13" max="13" width="31.28515625" style="41" bestFit="1" customWidth="1"/>
    <col min="14" max="16384" width="8.85546875" style="41"/>
  </cols>
  <sheetData>
    <row r="1" spans="1:14" ht="18.75" x14ac:dyDescent="0.3">
      <c r="A1" s="11" t="s">
        <v>94</v>
      </c>
    </row>
    <row r="2" spans="1:14" x14ac:dyDescent="0.25">
      <c r="B2" s="111" t="s">
        <v>41</v>
      </c>
      <c r="C2" s="111"/>
      <c r="E2" s="113" t="s">
        <v>88</v>
      </c>
      <c r="F2" s="113"/>
      <c r="H2" s="113" t="s">
        <v>89</v>
      </c>
      <c r="I2" s="113"/>
      <c r="J2" s="113"/>
      <c r="L2" s="113" t="s">
        <v>90</v>
      </c>
      <c r="M2" s="113"/>
      <c r="N2" s="113"/>
    </row>
    <row r="3" spans="1:14" x14ac:dyDescent="0.25">
      <c r="B3" s="49" t="s">
        <v>19</v>
      </c>
      <c r="C3" s="50">
        <v>10000</v>
      </c>
      <c r="D3" s="50"/>
      <c r="E3" s="49" t="s">
        <v>77</v>
      </c>
      <c r="F3" s="50">
        <f>C6*C5</f>
        <v>1500</v>
      </c>
      <c r="G3" s="50"/>
      <c r="H3" s="18" t="s">
        <v>44</v>
      </c>
      <c r="I3" s="18" t="s">
        <v>91</v>
      </c>
      <c r="J3" s="18" t="s">
        <v>92</v>
      </c>
      <c r="L3" s="18" t="s">
        <v>44</v>
      </c>
      <c r="M3" s="18" t="s">
        <v>91</v>
      </c>
      <c r="N3" s="18" t="s">
        <v>92</v>
      </c>
    </row>
    <row r="4" spans="1:14" x14ac:dyDescent="0.25">
      <c r="B4" s="49" t="s">
        <v>45</v>
      </c>
      <c r="C4" s="50">
        <v>5000</v>
      </c>
      <c r="D4" s="50"/>
      <c r="E4" s="49" t="s">
        <v>78</v>
      </c>
      <c r="F4" s="50">
        <f>C8-C6</f>
        <v>20000</v>
      </c>
      <c r="G4" s="50"/>
      <c r="H4" s="51">
        <v>1</v>
      </c>
      <c r="I4" s="49" t="s">
        <v>83</v>
      </c>
      <c r="J4" s="52">
        <f>F7/F5</f>
        <v>0.84</v>
      </c>
      <c r="L4" s="51">
        <v>1</v>
      </c>
      <c r="M4" s="19" t="str">
        <f>I4</f>
        <v>Adóteher</v>
      </c>
      <c r="N4" s="53">
        <f>J4</f>
        <v>0.84</v>
      </c>
    </row>
    <row r="5" spans="1:14" x14ac:dyDescent="0.25">
      <c r="B5" s="49" t="s">
        <v>72</v>
      </c>
      <c r="C5" s="54">
        <v>0.05</v>
      </c>
      <c r="D5" s="54"/>
      <c r="E5" s="49" t="s">
        <v>79</v>
      </c>
      <c r="F5" s="50">
        <f>C4-F3</f>
        <v>3500</v>
      </c>
      <c r="G5" s="50"/>
      <c r="H5" s="51">
        <v>2</v>
      </c>
      <c r="I5" s="49" t="s">
        <v>84</v>
      </c>
      <c r="J5" s="52">
        <f>F5/C4</f>
        <v>0.7</v>
      </c>
      <c r="L5" s="51">
        <v>2</v>
      </c>
      <c r="M5" s="19" t="s">
        <v>46</v>
      </c>
      <c r="N5" s="53">
        <f>J6*J7</f>
        <v>0.1</v>
      </c>
    </row>
    <row r="6" spans="1:14" x14ac:dyDescent="0.25">
      <c r="B6" s="49" t="s">
        <v>73</v>
      </c>
      <c r="C6" s="50">
        <v>30000</v>
      </c>
      <c r="D6" s="50"/>
      <c r="E6" s="49" t="s">
        <v>80</v>
      </c>
      <c r="F6" s="50">
        <f>F5*C7</f>
        <v>560</v>
      </c>
      <c r="G6" s="50"/>
      <c r="H6" s="51">
        <v>3</v>
      </c>
      <c r="I6" s="49" t="s">
        <v>85</v>
      </c>
      <c r="J6" s="52">
        <f>C4/C3</f>
        <v>0.5</v>
      </c>
      <c r="L6" s="51">
        <v>3</v>
      </c>
      <c r="M6" s="19" t="s">
        <v>93</v>
      </c>
      <c r="N6" s="48">
        <f>J5*J8</f>
        <v>1.75</v>
      </c>
    </row>
    <row r="7" spans="1:14" x14ac:dyDescent="0.25">
      <c r="B7" s="49" t="s">
        <v>74</v>
      </c>
      <c r="C7" s="54">
        <v>0.16</v>
      </c>
      <c r="E7" s="49" t="s">
        <v>81</v>
      </c>
      <c r="F7" s="50">
        <f>F5-F6</f>
        <v>2940</v>
      </c>
      <c r="G7" s="50"/>
      <c r="H7" s="51">
        <v>4</v>
      </c>
      <c r="I7" s="49" t="s">
        <v>86</v>
      </c>
      <c r="J7" s="52">
        <f>C3/C8</f>
        <v>0.2</v>
      </c>
      <c r="M7" s="49" t="s">
        <v>35</v>
      </c>
      <c r="N7" s="55">
        <f>N6*N5*N4</f>
        <v>0.14700000000000002</v>
      </c>
    </row>
    <row r="8" spans="1:14" x14ac:dyDescent="0.25">
      <c r="B8" s="49" t="s">
        <v>75</v>
      </c>
      <c r="C8" s="50">
        <v>50000</v>
      </c>
      <c r="E8" s="49" t="s">
        <v>35</v>
      </c>
      <c r="F8" s="55">
        <f>F7/F4</f>
        <v>0.14699999999999999</v>
      </c>
      <c r="H8" s="51">
        <v>5</v>
      </c>
      <c r="I8" s="49" t="s">
        <v>87</v>
      </c>
      <c r="J8" s="56">
        <f>C8/F4</f>
        <v>2.5</v>
      </c>
    </row>
    <row r="9" spans="1:14" x14ac:dyDescent="0.25">
      <c r="B9" s="49" t="s">
        <v>76</v>
      </c>
      <c r="C9" s="50">
        <v>500</v>
      </c>
      <c r="E9" s="49" t="s">
        <v>82</v>
      </c>
      <c r="F9" s="55">
        <f>F7/C8</f>
        <v>5.8799999999999998E-2</v>
      </c>
      <c r="I9" s="49" t="s">
        <v>35</v>
      </c>
      <c r="J9" s="55">
        <f>J4*J5*J6*J7*J8</f>
        <v>0.14699999999999999</v>
      </c>
    </row>
    <row r="10" spans="1:14" x14ac:dyDescent="0.25">
      <c r="D10" s="50"/>
      <c r="E10" s="49" t="s">
        <v>46</v>
      </c>
      <c r="F10" s="55">
        <f>C4/C8</f>
        <v>0.1</v>
      </c>
    </row>
    <row r="11" spans="1:14" x14ac:dyDescent="0.25">
      <c r="E11" s="49" t="s">
        <v>47</v>
      </c>
      <c r="F11" s="57">
        <f>C4+C9</f>
        <v>5500</v>
      </c>
    </row>
  </sheetData>
  <mergeCells count="4">
    <mergeCell ref="B2:C2"/>
    <mergeCell ref="E2:F2"/>
    <mergeCell ref="H2:J2"/>
    <mergeCell ref="L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70" zoomScaleNormal="170" workbookViewId="0">
      <selection activeCell="C2" sqref="C2"/>
    </sheetView>
  </sheetViews>
  <sheetFormatPr defaultRowHeight="15" x14ac:dyDescent="0.25"/>
  <cols>
    <col min="3" max="3" width="34" bestFit="1" customWidth="1"/>
    <col min="5" max="5" width="4.140625" customWidth="1"/>
    <col min="6" max="6" width="40.5703125" bestFit="1" customWidth="1"/>
    <col min="7" max="7" width="13.7109375" bestFit="1" customWidth="1"/>
  </cols>
  <sheetData>
    <row r="1" spans="1:7" ht="21" x14ac:dyDescent="0.35">
      <c r="A1" s="23" t="s">
        <v>141</v>
      </c>
    </row>
    <row r="5" spans="1:7" x14ac:dyDescent="0.25">
      <c r="C5" s="12" t="s">
        <v>64</v>
      </c>
      <c r="D5" s="70">
        <v>58</v>
      </c>
      <c r="F5" s="5" t="s">
        <v>143</v>
      </c>
      <c r="G5" s="29" t="str">
        <f>IF(D5&gt;D6,"Igen","Nem")</f>
        <v>Igen</v>
      </c>
    </row>
    <row r="6" spans="1:7" x14ac:dyDescent="0.25">
      <c r="C6" s="12" t="s">
        <v>60</v>
      </c>
      <c r="D6" s="70">
        <v>40</v>
      </c>
      <c r="F6" s="5" t="s">
        <v>144</v>
      </c>
      <c r="G6" s="29" t="str">
        <f>IF((D5/D6-1)&gt;=D7,"Igen","Nem")</f>
        <v>Igen</v>
      </c>
    </row>
    <row r="7" spans="1:7" x14ac:dyDescent="0.25">
      <c r="C7" s="12" t="s">
        <v>141</v>
      </c>
      <c r="D7" s="85">
        <v>0.4</v>
      </c>
      <c r="F7" s="91" t="s">
        <v>152</v>
      </c>
      <c r="G7" s="88">
        <f>D9/D10</f>
        <v>0.44500000000000001</v>
      </c>
    </row>
    <row r="8" spans="1:7" x14ac:dyDescent="0.25">
      <c r="C8" s="86" t="s">
        <v>145</v>
      </c>
      <c r="D8" s="87">
        <v>0.5</v>
      </c>
      <c r="F8" s="5" t="s">
        <v>155</v>
      </c>
      <c r="G8" s="29" t="str">
        <f>IF((D5/D6-1)&gt;=G7,"Igen","Nem")</f>
        <v>Igen</v>
      </c>
    </row>
    <row r="9" spans="1:7" x14ac:dyDescent="0.25">
      <c r="C9" s="12" t="s">
        <v>153</v>
      </c>
      <c r="D9" s="70">
        <v>22.25</v>
      </c>
      <c r="F9" s="92" t="s">
        <v>146</v>
      </c>
      <c r="G9" s="88">
        <f>IF((D5/D6-1)&lt;=0, "Semekkoránál", D5/D6-1)</f>
        <v>0.44999999999999996</v>
      </c>
    </row>
    <row r="10" spans="1:7" x14ac:dyDescent="0.25">
      <c r="C10" s="12" t="s">
        <v>154</v>
      </c>
      <c r="D10" s="70">
        <v>50</v>
      </c>
      <c r="F10" s="5" t="s">
        <v>147</v>
      </c>
      <c r="G10" s="29" t="str">
        <f>IF((D5/D6-1)&gt;=D8,"Igen","Nem")</f>
        <v>Nem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PE PB PEG</vt:lpstr>
      <vt:lpstr>CAPM</vt:lpstr>
      <vt:lpstr>DOL</vt:lpstr>
      <vt:lpstr>DDM</vt:lpstr>
      <vt:lpstr>GORDON</vt:lpstr>
      <vt:lpstr>Összetett Gordon + PVGO</vt:lpstr>
      <vt:lpstr>EVA</vt:lpstr>
      <vt:lpstr>DuPont</vt:lpstr>
      <vt:lpstr>Margin of Safety</vt:lpstr>
      <vt:lpstr>Kelly Criterion</vt:lpstr>
      <vt:lpstr>Likviditási ráták</vt:lpstr>
      <vt:lpstr>Teljesítménymérés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2018-11-13T15:27:52Z</dcterms:created>
  <dcterms:modified xsi:type="dcterms:W3CDTF">2023-05-22T12:55:42Z</dcterms:modified>
</cp:coreProperties>
</file>