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asrivas/Estudios/DisenoGraficoOrt/Ultimo Cuatrimestre/Gestión Empresarial/"/>
    </mc:Choice>
  </mc:AlternateContent>
  <xr:revisionPtr revIDLastSave="0" documentId="13_ncr:1_{BE0BB2D8-5894-B44D-9F13-79B5D5AB0006}" xr6:coauthVersionLast="47" xr6:coauthVersionMax="47" xr10:uidLastSave="{00000000-0000-0000-0000-000000000000}"/>
  <bookViews>
    <workbookView xWindow="30240" yWindow="500" windowWidth="38400" windowHeight="21100" activeTab="5" xr2:uid="{C1E7702A-12AE-0C4A-BD75-95A6AB47F7E9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6" l="1"/>
  <c r="D26" i="6" s="1"/>
  <c r="H4" i="6"/>
  <c r="D19" i="6" s="1"/>
  <c r="C3" i="6"/>
  <c r="H4" i="5"/>
  <c r="F19" i="5"/>
  <c r="E19" i="5"/>
  <c r="F18" i="5"/>
  <c r="E18" i="5"/>
  <c r="C10" i="5"/>
  <c r="D28" i="5" s="1"/>
  <c r="F28" i="5" s="1"/>
  <c r="L28" i="5" s="1"/>
  <c r="C3" i="5"/>
  <c r="L19" i="1"/>
  <c r="M21" i="4"/>
  <c r="I10" i="4"/>
  <c r="F18" i="4"/>
  <c r="E18" i="4"/>
  <c r="F19" i="4"/>
  <c r="E19" i="4"/>
  <c r="C10" i="4"/>
  <c r="D28" i="4" s="1"/>
  <c r="C3" i="4"/>
  <c r="L22" i="3"/>
  <c r="L32" i="3"/>
  <c r="F20" i="3"/>
  <c r="E20" i="3"/>
  <c r="F19" i="3"/>
  <c r="E19" i="3"/>
  <c r="C11" i="3"/>
  <c r="E11" i="3" s="1"/>
  <c r="I11" i="3" s="1"/>
  <c r="C4" i="3"/>
  <c r="M23" i="2"/>
  <c r="M21" i="2"/>
  <c r="F18" i="2"/>
  <c r="F19" i="2"/>
  <c r="E19" i="2"/>
  <c r="C10" i="2"/>
  <c r="E10" i="2" s="1"/>
  <c r="I10" i="2" s="1"/>
  <c r="C3" i="2"/>
  <c r="E18" i="2"/>
  <c r="D24" i="1"/>
  <c r="F24" i="1" s="1"/>
  <c r="L24" i="1" s="1"/>
  <c r="D23" i="1"/>
  <c r="L23" i="1" s="1"/>
  <c r="D22" i="1"/>
  <c r="L22" i="1" s="1"/>
  <c r="E17" i="1"/>
  <c r="C17" i="1"/>
  <c r="I17" i="1" s="1"/>
  <c r="L17" i="1" s="1"/>
  <c r="C13" i="1"/>
  <c r="C14" i="1" s="1"/>
  <c r="I13" i="1" s="1"/>
  <c r="E9" i="1"/>
  <c r="I9" i="1" s="1"/>
  <c r="E19" i="6" l="1"/>
  <c r="F19" i="6"/>
  <c r="C18" i="6"/>
  <c r="E10" i="6"/>
  <c r="I10" i="6" s="1"/>
  <c r="D18" i="6"/>
  <c r="E26" i="6"/>
  <c r="L26" i="6" s="1"/>
  <c r="D27" i="6"/>
  <c r="E27" i="6"/>
  <c r="C14" i="6"/>
  <c r="C15" i="6" s="1"/>
  <c r="I14" i="6" s="1"/>
  <c r="D28" i="6"/>
  <c r="F28" i="6" s="1"/>
  <c r="L28" i="6" s="1"/>
  <c r="C19" i="6"/>
  <c r="C14" i="5"/>
  <c r="C15" i="5" s="1"/>
  <c r="I14" i="5" s="1"/>
  <c r="C19" i="5"/>
  <c r="D26" i="5"/>
  <c r="L26" i="5" s="1"/>
  <c r="C18" i="5"/>
  <c r="D27" i="5"/>
  <c r="L27" i="5" s="1"/>
  <c r="E10" i="5"/>
  <c r="I10" i="5" s="1"/>
  <c r="F28" i="4"/>
  <c r="L28" i="4" s="1"/>
  <c r="C14" i="4"/>
  <c r="E10" i="4"/>
  <c r="C19" i="4"/>
  <c r="D26" i="4"/>
  <c r="L26" i="4" s="1"/>
  <c r="D27" i="4"/>
  <c r="L27" i="4" s="1"/>
  <c r="C18" i="4"/>
  <c r="C15" i="3"/>
  <c r="C16" i="3" s="1"/>
  <c r="I15" i="3" s="1"/>
  <c r="C20" i="3"/>
  <c r="D28" i="3"/>
  <c r="L28" i="3" s="1"/>
  <c r="J11" i="3"/>
  <c r="L11" i="3" s="1"/>
  <c r="J15" i="3"/>
  <c r="L15" i="3" s="1"/>
  <c r="D27" i="3"/>
  <c r="L27" i="3" s="1"/>
  <c r="D29" i="3"/>
  <c r="F29" i="3" s="1"/>
  <c r="L29" i="3" s="1"/>
  <c r="C19" i="3"/>
  <c r="D27" i="2"/>
  <c r="L27" i="2" s="1"/>
  <c r="D28" i="2"/>
  <c r="F28" i="2" s="1"/>
  <c r="L28" i="2" s="1"/>
  <c r="C19" i="2"/>
  <c r="C14" i="2"/>
  <c r="C15" i="2" s="1"/>
  <c r="C18" i="2"/>
  <c r="D26" i="2"/>
  <c r="L26" i="2" s="1"/>
  <c r="I14" i="2"/>
  <c r="J14" i="2"/>
  <c r="L14" i="2" s="1"/>
  <c r="J10" i="2"/>
  <c r="L10" i="2" s="1"/>
  <c r="J13" i="1"/>
  <c r="L13" i="1"/>
  <c r="J9" i="1"/>
  <c r="L9" i="1" s="1"/>
  <c r="J14" i="6" l="1"/>
  <c r="L14" i="6" s="1"/>
  <c r="L27" i="6"/>
  <c r="L31" i="6" s="1"/>
  <c r="F18" i="6"/>
  <c r="E18" i="6"/>
  <c r="J10" i="6"/>
  <c r="L10" i="6" s="1"/>
  <c r="I18" i="6"/>
  <c r="I19" i="6"/>
  <c r="L31" i="5"/>
  <c r="J10" i="5"/>
  <c r="L10" i="5" s="1"/>
  <c r="I19" i="5"/>
  <c r="I18" i="5"/>
  <c r="J14" i="5"/>
  <c r="L14" i="5"/>
  <c r="L31" i="4"/>
  <c r="C15" i="4"/>
  <c r="I14" i="4" s="1"/>
  <c r="J14" i="4" s="1"/>
  <c r="L14" i="4" s="1"/>
  <c r="I19" i="4"/>
  <c r="I18" i="4"/>
  <c r="L18" i="4" s="1"/>
  <c r="J10" i="4"/>
  <c r="L10" i="4" s="1"/>
  <c r="I20" i="3"/>
  <c r="I19" i="3"/>
  <c r="I18" i="2"/>
  <c r="I19" i="2"/>
  <c r="J19" i="6" l="1"/>
  <c r="M19" i="6" s="1"/>
  <c r="M23" i="6" s="1"/>
  <c r="M18" i="6"/>
  <c r="M21" i="6" s="1"/>
  <c r="L18" i="6"/>
  <c r="L21" i="6" s="1"/>
  <c r="J19" i="5"/>
  <c r="K19" i="5" s="1"/>
  <c r="M19" i="5"/>
  <c r="M23" i="5" s="1"/>
  <c r="L19" i="5"/>
  <c r="L23" i="5" s="1"/>
  <c r="M18" i="5"/>
  <c r="M21" i="5" s="1"/>
  <c r="L18" i="5"/>
  <c r="L21" i="5" s="1"/>
  <c r="L21" i="4"/>
  <c r="J19" i="4"/>
  <c r="M19" i="4" s="1"/>
  <c r="M23" i="4" s="1"/>
  <c r="L19" i="4"/>
  <c r="L23" i="4" s="1"/>
  <c r="M18" i="4"/>
  <c r="M19" i="3"/>
  <c r="M22" i="3" s="1"/>
  <c r="L19" i="3"/>
  <c r="J20" i="3"/>
  <c r="M20" i="3" s="1"/>
  <c r="M24" i="3" s="1"/>
  <c r="L18" i="2"/>
  <c r="L21" i="2" s="1"/>
  <c r="M18" i="2"/>
  <c r="J19" i="2"/>
  <c r="K19" i="6" l="1"/>
  <c r="L19" i="6"/>
  <c r="L23" i="6" s="1"/>
  <c r="K19" i="4"/>
  <c r="L20" i="3"/>
  <c r="L24" i="3" s="1"/>
  <c r="M19" i="2"/>
  <c r="L19" i="2"/>
  <c r="L23" i="2" s="1"/>
</calcChain>
</file>

<file path=xl/sharedStrings.xml><?xml version="1.0" encoding="utf-8"?>
<sst xmlns="http://schemas.openxmlformats.org/spreadsheetml/2006/main" count="330" uniqueCount="70">
  <si>
    <t>Sueldo Bruto</t>
  </si>
  <si>
    <t>Fecha de Inicio</t>
  </si>
  <si>
    <t>Último día trabajado</t>
  </si>
  <si>
    <t>Sueldo Proporcional</t>
  </si>
  <si>
    <t>SAC prop</t>
  </si>
  <si>
    <t>VAC prop</t>
  </si>
  <si>
    <t>Cant dia mes</t>
  </si>
  <si>
    <t>Valor diario</t>
  </si>
  <si>
    <t>Prop Bruto</t>
  </si>
  <si>
    <t>Neto Prop a Cobrar</t>
  </si>
  <si>
    <t>Retenciones</t>
  </si>
  <si>
    <t>Sac Prop</t>
  </si>
  <si>
    <t>Dias trabajados</t>
  </si>
  <si>
    <t>Aguinaldo</t>
  </si>
  <si>
    <t>Antiguedad</t>
  </si>
  <si>
    <t>0 a 6 meses</t>
  </si>
  <si>
    <t>1 día cada 20 efectivamente trabajados</t>
  </si>
  <si>
    <t>6 meses a 5 años</t>
  </si>
  <si>
    <t>14 días corridos</t>
  </si>
  <si>
    <t>5 años a 10 años</t>
  </si>
  <si>
    <t>21 días</t>
  </si>
  <si>
    <t>20 años y mas</t>
  </si>
  <si>
    <t>10 años a 20 años</t>
  </si>
  <si>
    <t>28 días</t>
  </si>
  <si>
    <t>35 días</t>
  </si>
  <si>
    <t>Vac no Gozado</t>
  </si>
  <si>
    <t>Días por Ley</t>
  </si>
  <si>
    <t>Valor dia Vac</t>
  </si>
  <si>
    <t>Prop bruto x día</t>
  </si>
  <si>
    <t>Prop Neto a Cobrar</t>
  </si>
  <si>
    <t>XXXXX</t>
  </si>
  <si>
    <t>Renuncia</t>
  </si>
  <si>
    <t>Despido</t>
  </si>
  <si>
    <t>Iindemnización</t>
  </si>
  <si>
    <t>x Antiguedad</t>
  </si>
  <si>
    <t>x Falta Preaviso</t>
  </si>
  <si>
    <t>x Integración mes despido</t>
  </si>
  <si>
    <t>/30 días</t>
  </si>
  <si>
    <t>días</t>
  </si>
  <si>
    <t>Dia de renuncia</t>
  </si>
  <si>
    <t>Total con Vac Gozadas</t>
  </si>
  <si>
    <t>Total sin Vac Gozadas</t>
  </si>
  <si>
    <t>Vac Gozadas</t>
  </si>
  <si>
    <t xml:space="preserve">TODOS LOS MESES </t>
  </si>
  <si>
    <t>30 DIAS</t>
  </si>
  <si>
    <t xml:space="preserve"> Dia Vac / 1er Sem</t>
  </si>
  <si>
    <t xml:space="preserve"> Dia Vac / 2er Sem</t>
  </si>
  <si>
    <t>Prop Neto a Cobrar 1er</t>
  </si>
  <si>
    <t>Prop Neto a Cobrar 2do</t>
  </si>
  <si>
    <t>1er Semestre</t>
  </si>
  <si>
    <t>2do Semestre</t>
  </si>
  <si>
    <t>Mes de Preaviso</t>
  </si>
  <si>
    <t>&lt; 5 años</t>
  </si>
  <si>
    <t>1 mes</t>
  </si>
  <si>
    <t xml:space="preserve">&gt; 5 años </t>
  </si>
  <si>
    <t>2 meses</t>
  </si>
  <si>
    <t>Lo que falta para que termine el mes</t>
  </si>
  <si>
    <t>30 - dia de renunca</t>
  </si>
  <si>
    <t>Total despido</t>
  </si>
  <si>
    <t>Indemnización</t>
  </si>
  <si>
    <t>Sueldo Neto (-17%)</t>
  </si>
  <si>
    <t>Antiguedad años</t>
  </si>
  <si>
    <t xml:space="preserve"> </t>
  </si>
  <si>
    <t>Desde el ultimo aguinaldo cobrado</t>
  </si>
  <si>
    <t>Desde principio de año</t>
  </si>
  <si>
    <t>Desde primer dia del mes</t>
  </si>
  <si>
    <t xml:space="preserve"> Dia Vac / 2do Sem</t>
  </si>
  <si>
    <t>Desde principio de año 1/1</t>
  </si>
  <si>
    <t>30 - dia de despido</t>
  </si>
  <si>
    <t>Vac no gozadas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</si>
</sst>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6" xfId="0" applyBorder="1"/>
    <xf numFmtId="0" fontId="1" fillId="0" borderId="7" xfId="0" applyFont="1" applyBorder="1"/>
    <xf numFmtId="9" fontId="1" fillId="0" borderId="7" xfId="0" applyNumberFormat="1" applyFont="1" applyBorder="1"/>
    <xf numFmtId="0" fontId="1" fillId="0" borderId="2" xfId="0" applyFont="1" applyBorder="1"/>
    <xf numFmtId="1" fontId="0" fillId="0" borderId="0" xfId="0" applyNumberFormat="1"/>
    <xf numFmtId="1" fontId="0" fillId="0" borderId="4" xfId="0" applyNumberFormat="1" applyBorder="1"/>
    <xf numFmtId="0" fontId="1" fillId="0" borderId="3" xfId="0" applyFont="1" applyBorder="1"/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3" borderId="0" xfId="0" applyFont="1" applyFill="1"/>
    <xf numFmtId="0" fontId="0" fillId="4" borderId="1" xfId="0" applyFill="1" applyBorder="1"/>
    <xf numFmtId="0" fontId="0" fillId="4" borderId="3" xfId="0" applyFill="1" applyBorder="1"/>
    <xf numFmtId="0" fontId="0" fillId="4" borderId="5" xfId="0" applyFill="1" applyBorder="1"/>
    <xf numFmtId="0" fontId="1" fillId="4" borderId="7" xfId="0" applyFont="1" applyFill="1" applyBorder="1"/>
    <xf numFmtId="0" fontId="1" fillId="4" borderId="0" xfId="0" applyFont="1" applyFill="1"/>
    <xf numFmtId="0" fontId="1" fillId="4" borderId="8" xfId="0" applyFont="1" applyFill="1" applyBorder="1"/>
    <xf numFmtId="9" fontId="1" fillId="0" borderId="0" xfId="0" applyNumberFormat="1" applyFont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0" xfId="0" applyBorder="1"/>
    <xf numFmtId="1" fontId="0" fillId="5" borderId="11" xfId="0" applyNumberFormat="1" applyFill="1" applyBorder="1"/>
    <xf numFmtId="0" fontId="1" fillId="0" borderId="9" xfId="0" applyFont="1" applyBorder="1"/>
    <xf numFmtId="0" fontId="0" fillId="0" borderId="8" xfId="0" applyBorder="1" applyAlignment="1">
      <alignment horizontal="center"/>
    </xf>
    <xf numFmtId="2" fontId="0" fillId="0" borderId="8" xfId="0" applyNumberFormat="1" applyBorder="1"/>
    <xf numFmtId="0" fontId="1" fillId="0" borderId="5" xfId="0" applyFont="1" applyBorder="1"/>
    <xf numFmtId="0" fontId="0" fillId="5" borderId="0" xfId="0" applyFill="1"/>
    <xf numFmtId="0" fontId="0" fillId="6" borderId="0" xfId="0" applyFill="1"/>
    <xf numFmtId="1" fontId="0" fillId="6" borderId="11" xfId="0" applyNumberFormat="1" applyFill="1" applyBorder="1"/>
    <xf numFmtId="0" fontId="0" fillId="4" borderId="9" xfId="0" applyFill="1" applyBorder="1"/>
    <xf numFmtId="0" fontId="0" fillId="7" borderId="11" xfId="0" applyFill="1" applyBorder="1"/>
    <xf numFmtId="1" fontId="0" fillId="0" borderId="7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3B57-2B7B-3649-9632-023C06755F1A}">
  <dimension ref="B1:Q30"/>
  <sheetViews>
    <sheetView topLeftCell="B1" zoomScale="140" zoomScaleNormal="140" workbookViewId="0">
      <selection activeCell="Q23" sqref="Q23"/>
    </sheetView>
  </sheetViews>
  <sheetFormatPr baseColWidth="10" defaultRowHeight="16" x14ac:dyDescent="0.2"/>
  <cols>
    <col min="2" max="2" width="17.5" customWidth="1"/>
    <col min="3" max="3" width="22.6640625" customWidth="1"/>
    <col min="4" max="4" width="18.33203125" customWidth="1"/>
    <col min="5" max="5" width="15" customWidth="1"/>
    <col min="7" max="7" width="3" customWidth="1"/>
    <col min="9" max="9" width="13.6640625" customWidth="1"/>
    <col min="10" max="10" width="13.83203125" customWidth="1"/>
    <col min="11" max="11" width="3" customWidth="1"/>
    <col min="12" max="12" width="17.83203125" customWidth="1"/>
    <col min="16" max="16" width="17.33203125" customWidth="1"/>
    <col min="17" max="17" width="32.5" customWidth="1"/>
  </cols>
  <sheetData>
    <row r="1" spans="2:17" ht="17" thickBot="1" x14ac:dyDescent="0.25"/>
    <row r="2" spans="2:17" x14ac:dyDescent="0.2">
      <c r="B2" s="1" t="s">
        <v>0</v>
      </c>
      <c r="C2" s="2">
        <v>860000</v>
      </c>
      <c r="D2" t="s">
        <v>3</v>
      </c>
    </row>
    <row r="3" spans="2:17" x14ac:dyDescent="0.2">
      <c r="B3" s="3" t="s">
        <v>1</v>
      </c>
      <c r="C3" s="4">
        <v>44718</v>
      </c>
      <c r="D3" t="s">
        <v>4</v>
      </c>
    </row>
    <row r="4" spans="2:17" ht="17" thickBot="1" x14ac:dyDescent="0.25">
      <c r="B4" s="5" t="s">
        <v>2</v>
      </c>
      <c r="C4" s="6">
        <v>45768</v>
      </c>
      <c r="D4" t="s">
        <v>5</v>
      </c>
    </row>
    <row r="7" spans="2:17" ht="17" thickBot="1" x14ac:dyDescent="0.25">
      <c r="B7" s="21" t="s">
        <v>31</v>
      </c>
      <c r="J7" t="s">
        <v>10</v>
      </c>
      <c r="P7" s="20" t="s">
        <v>14</v>
      </c>
    </row>
    <row r="8" spans="2:17" x14ac:dyDescent="0.2">
      <c r="B8" s="1"/>
      <c r="C8" s="11" t="s">
        <v>0</v>
      </c>
      <c r="D8" s="11" t="s">
        <v>6</v>
      </c>
      <c r="E8" s="11" t="s">
        <v>7</v>
      </c>
      <c r="F8" s="11"/>
      <c r="G8" s="11"/>
      <c r="H8" s="11"/>
      <c r="I8" s="11" t="s">
        <v>8</v>
      </c>
      <c r="J8" s="12">
        <v>0.17</v>
      </c>
      <c r="K8" s="11"/>
      <c r="L8" s="13" t="s">
        <v>9</v>
      </c>
      <c r="P8" s="20" t="s">
        <v>15</v>
      </c>
      <c r="Q8" t="s">
        <v>16</v>
      </c>
    </row>
    <row r="9" spans="2:17" x14ac:dyDescent="0.2">
      <c r="B9" s="16" t="s">
        <v>3</v>
      </c>
      <c r="C9">
        <v>874000</v>
      </c>
      <c r="D9" s="18">
        <v>30</v>
      </c>
      <c r="E9">
        <f>C9/D9</f>
        <v>29133.333333333332</v>
      </c>
      <c r="F9">
        <v>21</v>
      </c>
      <c r="I9">
        <f>E9*F9</f>
        <v>611800</v>
      </c>
      <c r="J9">
        <f>I9*J8</f>
        <v>104006.00000000001</v>
      </c>
      <c r="L9" s="8">
        <f>I9-J9</f>
        <v>507794</v>
      </c>
      <c r="P9" s="20" t="s">
        <v>17</v>
      </c>
      <c r="Q9" t="s">
        <v>18</v>
      </c>
    </row>
    <row r="10" spans="2:17" ht="17" thickBot="1" x14ac:dyDescent="0.25">
      <c r="B10" s="5"/>
      <c r="C10" s="9"/>
      <c r="D10" s="9"/>
      <c r="E10" s="9"/>
      <c r="F10" s="9"/>
      <c r="G10" s="9"/>
      <c r="H10" s="9"/>
      <c r="I10" s="9"/>
      <c r="J10" s="9"/>
      <c r="K10" s="9"/>
      <c r="L10" s="10"/>
      <c r="P10" s="20" t="s">
        <v>19</v>
      </c>
      <c r="Q10" t="s">
        <v>20</v>
      </c>
    </row>
    <row r="11" spans="2:17" ht="17" thickBot="1" x14ac:dyDescent="0.25">
      <c r="P11" s="20" t="s">
        <v>22</v>
      </c>
      <c r="Q11" t="s">
        <v>23</v>
      </c>
    </row>
    <row r="12" spans="2:17" x14ac:dyDescent="0.2">
      <c r="B12" s="1"/>
      <c r="C12" s="11" t="s">
        <v>13</v>
      </c>
      <c r="D12" s="11"/>
      <c r="E12" s="11" t="s">
        <v>12</v>
      </c>
      <c r="F12" s="7"/>
      <c r="G12" s="7"/>
      <c r="H12" s="7"/>
      <c r="I12" s="11" t="s">
        <v>8</v>
      </c>
      <c r="J12" s="12">
        <v>0.17</v>
      </c>
      <c r="K12" s="11"/>
      <c r="L12" s="13" t="s">
        <v>9</v>
      </c>
      <c r="P12" s="20" t="s">
        <v>21</v>
      </c>
      <c r="Q12" t="s">
        <v>24</v>
      </c>
    </row>
    <row r="13" spans="2:17" x14ac:dyDescent="0.2">
      <c r="B13" s="16" t="s">
        <v>11</v>
      </c>
      <c r="C13">
        <f>C9/2</f>
        <v>437000</v>
      </c>
      <c r="E13">
        <v>111</v>
      </c>
      <c r="I13">
        <f>C14</f>
        <v>269483.33333333331</v>
      </c>
      <c r="J13">
        <f>I13*J12</f>
        <v>45812.166666666664</v>
      </c>
      <c r="L13" s="15">
        <f>I13-J13</f>
        <v>223671.16666666666</v>
      </c>
    </row>
    <row r="14" spans="2:17" ht="17" thickBot="1" x14ac:dyDescent="0.25">
      <c r="B14" s="5"/>
      <c r="C14" s="9">
        <f>C13*E13/E14</f>
        <v>269483.33333333331</v>
      </c>
      <c r="D14" s="9"/>
      <c r="E14" s="9">
        <v>180</v>
      </c>
      <c r="F14" s="9"/>
      <c r="G14" s="9"/>
      <c r="H14" s="9"/>
      <c r="I14" s="9"/>
      <c r="J14" s="9"/>
      <c r="K14" s="9"/>
      <c r="L14" s="10"/>
    </row>
    <row r="15" spans="2:17" ht="17" thickBot="1" x14ac:dyDescent="0.25"/>
    <row r="16" spans="2:17" x14ac:dyDescent="0.2">
      <c r="B16" s="1"/>
      <c r="C16" s="11"/>
      <c r="D16" s="11" t="s">
        <v>26</v>
      </c>
      <c r="E16" s="11" t="s">
        <v>27</v>
      </c>
      <c r="F16" s="11"/>
      <c r="G16" s="11"/>
      <c r="H16" s="11"/>
      <c r="I16" s="11" t="s">
        <v>28</v>
      </c>
      <c r="J16" s="12">
        <v>0.17</v>
      </c>
      <c r="K16" s="11"/>
      <c r="L16" s="13" t="s">
        <v>29</v>
      </c>
    </row>
    <row r="17" spans="2:17" x14ac:dyDescent="0.2">
      <c r="B17" s="16" t="s">
        <v>25</v>
      </c>
      <c r="C17">
        <f>C9</f>
        <v>874000</v>
      </c>
      <c r="D17" s="18">
        <v>14</v>
      </c>
      <c r="E17" s="17">
        <f>D17*E13/360</f>
        <v>4.3166666666666664</v>
      </c>
      <c r="I17">
        <f>C17/25</f>
        <v>34960</v>
      </c>
      <c r="J17" s="19" t="s">
        <v>30</v>
      </c>
      <c r="L17" s="8">
        <f>I17*E18</f>
        <v>174800</v>
      </c>
    </row>
    <row r="18" spans="2:17" ht="17" thickBot="1" x14ac:dyDescent="0.25">
      <c r="B18" s="5"/>
      <c r="C18" s="9"/>
      <c r="D18" s="9"/>
      <c r="E18" s="9">
        <v>5</v>
      </c>
      <c r="F18" s="9"/>
      <c r="G18" s="9"/>
      <c r="H18" s="9"/>
      <c r="I18" s="9"/>
      <c r="J18" s="9"/>
      <c r="K18" s="9"/>
      <c r="L18" s="10"/>
    </row>
    <row r="19" spans="2:17" x14ac:dyDescent="0.2">
      <c r="L19" s="14">
        <f>L9+L13+L17</f>
        <v>906265.16666666663</v>
      </c>
    </row>
    <row r="21" spans="2:17" ht="17" thickBot="1" x14ac:dyDescent="0.25">
      <c r="B21" s="21" t="s">
        <v>32</v>
      </c>
      <c r="J21" s="28">
        <v>0.17</v>
      </c>
      <c r="P21" t="s">
        <v>51</v>
      </c>
    </row>
    <row r="22" spans="2:17" x14ac:dyDescent="0.2">
      <c r="B22" s="22" t="s">
        <v>33</v>
      </c>
      <c r="C22" s="25" t="s">
        <v>34</v>
      </c>
      <c r="D22" s="7">
        <f>C9</f>
        <v>874000</v>
      </c>
      <c r="E22" s="7">
        <v>2</v>
      </c>
      <c r="F22" s="7"/>
      <c r="G22" s="7"/>
      <c r="H22" s="7"/>
      <c r="I22" s="7"/>
      <c r="J22" s="29" t="s">
        <v>30</v>
      </c>
      <c r="K22" s="7"/>
      <c r="L22" s="2">
        <f>D22*E22</f>
        <v>1748000</v>
      </c>
      <c r="P22" t="s">
        <v>52</v>
      </c>
      <c r="Q22" t="s">
        <v>53</v>
      </c>
    </row>
    <row r="23" spans="2:17" x14ac:dyDescent="0.2">
      <c r="B23" s="23" t="s">
        <v>33</v>
      </c>
      <c r="C23" s="26" t="s">
        <v>35</v>
      </c>
      <c r="D23">
        <f>C9</f>
        <v>874000</v>
      </c>
      <c r="E23">
        <v>1</v>
      </c>
      <c r="J23" s="19" t="s">
        <v>30</v>
      </c>
      <c r="L23" s="8">
        <f>D23*E23</f>
        <v>874000</v>
      </c>
      <c r="P23" t="s">
        <v>54</v>
      </c>
      <c r="Q23" t="s">
        <v>55</v>
      </c>
    </row>
    <row r="24" spans="2:17" ht="17" thickBot="1" x14ac:dyDescent="0.25">
      <c r="B24" s="24" t="s">
        <v>33</v>
      </c>
      <c r="C24" s="27" t="s">
        <v>36</v>
      </c>
      <c r="D24" s="9">
        <f>C9</f>
        <v>874000</v>
      </c>
      <c r="E24" s="9" t="s">
        <v>37</v>
      </c>
      <c r="F24" s="9">
        <f>D24/30</f>
        <v>29133.333333333332</v>
      </c>
      <c r="G24" s="9"/>
      <c r="H24" s="9">
        <v>9</v>
      </c>
      <c r="I24" s="9" t="s">
        <v>38</v>
      </c>
      <c r="J24" s="30" t="s">
        <v>30</v>
      </c>
      <c r="K24" s="9"/>
      <c r="L24" s="10">
        <f>F24*H24</f>
        <v>262200</v>
      </c>
    </row>
    <row r="25" spans="2:17" x14ac:dyDescent="0.2">
      <c r="H25" t="s">
        <v>56</v>
      </c>
    </row>
    <row r="26" spans="2:17" x14ac:dyDescent="0.2">
      <c r="H26" t="s">
        <v>57</v>
      </c>
    </row>
    <row r="30" spans="2:17" x14ac:dyDescent="0.2">
      <c r="I3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585E-69AC-B84E-A629-FE8113707BBD}">
  <dimension ref="B1:M30"/>
  <sheetViews>
    <sheetView zoomScale="120" zoomScaleNormal="120" workbookViewId="0">
      <selection activeCell="J21" sqref="J21"/>
    </sheetView>
  </sheetViews>
  <sheetFormatPr baseColWidth="10" defaultRowHeight="16" x14ac:dyDescent="0.2"/>
  <cols>
    <col min="2" max="2" width="20" customWidth="1"/>
    <col min="3" max="3" width="23.6640625" customWidth="1"/>
    <col min="4" max="4" width="17.33203125" customWidth="1"/>
    <col min="5" max="6" width="16.1640625" customWidth="1"/>
    <col min="9" max="9" width="15" customWidth="1"/>
    <col min="12" max="12" width="20.33203125" customWidth="1"/>
    <col min="13" max="13" width="20" customWidth="1"/>
  </cols>
  <sheetData>
    <row r="1" spans="2:13" ht="17" thickBot="1" x14ac:dyDescent="0.25"/>
    <row r="2" spans="2:13" ht="17" thickBot="1" x14ac:dyDescent="0.25">
      <c r="B2" s="1" t="s">
        <v>0</v>
      </c>
      <c r="C2" s="2">
        <v>10000</v>
      </c>
      <c r="D2" t="s">
        <v>3</v>
      </c>
      <c r="F2" t="s">
        <v>43</v>
      </c>
      <c r="G2" t="s">
        <v>44</v>
      </c>
      <c r="L2" s="37" t="s">
        <v>49</v>
      </c>
      <c r="M2" s="38" t="s">
        <v>50</v>
      </c>
    </row>
    <row r="3" spans="2:13" x14ac:dyDescent="0.2">
      <c r="B3" s="1" t="s">
        <v>0</v>
      </c>
      <c r="C3" s="2">
        <f>C2/100*83</f>
        <v>8300</v>
      </c>
      <c r="D3" t="s">
        <v>3</v>
      </c>
    </row>
    <row r="4" spans="2:13" x14ac:dyDescent="0.2">
      <c r="B4" s="3" t="s">
        <v>1</v>
      </c>
      <c r="C4" s="4">
        <v>42156</v>
      </c>
      <c r="D4" t="s">
        <v>4</v>
      </c>
    </row>
    <row r="5" spans="2:13" ht="17" thickBot="1" x14ac:dyDescent="0.25">
      <c r="B5" s="5" t="s">
        <v>2</v>
      </c>
      <c r="C5" s="6">
        <v>44504</v>
      </c>
      <c r="D5" t="s">
        <v>5</v>
      </c>
    </row>
    <row r="8" spans="2:13" ht="17" thickBot="1" x14ac:dyDescent="0.25">
      <c r="B8" s="21" t="s">
        <v>31</v>
      </c>
      <c r="J8" t="s">
        <v>10</v>
      </c>
    </row>
    <row r="9" spans="2:13" x14ac:dyDescent="0.2">
      <c r="B9" s="1"/>
      <c r="C9" s="11" t="s">
        <v>0</v>
      </c>
      <c r="D9" s="11" t="s">
        <v>6</v>
      </c>
      <c r="E9" s="11" t="s">
        <v>7</v>
      </c>
      <c r="F9" s="11" t="s">
        <v>39</v>
      </c>
      <c r="G9" s="11"/>
      <c r="H9" s="11"/>
      <c r="I9" s="11" t="s">
        <v>8</v>
      </c>
      <c r="J9" s="12">
        <v>0.17</v>
      </c>
      <c r="K9" s="11"/>
      <c r="L9" s="13" t="s">
        <v>9</v>
      </c>
    </row>
    <row r="10" spans="2:13" x14ac:dyDescent="0.2">
      <c r="B10" s="16" t="s">
        <v>3</v>
      </c>
      <c r="C10">
        <f>C2</f>
        <v>10000</v>
      </c>
      <c r="D10" s="18">
        <v>30</v>
      </c>
      <c r="E10">
        <f>C10/D10</f>
        <v>333.33333333333331</v>
      </c>
      <c r="F10">
        <v>4</v>
      </c>
      <c r="I10">
        <f>E10*F10</f>
        <v>1333.3333333333333</v>
      </c>
      <c r="J10">
        <f>I10*J9</f>
        <v>226.66666666666666</v>
      </c>
      <c r="L10" s="8">
        <f>I10-J10</f>
        <v>1106.6666666666665</v>
      </c>
    </row>
    <row r="11" spans="2:13" ht="17" thickBot="1" x14ac:dyDescent="0.25">
      <c r="B11" s="5"/>
      <c r="C11" s="9"/>
      <c r="D11" s="9"/>
      <c r="E11" s="9"/>
      <c r="F11" s="9"/>
      <c r="G11" s="9"/>
      <c r="H11" s="9"/>
      <c r="I11" s="9"/>
      <c r="J11" s="9"/>
      <c r="K11" s="9"/>
      <c r="L11" s="10"/>
    </row>
    <row r="12" spans="2:13" ht="17" thickBot="1" x14ac:dyDescent="0.25"/>
    <row r="13" spans="2:13" x14ac:dyDescent="0.2">
      <c r="B13" s="1"/>
      <c r="C13" s="11" t="s">
        <v>13</v>
      </c>
      <c r="D13" s="11"/>
      <c r="E13" s="11" t="s">
        <v>12</v>
      </c>
      <c r="F13" s="7"/>
      <c r="G13" s="7"/>
      <c r="H13" s="7"/>
      <c r="I13" s="11" t="s">
        <v>8</v>
      </c>
      <c r="J13" s="12">
        <v>0.17</v>
      </c>
      <c r="K13" s="11"/>
      <c r="L13" s="13" t="s">
        <v>9</v>
      </c>
    </row>
    <row r="14" spans="2:13" x14ac:dyDescent="0.2">
      <c r="B14" s="16" t="s">
        <v>11</v>
      </c>
      <c r="C14">
        <f>C10/2</f>
        <v>5000</v>
      </c>
      <c r="E14">
        <v>124</v>
      </c>
      <c r="I14">
        <f>C15</f>
        <v>3444.4444444444443</v>
      </c>
      <c r="J14">
        <f>I14*J13</f>
        <v>585.55555555555554</v>
      </c>
      <c r="L14" s="15">
        <f>I14-J14</f>
        <v>2858.8888888888887</v>
      </c>
    </row>
    <row r="15" spans="2:13" ht="17" thickBot="1" x14ac:dyDescent="0.25">
      <c r="B15" s="5"/>
      <c r="C15" s="9">
        <f>C14*E14/E15</f>
        <v>3444.4444444444443</v>
      </c>
      <c r="D15" s="9"/>
      <c r="E15" s="9">
        <v>180</v>
      </c>
      <c r="F15" s="9"/>
      <c r="G15" s="9"/>
      <c r="H15" s="9"/>
      <c r="I15" s="9"/>
      <c r="J15" s="9"/>
      <c r="K15" s="9"/>
      <c r="L15" s="10"/>
    </row>
    <row r="16" spans="2:13" ht="17" thickBot="1" x14ac:dyDescent="0.25"/>
    <row r="17" spans="2:13" x14ac:dyDescent="0.2">
      <c r="B17" s="1"/>
      <c r="C17" s="11"/>
      <c r="D17" s="11" t="s">
        <v>26</v>
      </c>
      <c r="E17" s="11" t="s">
        <v>45</v>
      </c>
      <c r="F17" s="11" t="s">
        <v>46</v>
      </c>
      <c r="G17" s="11"/>
      <c r="H17" s="11"/>
      <c r="I17" s="11" t="s">
        <v>28</v>
      </c>
      <c r="J17" s="12">
        <v>0.17</v>
      </c>
      <c r="K17" s="11"/>
      <c r="L17" s="11" t="s">
        <v>47</v>
      </c>
      <c r="M17" s="13" t="s">
        <v>48</v>
      </c>
    </row>
    <row r="18" spans="2:13" x14ac:dyDescent="0.2">
      <c r="B18" s="16" t="s">
        <v>25</v>
      </c>
      <c r="C18">
        <f>C10</f>
        <v>10000</v>
      </c>
      <c r="D18" s="18">
        <v>21</v>
      </c>
      <c r="E18" s="17">
        <f>D18*E14/360</f>
        <v>7.2333333333333334</v>
      </c>
      <c r="F18" s="17">
        <f>D18*(E14+180)/360</f>
        <v>17.733333333333334</v>
      </c>
      <c r="I18">
        <f>C18/25</f>
        <v>400</v>
      </c>
      <c r="J18" s="19" t="s">
        <v>30</v>
      </c>
      <c r="L18">
        <f>I18*E18</f>
        <v>2893.3333333333335</v>
      </c>
      <c r="M18" s="8">
        <f>I18*F18</f>
        <v>7093.3333333333339</v>
      </c>
    </row>
    <row r="19" spans="2:13" ht="17" thickBot="1" x14ac:dyDescent="0.25">
      <c r="B19" s="36" t="s">
        <v>42</v>
      </c>
      <c r="C19" s="9">
        <f>C10</f>
        <v>10000</v>
      </c>
      <c r="D19" s="34">
        <v>21</v>
      </c>
      <c r="E19" s="35">
        <f>D19*E14/360</f>
        <v>7.2333333333333334</v>
      </c>
      <c r="F19" s="35">
        <f>D19*(E14+180)/360</f>
        <v>17.733333333333334</v>
      </c>
      <c r="G19" s="9"/>
      <c r="H19" s="9"/>
      <c r="I19" s="9">
        <f>C18/25</f>
        <v>400</v>
      </c>
      <c r="J19" s="9">
        <f>I19*J17</f>
        <v>68</v>
      </c>
      <c r="K19" s="9"/>
      <c r="L19" s="9">
        <f>I19*E19-J19</f>
        <v>2825.3333333333335</v>
      </c>
      <c r="M19" s="10">
        <f>I19*F19-J19</f>
        <v>7025.3333333333339</v>
      </c>
    </row>
    <row r="20" spans="2:13" ht="17" thickBot="1" x14ac:dyDescent="0.25"/>
    <row r="21" spans="2:13" ht="17" thickBot="1" x14ac:dyDescent="0.25">
      <c r="B21" s="33" t="s">
        <v>41</v>
      </c>
      <c r="C21" s="31"/>
      <c r="D21" s="31"/>
      <c r="E21" s="31"/>
      <c r="F21" s="31"/>
      <c r="G21" s="31"/>
      <c r="H21" s="31"/>
      <c r="I21" s="31"/>
      <c r="J21" s="31"/>
      <c r="K21" s="31"/>
      <c r="L21" s="32">
        <f>L10+L14+L18</f>
        <v>6858.8888888888887</v>
      </c>
      <c r="M21" s="39">
        <f>L10+L14+M18</f>
        <v>11058.888888888889</v>
      </c>
    </row>
    <row r="22" spans="2:13" ht="17" thickBot="1" x14ac:dyDescent="0.25">
      <c r="B22" s="20"/>
      <c r="L22" s="14"/>
    </row>
    <row r="23" spans="2:13" ht="17" thickBot="1" x14ac:dyDescent="0.25">
      <c r="B23" s="33" t="s">
        <v>40</v>
      </c>
      <c r="C23" s="31"/>
      <c r="D23" s="31"/>
      <c r="E23" s="31"/>
      <c r="F23" s="31"/>
      <c r="G23" s="31"/>
      <c r="H23" s="31"/>
      <c r="I23" s="31"/>
      <c r="J23" s="31"/>
      <c r="K23" s="31"/>
      <c r="L23" s="32">
        <f>L10+L14+L19</f>
        <v>6790.8888888888887</v>
      </c>
      <c r="M23" s="39">
        <f>L10+L14+M19</f>
        <v>10990.888888888889</v>
      </c>
    </row>
    <row r="25" spans="2:13" ht="17" thickBot="1" x14ac:dyDescent="0.25">
      <c r="B25" s="21" t="s">
        <v>32</v>
      </c>
      <c r="J25" s="28">
        <v>0.17</v>
      </c>
    </row>
    <row r="26" spans="2:13" x14ac:dyDescent="0.2">
      <c r="B26" s="22" t="s">
        <v>33</v>
      </c>
      <c r="C26" s="25" t="s">
        <v>34</v>
      </c>
      <c r="D26" s="7">
        <f>C10</f>
        <v>10000</v>
      </c>
      <c r="E26" s="7">
        <v>7</v>
      </c>
      <c r="F26" s="7"/>
      <c r="G26" s="7"/>
      <c r="H26" s="7"/>
      <c r="I26" s="7"/>
      <c r="J26" s="29" t="s">
        <v>30</v>
      </c>
      <c r="K26" s="7"/>
      <c r="L26" s="2">
        <f>D26*E26</f>
        <v>70000</v>
      </c>
    </row>
    <row r="27" spans="2:13" x14ac:dyDescent="0.2">
      <c r="B27" s="23" t="s">
        <v>33</v>
      </c>
      <c r="C27" s="26" t="s">
        <v>35</v>
      </c>
      <c r="D27">
        <f>C10</f>
        <v>10000</v>
      </c>
      <c r="E27">
        <v>2</v>
      </c>
      <c r="J27" s="19" t="s">
        <v>30</v>
      </c>
      <c r="L27" s="8">
        <f>D27*E27</f>
        <v>20000</v>
      </c>
    </row>
    <row r="28" spans="2:13" ht="17" thickBot="1" x14ac:dyDescent="0.25">
      <c r="B28" s="24" t="s">
        <v>33</v>
      </c>
      <c r="C28" s="27" t="s">
        <v>36</v>
      </c>
      <c r="D28" s="9">
        <f>C10</f>
        <v>10000</v>
      </c>
      <c r="E28" s="9" t="s">
        <v>37</v>
      </c>
      <c r="F28" s="9">
        <f>D28/30</f>
        <v>333.33333333333331</v>
      </c>
      <c r="G28" s="9"/>
      <c r="H28" s="9">
        <v>26</v>
      </c>
      <c r="I28" s="9" t="s">
        <v>38</v>
      </c>
      <c r="J28" s="30" t="s">
        <v>30</v>
      </c>
      <c r="K28" s="9"/>
      <c r="L28" s="10">
        <f>F28*H28</f>
        <v>8666.6666666666661</v>
      </c>
    </row>
    <row r="29" spans="2:13" x14ac:dyDescent="0.2">
      <c r="H29" t="s">
        <v>56</v>
      </c>
    </row>
    <row r="30" spans="2:13" x14ac:dyDescent="0.2">
      <c r="H3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F9C9-02A2-804E-A230-5F7B74D5D7A1}">
  <dimension ref="B2:M32"/>
  <sheetViews>
    <sheetView zoomScale="120" zoomScaleNormal="120" workbookViewId="0">
      <selection activeCell="B3" sqref="B3:M32"/>
    </sheetView>
  </sheetViews>
  <sheetFormatPr baseColWidth="10" defaultRowHeight="16" x14ac:dyDescent="0.2"/>
  <cols>
    <col min="2" max="2" width="19.1640625" customWidth="1"/>
    <col min="3" max="3" width="21.33203125" customWidth="1"/>
    <col min="4" max="4" width="18" customWidth="1"/>
    <col min="5" max="5" width="17" customWidth="1"/>
    <col min="6" max="6" width="17.33203125" customWidth="1"/>
    <col min="9" max="9" width="14.6640625" customWidth="1"/>
    <col min="12" max="12" width="19.5" customWidth="1"/>
    <col min="13" max="13" width="20" customWidth="1"/>
  </cols>
  <sheetData>
    <row r="2" spans="2:13" ht="17" thickBot="1" x14ac:dyDescent="0.25"/>
    <row r="3" spans="2:13" ht="17" thickBot="1" x14ac:dyDescent="0.25">
      <c r="B3" s="1" t="s">
        <v>0</v>
      </c>
      <c r="C3" s="2">
        <v>40000</v>
      </c>
      <c r="D3" t="s">
        <v>3</v>
      </c>
      <c r="F3" t="s">
        <v>43</v>
      </c>
      <c r="G3" t="s">
        <v>44</v>
      </c>
      <c r="L3" s="37" t="s">
        <v>49</v>
      </c>
      <c r="M3" s="38" t="s">
        <v>50</v>
      </c>
    </row>
    <row r="4" spans="2:13" x14ac:dyDescent="0.2">
      <c r="B4" s="1" t="s">
        <v>0</v>
      </c>
      <c r="C4" s="2">
        <f>C3/100*83</f>
        <v>33200</v>
      </c>
      <c r="D4" t="s">
        <v>3</v>
      </c>
    </row>
    <row r="5" spans="2:13" x14ac:dyDescent="0.2">
      <c r="B5" s="3" t="s">
        <v>1</v>
      </c>
      <c r="C5" s="4">
        <v>42767</v>
      </c>
      <c r="D5" t="s">
        <v>4</v>
      </c>
    </row>
    <row r="6" spans="2:13" ht="17" thickBot="1" x14ac:dyDescent="0.25">
      <c r="B6" s="5" t="s">
        <v>2</v>
      </c>
      <c r="C6" s="6">
        <v>45777</v>
      </c>
      <c r="D6" t="s">
        <v>5</v>
      </c>
    </row>
    <row r="9" spans="2:13" ht="17" thickBot="1" x14ac:dyDescent="0.25">
      <c r="B9" s="21" t="s">
        <v>31</v>
      </c>
      <c r="J9" t="s">
        <v>10</v>
      </c>
    </row>
    <row r="10" spans="2:13" x14ac:dyDescent="0.2">
      <c r="B10" s="1"/>
      <c r="C10" s="11" t="s">
        <v>0</v>
      </c>
      <c r="D10" s="11" t="s">
        <v>6</v>
      </c>
      <c r="E10" s="11" t="s">
        <v>7</v>
      </c>
      <c r="F10" s="11" t="s">
        <v>39</v>
      </c>
      <c r="G10" s="11"/>
      <c r="H10" s="11"/>
      <c r="I10" s="11" t="s">
        <v>8</v>
      </c>
      <c r="J10" s="12">
        <v>0.17</v>
      </c>
      <c r="K10" s="11"/>
      <c r="L10" s="13" t="s">
        <v>9</v>
      </c>
    </row>
    <row r="11" spans="2:13" x14ac:dyDescent="0.2">
      <c r="B11" s="16" t="s">
        <v>3</v>
      </c>
      <c r="C11">
        <f>C3</f>
        <v>40000</v>
      </c>
      <c r="D11" s="18">
        <v>30</v>
      </c>
      <c r="E11">
        <f>C11/D11</f>
        <v>1333.3333333333333</v>
      </c>
      <c r="F11">
        <v>30</v>
      </c>
      <c r="I11">
        <f>E11*F11</f>
        <v>40000</v>
      </c>
      <c r="J11">
        <f>I11*J10</f>
        <v>6800.0000000000009</v>
      </c>
      <c r="L11" s="8">
        <f>I11-J11</f>
        <v>33200</v>
      </c>
    </row>
    <row r="12" spans="2:13" ht="17" thickBot="1" x14ac:dyDescent="0.25">
      <c r="B12" s="5"/>
      <c r="C12" s="9"/>
      <c r="D12" s="9"/>
      <c r="E12" s="9"/>
      <c r="F12" s="9"/>
      <c r="G12" s="9"/>
      <c r="H12" s="9"/>
      <c r="I12" s="9"/>
      <c r="J12" s="9"/>
      <c r="K12" s="9"/>
      <c r="L12" s="10"/>
    </row>
    <row r="13" spans="2:13" ht="17" thickBot="1" x14ac:dyDescent="0.25"/>
    <row r="14" spans="2:13" x14ac:dyDescent="0.2">
      <c r="B14" s="1"/>
      <c r="C14" s="11" t="s">
        <v>13</v>
      </c>
      <c r="D14" s="11"/>
      <c r="E14" s="11" t="s">
        <v>12</v>
      </c>
      <c r="F14" s="7"/>
      <c r="G14" s="7"/>
      <c r="H14" s="7"/>
      <c r="I14" s="11" t="s">
        <v>8</v>
      </c>
      <c r="J14" s="12">
        <v>0.17</v>
      </c>
      <c r="K14" s="11"/>
      <c r="L14" s="13" t="s">
        <v>9</v>
      </c>
    </row>
    <row r="15" spans="2:13" x14ac:dyDescent="0.2">
      <c r="B15" s="16" t="s">
        <v>11</v>
      </c>
      <c r="C15">
        <f>C11/2</f>
        <v>20000</v>
      </c>
      <c r="E15">
        <v>120</v>
      </c>
      <c r="I15">
        <f>C16</f>
        <v>13333.333333333334</v>
      </c>
      <c r="J15">
        <f>I15*J14</f>
        <v>2266.666666666667</v>
      </c>
      <c r="L15" s="15">
        <f>I15-J15</f>
        <v>11066.666666666668</v>
      </c>
    </row>
    <row r="16" spans="2:13" ht="17" thickBot="1" x14ac:dyDescent="0.25">
      <c r="B16" s="5"/>
      <c r="C16" s="9">
        <f>C15*E15/E16</f>
        <v>13333.333333333334</v>
      </c>
      <c r="D16" s="9"/>
      <c r="E16" s="9">
        <v>180</v>
      </c>
      <c r="F16" s="9"/>
      <c r="G16" s="9"/>
      <c r="H16" s="9"/>
      <c r="I16" s="9"/>
      <c r="J16" s="9"/>
      <c r="K16" s="9"/>
      <c r="L16" s="10"/>
    </row>
    <row r="17" spans="2:13" ht="17" thickBot="1" x14ac:dyDescent="0.25"/>
    <row r="18" spans="2:13" x14ac:dyDescent="0.2">
      <c r="B18" s="1"/>
      <c r="C18" s="11"/>
      <c r="D18" s="11" t="s">
        <v>26</v>
      </c>
      <c r="E18" s="11" t="s">
        <v>45</v>
      </c>
      <c r="F18" s="11" t="s">
        <v>46</v>
      </c>
      <c r="G18" s="11"/>
      <c r="H18" s="11"/>
      <c r="I18" s="11" t="s">
        <v>28</v>
      </c>
      <c r="J18" s="12">
        <v>0.17</v>
      </c>
      <c r="K18" s="11"/>
      <c r="L18" s="11" t="s">
        <v>47</v>
      </c>
      <c r="M18" s="13" t="s">
        <v>48</v>
      </c>
    </row>
    <row r="19" spans="2:13" x14ac:dyDescent="0.2">
      <c r="B19" s="16" t="s">
        <v>25</v>
      </c>
      <c r="C19">
        <f>C11</f>
        <v>40000</v>
      </c>
      <c r="D19" s="18">
        <v>21</v>
      </c>
      <c r="E19" s="17">
        <f>D19*E15/360</f>
        <v>7</v>
      </c>
      <c r="F19" s="17">
        <f>D19*(E15+180)/360</f>
        <v>17.5</v>
      </c>
      <c r="I19">
        <f>C19/25</f>
        <v>1600</v>
      </c>
      <c r="J19" s="19" t="s">
        <v>30</v>
      </c>
      <c r="L19">
        <f>I19*E19</f>
        <v>11200</v>
      </c>
      <c r="M19" s="8">
        <f>I19*F19</f>
        <v>28000</v>
      </c>
    </row>
    <row r="20" spans="2:13" ht="17" thickBot="1" x14ac:dyDescent="0.25">
      <c r="B20" s="36" t="s">
        <v>42</v>
      </c>
      <c r="C20" s="9">
        <f>C11</f>
        <v>40000</v>
      </c>
      <c r="D20" s="34">
        <v>21</v>
      </c>
      <c r="E20" s="35">
        <f>D20*E15/360</f>
        <v>7</v>
      </c>
      <c r="F20" s="35">
        <f>D20*(E15+180)/360</f>
        <v>17.5</v>
      </c>
      <c r="G20" s="9"/>
      <c r="H20" s="9"/>
      <c r="I20" s="9">
        <f>C19/25</f>
        <v>1600</v>
      </c>
      <c r="J20" s="9">
        <f>I20*J18</f>
        <v>272</v>
      </c>
      <c r="K20" s="9"/>
      <c r="L20" s="9">
        <f>I20*E20-J20</f>
        <v>10928</v>
      </c>
      <c r="M20" s="10">
        <f>I20*F20-J20</f>
        <v>27728</v>
      </c>
    </row>
    <row r="21" spans="2:13" ht="17" thickBot="1" x14ac:dyDescent="0.25"/>
    <row r="22" spans="2:13" ht="17" thickBot="1" x14ac:dyDescent="0.25">
      <c r="B22" s="33" t="s">
        <v>41</v>
      </c>
      <c r="C22" s="31"/>
      <c r="D22" s="31"/>
      <c r="E22" s="31"/>
      <c r="F22" s="31"/>
      <c r="G22" s="31"/>
      <c r="H22" s="31"/>
      <c r="I22" s="31"/>
      <c r="J22" s="31"/>
      <c r="K22" s="31"/>
      <c r="L22" s="32">
        <f>L11+L15+L19</f>
        <v>55466.666666666672</v>
      </c>
      <c r="M22" s="39">
        <f>L11+L15+M19</f>
        <v>72266.666666666672</v>
      </c>
    </row>
    <row r="23" spans="2:13" ht="17" thickBot="1" x14ac:dyDescent="0.25">
      <c r="B23" s="20"/>
      <c r="L23" s="14"/>
    </row>
    <row r="24" spans="2:13" ht="17" thickBot="1" x14ac:dyDescent="0.25">
      <c r="B24" s="33" t="s">
        <v>40</v>
      </c>
      <c r="C24" s="31"/>
      <c r="D24" s="31"/>
      <c r="E24" s="31"/>
      <c r="F24" s="31"/>
      <c r="G24" s="31"/>
      <c r="H24" s="31"/>
      <c r="I24" s="31"/>
      <c r="J24" s="31"/>
      <c r="K24" s="31"/>
      <c r="L24" s="32">
        <f>L11+L15+L20</f>
        <v>55194.666666666672</v>
      </c>
      <c r="M24" s="39">
        <f>L11+L15+M20</f>
        <v>71994.666666666672</v>
      </c>
    </row>
    <row r="26" spans="2:13" ht="17" thickBot="1" x14ac:dyDescent="0.25">
      <c r="B26" s="21" t="s">
        <v>32</v>
      </c>
      <c r="J26" s="28">
        <v>0.17</v>
      </c>
    </row>
    <row r="27" spans="2:13" x14ac:dyDescent="0.2">
      <c r="B27" s="22" t="s">
        <v>59</v>
      </c>
      <c r="C27" s="25" t="s">
        <v>34</v>
      </c>
      <c r="D27" s="7">
        <f>C11</f>
        <v>40000</v>
      </c>
      <c r="E27" s="7">
        <v>8</v>
      </c>
      <c r="F27" s="7"/>
      <c r="G27" s="7"/>
      <c r="H27" s="7"/>
      <c r="I27" s="7"/>
      <c r="J27" s="29" t="s">
        <v>30</v>
      </c>
      <c r="K27" s="7"/>
      <c r="L27" s="2">
        <f>D27*E27</f>
        <v>320000</v>
      </c>
    </row>
    <row r="28" spans="2:13" x14ac:dyDescent="0.2">
      <c r="B28" s="23" t="s">
        <v>59</v>
      </c>
      <c r="C28" s="26" t="s">
        <v>35</v>
      </c>
      <c r="D28">
        <f>C11</f>
        <v>40000</v>
      </c>
      <c r="E28">
        <v>2</v>
      </c>
      <c r="J28" s="19" t="s">
        <v>30</v>
      </c>
      <c r="L28" s="8">
        <f>D28*E28</f>
        <v>80000</v>
      </c>
    </row>
    <row r="29" spans="2:13" ht="17" thickBot="1" x14ac:dyDescent="0.25">
      <c r="B29" s="24" t="s">
        <v>59</v>
      </c>
      <c r="C29" s="27" t="s">
        <v>36</v>
      </c>
      <c r="D29" s="9">
        <f>C11</f>
        <v>40000</v>
      </c>
      <c r="E29" s="9" t="s">
        <v>37</v>
      </c>
      <c r="F29" s="9">
        <f>D29/30</f>
        <v>1333.3333333333333</v>
      </c>
      <c r="G29" s="9"/>
      <c r="H29" s="9">
        <v>0</v>
      </c>
      <c r="I29" s="9" t="s">
        <v>38</v>
      </c>
      <c r="J29" s="30" t="s">
        <v>30</v>
      </c>
      <c r="K29" s="9"/>
      <c r="L29" s="10">
        <f>F29*H29</f>
        <v>0</v>
      </c>
    </row>
    <row r="30" spans="2:13" x14ac:dyDescent="0.2">
      <c r="H30" t="s">
        <v>56</v>
      </c>
    </row>
    <row r="31" spans="2:13" ht="17" thickBot="1" x14ac:dyDescent="0.25">
      <c r="H31" t="s">
        <v>57</v>
      </c>
    </row>
    <row r="32" spans="2:13" ht="17" thickBot="1" x14ac:dyDescent="0.25">
      <c r="B32" s="40" t="s">
        <v>58</v>
      </c>
      <c r="C32" s="31"/>
      <c r="D32" s="31"/>
      <c r="E32" s="31"/>
      <c r="F32" s="31"/>
      <c r="G32" s="31"/>
      <c r="H32" s="31"/>
      <c r="I32" s="31"/>
      <c r="J32" s="31"/>
      <c r="K32" s="31"/>
      <c r="L32" s="41">
        <f>L27+L28</f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3002-A0AD-F944-A95A-BB17D05FA8F2}">
  <dimension ref="B1:M31"/>
  <sheetViews>
    <sheetView zoomScale="130" zoomScaleNormal="130" workbookViewId="0">
      <selection activeCell="M31" sqref="A1:M31"/>
    </sheetView>
  </sheetViews>
  <sheetFormatPr baseColWidth="10" defaultRowHeight="16" x14ac:dyDescent="0.2"/>
  <cols>
    <col min="2" max="2" width="29.6640625" customWidth="1"/>
    <col min="3" max="3" width="24.5" customWidth="1"/>
    <col min="4" max="4" width="18.83203125" customWidth="1"/>
    <col min="5" max="5" width="16.83203125" customWidth="1"/>
    <col min="6" max="6" width="19.33203125" customWidth="1"/>
    <col min="7" max="7" width="17.33203125" customWidth="1"/>
    <col min="9" max="9" width="14.6640625" customWidth="1"/>
    <col min="12" max="12" width="21.83203125" customWidth="1"/>
    <col min="13" max="13" width="20.1640625" customWidth="1"/>
  </cols>
  <sheetData>
    <row r="1" spans="2:13" ht="17" thickBot="1" x14ac:dyDescent="0.25"/>
    <row r="2" spans="2:13" ht="17" thickBot="1" x14ac:dyDescent="0.25">
      <c r="B2" s="1" t="s">
        <v>0</v>
      </c>
      <c r="C2" s="2">
        <v>500000</v>
      </c>
      <c r="E2" t="s">
        <v>3</v>
      </c>
      <c r="G2" t="s">
        <v>43</v>
      </c>
      <c r="H2" t="s">
        <v>44</v>
      </c>
      <c r="L2" s="37" t="s">
        <v>49</v>
      </c>
      <c r="M2" s="38" t="s">
        <v>50</v>
      </c>
    </row>
    <row r="3" spans="2:13" x14ac:dyDescent="0.2">
      <c r="B3" s="1" t="s">
        <v>60</v>
      </c>
      <c r="C3" s="2">
        <f>C2/100*83</f>
        <v>415000</v>
      </c>
      <c r="E3" t="s">
        <v>3</v>
      </c>
    </row>
    <row r="4" spans="2:13" x14ac:dyDescent="0.2">
      <c r="B4" s="3" t="s">
        <v>1</v>
      </c>
      <c r="C4" s="4">
        <v>43562</v>
      </c>
      <c r="E4" t="s">
        <v>4</v>
      </c>
      <c r="G4" t="s">
        <v>61</v>
      </c>
      <c r="H4">
        <v>5</v>
      </c>
    </row>
    <row r="5" spans="2:13" ht="17" thickBot="1" x14ac:dyDescent="0.25">
      <c r="B5" s="5" t="s">
        <v>2</v>
      </c>
      <c r="C5" s="6">
        <v>45184</v>
      </c>
      <c r="E5" t="s">
        <v>5</v>
      </c>
      <c r="F5" t="s">
        <v>62</v>
      </c>
    </row>
    <row r="8" spans="2:13" ht="17" thickBot="1" x14ac:dyDescent="0.25">
      <c r="B8" s="21" t="s">
        <v>31</v>
      </c>
      <c r="J8" t="s">
        <v>10</v>
      </c>
    </row>
    <row r="9" spans="2:13" x14ac:dyDescent="0.2">
      <c r="B9" s="1" t="s">
        <v>65</v>
      </c>
      <c r="C9" s="11" t="s">
        <v>0</v>
      </c>
      <c r="D9" s="11" t="s">
        <v>6</v>
      </c>
      <c r="E9" s="11" t="s">
        <v>7</v>
      </c>
      <c r="F9" s="11" t="s">
        <v>39</v>
      </c>
      <c r="G9" s="11"/>
      <c r="H9" s="11"/>
      <c r="I9" s="11" t="s">
        <v>8</v>
      </c>
      <c r="J9" s="12">
        <v>0.17</v>
      </c>
      <c r="K9" s="11"/>
      <c r="L9" s="13" t="s">
        <v>9</v>
      </c>
    </row>
    <row r="10" spans="2:13" x14ac:dyDescent="0.2">
      <c r="B10" s="16" t="s">
        <v>3</v>
      </c>
      <c r="C10">
        <f>C2</f>
        <v>500000</v>
      </c>
      <c r="D10" s="18">
        <v>30</v>
      </c>
      <c r="E10">
        <f>C10/D10</f>
        <v>16666.666666666668</v>
      </c>
      <c r="F10">
        <v>15</v>
      </c>
      <c r="I10">
        <f>E10*F10</f>
        <v>250000.00000000003</v>
      </c>
      <c r="J10">
        <f>I10*J9</f>
        <v>42500.000000000007</v>
      </c>
      <c r="L10" s="8">
        <f>I10-J10</f>
        <v>207500.00000000003</v>
      </c>
    </row>
    <row r="11" spans="2:13" ht="17" thickBot="1" x14ac:dyDescent="0.25">
      <c r="B11" s="5"/>
      <c r="C11" s="9"/>
      <c r="D11" s="9"/>
      <c r="E11" s="9"/>
      <c r="F11" s="9"/>
      <c r="G11" s="9"/>
      <c r="H11" s="9"/>
      <c r="I11" s="9"/>
      <c r="J11" s="9"/>
      <c r="K11" s="9"/>
      <c r="L11" s="10"/>
    </row>
    <row r="12" spans="2:13" ht="17" thickBot="1" x14ac:dyDescent="0.25"/>
    <row r="13" spans="2:13" x14ac:dyDescent="0.2">
      <c r="B13" s="1" t="s">
        <v>63</v>
      </c>
      <c r="C13" s="11" t="s">
        <v>13</v>
      </c>
      <c r="D13" s="11"/>
      <c r="E13" s="11" t="s">
        <v>12</v>
      </c>
      <c r="F13" s="7"/>
      <c r="G13" s="7"/>
      <c r="H13" s="7"/>
      <c r="I13" s="11" t="s">
        <v>8</v>
      </c>
      <c r="J13" s="12">
        <v>0.17</v>
      </c>
      <c r="K13" s="11"/>
      <c r="L13" s="13" t="s">
        <v>9</v>
      </c>
    </row>
    <row r="14" spans="2:13" x14ac:dyDescent="0.2">
      <c r="B14" s="16" t="s">
        <v>11</v>
      </c>
      <c r="C14">
        <f>C10/2</f>
        <v>250000</v>
      </c>
      <c r="E14">
        <v>75</v>
      </c>
      <c r="I14">
        <f>C15</f>
        <v>104166.66666666667</v>
      </c>
      <c r="J14">
        <f>I14*J13</f>
        <v>17708.333333333336</v>
      </c>
      <c r="L14" s="15">
        <f>I14-J14</f>
        <v>86458.333333333343</v>
      </c>
    </row>
    <row r="15" spans="2:13" ht="17" thickBot="1" x14ac:dyDescent="0.25">
      <c r="B15" s="5"/>
      <c r="C15" s="9">
        <f>C14*E14/E15</f>
        <v>104166.66666666667</v>
      </c>
      <c r="D15" s="9"/>
      <c r="E15" s="9">
        <v>180</v>
      </c>
      <c r="F15" s="9"/>
      <c r="G15" s="9"/>
      <c r="H15" s="9"/>
      <c r="I15" s="9"/>
      <c r="J15" s="9"/>
      <c r="K15" s="9"/>
      <c r="L15" s="10"/>
    </row>
    <row r="16" spans="2:13" ht="17" thickBot="1" x14ac:dyDescent="0.25"/>
    <row r="17" spans="2:13" x14ac:dyDescent="0.2">
      <c r="B17" s="1" t="s">
        <v>64</v>
      </c>
      <c r="C17" s="11"/>
      <c r="D17" s="11" t="s">
        <v>26</v>
      </c>
      <c r="E17" s="11" t="s">
        <v>45</v>
      </c>
      <c r="F17" s="11" t="s">
        <v>66</v>
      </c>
      <c r="G17" s="11"/>
      <c r="H17" s="11"/>
      <c r="I17" s="11" t="s">
        <v>28</v>
      </c>
      <c r="J17" s="12">
        <v>0.17</v>
      </c>
      <c r="K17" s="11"/>
      <c r="L17" s="11" t="s">
        <v>47</v>
      </c>
      <c r="M17" s="13" t="s">
        <v>48</v>
      </c>
    </row>
    <row r="18" spans="2:13" x14ac:dyDescent="0.2">
      <c r="B18" s="16" t="s">
        <v>25</v>
      </c>
      <c r="C18">
        <f>C10</f>
        <v>500000</v>
      </c>
      <c r="D18" s="18">
        <v>21</v>
      </c>
      <c r="E18" s="17">
        <f>D18*E14/360</f>
        <v>4.375</v>
      </c>
      <c r="F18" s="17">
        <f>D18*(E14+180)/360</f>
        <v>14.875</v>
      </c>
      <c r="I18">
        <f>C18/25</f>
        <v>20000</v>
      </c>
      <c r="J18" s="19" t="s">
        <v>30</v>
      </c>
      <c r="L18">
        <f>I18*E18</f>
        <v>87500</v>
      </c>
      <c r="M18" s="8">
        <f>I18*F18</f>
        <v>297500</v>
      </c>
    </row>
    <row r="19" spans="2:13" ht="17" thickBot="1" x14ac:dyDescent="0.25">
      <c r="B19" s="36" t="s">
        <v>42</v>
      </c>
      <c r="C19" s="9">
        <f>C10</f>
        <v>500000</v>
      </c>
      <c r="D19" s="34">
        <v>21</v>
      </c>
      <c r="E19" s="35">
        <f>D19*E14/360</f>
        <v>4.375</v>
      </c>
      <c r="F19" s="35">
        <f>D19*(E14+180)/360</f>
        <v>14.875</v>
      </c>
      <c r="G19" s="9"/>
      <c r="H19" s="9"/>
      <c r="I19" s="9">
        <f>C18/25</f>
        <v>20000</v>
      </c>
      <c r="J19" s="9">
        <f>I19*J17</f>
        <v>3400.0000000000005</v>
      </c>
      <c r="K19" s="9">
        <f>I19-J19</f>
        <v>16600</v>
      </c>
      <c r="L19" s="9">
        <f>I19*E19-(J19*E19)</f>
        <v>72625</v>
      </c>
      <c r="M19" s="10">
        <f>I19*F19-(J19*F19)</f>
        <v>246925</v>
      </c>
    </row>
    <row r="20" spans="2:13" ht="17" thickBot="1" x14ac:dyDescent="0.25"/>
    <row r="21" spans="2:13" ht="17" thickBot="1" x14ac:dyDescent="0.25">
      <c r="B21" s="33" t="s">
        <v>41</v>
      </c>
      <c r="C21" s="31"/>
      <c r="D21" s="31"/>
      <c r="E21" s="31"/>
      <c r="F21" s="31"/>
      <c r="G21" s="31"/>
      <c r="H21" s="31"/>
      <c r="I21" s="31"/>
      <c r="J21" s="31"/>
      <c r="K21" s="31"/>
      <c r="L21" s="32">
        <f>L10+L14+L18</f>
        <v>381458.33333333337</v>
      </c>
      <c r="M21" s="39">
        <f>L10+L14+M18</f>
        <v>591458.33333333337</v>
      </c>
    </row>
    <row r="22" spans="2:13" ht="17" thickBot="1" x14ac:dyDescent="0.25">
      <c r="B22" s="20"/>
      <c r="L22" s="14"/>
    </row>
    <row r="23" spans="2:13" ht="17" thickBot="1" x14ac:dyDescent="0.25">
      <c r="B23" s="33" t="s">
        <v>40</v>
      </c>
      <c r="C23" s="31"/>
      <c r="D23" s="31"/>
      <c r="E23" s="31"/>
      <c r="F23" s="31"/>
      <c r="G23" s="31"/>
      <c r="H23" s="31"/>
      <c r="I23" s="31"/>
      <c r="J23" s="31"/>
      <c r="K23" s="31"/>
      <c r="L23" s="32">
        <f>L10+L14+L19</f>
        <v>366583.33333333337</v>
      </c>
      <c r="M23" s="39">
        <f>L10+L14+M19</f>
        <v>540883.33333333337</v>
      </c>
    </row>
    <row r="25" spans="2:13" ht="17" thickBot="1" x14ac:dyDescent="0.25">
      <c r="B25" s="21" t="s">
        <v>32</v>
      </c>
      <c r="J25" s="28">
        <v>0.17</v>
      </c>
    </row>
    <row r="26" spans="2:13" x14ac:dyDescent="0.2">
      <c r="B26" s="22" t="s">
        <v>59</v>
      </c>
      <c r="C26" s="25" t="s">
        <v>34</v>
      </c>
      <c r="D26" s="7">
        <f>C10</f>
        <v>500000</v>
      </c>
      <c r="E26" s="7">
        <v>5</v>
      </c>
      <c r="F26" s="7"/>
      <c r="G26" s="7"/>
      <c r="H26" s="7"/>
      <c r="I26" s="7"/>
      <c r="J26" s="29" t="s">
        <v>30</v>
      </c>
      <c r="K26" s="7"/>
      <c r="L26" s="2">
        <f>D26*E26</f>
        <v>2500000</v>
      </c>
    </row>
    <row r="27" spans="2:13" x14ac:dyDescent="0.2">
      <c r="B27" s="23" t="s">
        <v>59</v>
      </c>
      <c r="C27" s="26" t="s">
        <v>35</v>
      </c>
      <c r="D27">
        <f>C10</f>
        <v>500000</v>
      </c>
      <c r="E27">
        <v>2</v>
      </c>
      <c r="J27" s="19" t="s">
        <v>30</v>
      </c>
      <c r="L27" s="8">
        <f>D27*E27</f>
        <v>1000000</v>
      </c>
    </row>
    <row r="28" spans="2:13" ht="17" thickBot="1" x14ac:dyDescent="0.25">
      <c r="B28" s="24" t="s">
        <v>59</v>
      </c>
      <c r="C28" s="27" t="s">
        <v>36</v>
      </c>
      <c r="D28" s="9">
        <f>C10</f>
        <v>500000</v>
      </c>
      <c r="E28" s="9" t="s">
        <v>37</v>
      </c>
      <c r="F28" s="9">
        <f>D28/30</f>
        <v>16666.666666666668</v>
      </c>
      <c r="G28" s="9"/>
      <c r="H28" s="9">
        <v>15</v>
      </c>
      <c r="I28" s="9" t="s">
        <v>38</v>
      </c>
      <c r="J28" s="30" t="s">
        <v>30</v>
      </c>
      <c r="K28" s="9"/>
      <c r="L28" s="10">
        <f>F28*H28</f>
        <v>250000.00000000003</v>
      </c>
    </row>
    <row r="29" spans="2:13" x14ac:dyDescent="0.2">
      <c r="H29" t="s">
        <v>56</v>
      </c>
    </row>
    <row r="30" spans="2:13" ht="17" thickBot="1" x14ac:dyDescent="0.25">
      <c r="H30" t="s">
        <v>57</v>
      </c>
    </row>
    <row r="31" spans="2:13" ht="17" thickBot="1" x14ac:dyDescent="0.25">
      <c r="B31" s="40" t="s">
        <v>58</v>
      </c>
      <c r="C31" s="31"/>
      <c r="D31" s="31"/>
      <c r="E31" s="31"/>
      <c r="F31" s="31"/>
      <c r="G31" s="31"/>
      <c r="H31" s="31"/>
      <c r="I31" s="31"/>
      <c r="J31" s="31"/>
      <c r="K31" s="31"/>
      <c r="L31" s="41">
        <f>L26+L27+L28</f>
        <v>3750000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4B4E-6175-7C45-8841-578A351EAC67}">
  <dimension ref="B1:M31"/>
  <sheetViews>
    <sheetView zoomScale="120" zoomScaleNormal="120" workbookViewId="0">
      <selection sqref="A1:M31"/>
    </sheetView>
  </sheetViews>
  <sheetFormatPr baseColWidth="10" defaultRowHeight="16" x14ac:dyDescent="0.2"/>
  <cols>
    <col min="2" max="2" width="19.83203125" customWidth="1"/>
    <col min="3" max="3" width="25" customWidth="1"/>
    <col min="5" max="5" width="19.83203125" customWidth="1"/>
    <col min="6" max="6" width="19.5" customWidth="1"/>
    <col min="7" max="7" width="18" customWidth="1"/>
    <col min="9" max="9" width="20.83203125" customWidth="1"/>
    <col min="12" max="12" width="22.83203125" customWidth="1"/>
    <col min="13" max="13" width="21.33203125" customWidth="1"/>
  </cols>
  <sheetData>
    <row r="1" spans="2:13" ht="17" thickBot="1" x14ac:dyDescent="0.25"/>
    <row r="2" spans="2:13" ht="17" thickBot="1" x14ac:dyDescent="0.25">
      <c r="B2" s="1" t="s">
        <v>0</v>
      </c>
      <c r="C2" s="2">
        <v>300000</v>
      </c>
      <c r="E2" t="s">
        <v>3</v>
      </c>
      <c r="G2" t="s">
        <v>43</v>
      </c>
      <c r="H2" t="s">
        <v>44</v>
      </c>
      <c r="L2" s="37" t="s">
        <v>49</v>
      </c>
      <c r="M2" s="38" t="s">
        <v>50</v>
      </c>
    </row>
    <row r="3" spans="2:13" x14ac:dyDescent="0.2">
      <c r="B3" s="1" t="s">
        <v>60</v>
      </c>
      <c r="C3" s="2">
        <f>C2/100*83</f>
        <v>249000</v>
      </c>
      <c r="E3" t="s">
        <v>3</v>
      </c>
    </row>
    <row r="4" spans="2:13" x14ac:dyDescent="0.2">
      <c r="B4" s="3" t="s">
        <v>1</v>
      </c>
      <c r="C4" s="4">
        <v>43933</v>
      </c>
      <c r="E4" t="s">
        <v>4</v>
      </c>
      <c r="G4" t="s">
        <v>61</v>
      </c>
      <c r="H4" s="14">
        <f>(C5-C4)/365</f>
        <v>5.0520547945205481</v>
      </c>
    </row>
    <row r="5" spans="2:13" ht="17" thickBot="1" x14ac:dyDescent="0.25">
      <c r="B5" s="5" t="s">
        <v>2</v>
      </c>
      <c r="C5" s="6">
        <v>45777</v>
      </c>
      <c r="E5" t="s">
        <v>5</v>
      </c>
      <c r="F5" t="s">
        <v>62</v>
      </c>
    </row>
    <row r="8" spans="2:13" ht="17" thickBot="1" x14ac:dyDescent="0.25">
      <c r="B8" s="21" t="s">
        <v>31</v>
      </c>
      <c r="J8" t="s">
        <v>10</v>
      </c>
    </row>
    <row r="9" spans="2:13" x14ac:dyDescent="0.2">
      <c r="B9" s="1" t="s">
        <v>65</v>
      </c>
      <c r="C9" s="11" t="s">
        <v>0</v>
      </c>
      <c r="D9" s="11" t="s">
        <v>6</v>
      </c>
      <c r="E9" s="11" t="s">
        <v>7</v>
      </c>
      <c r="F9" s="11" t="s">
        <v>39</v>
      </c>
      <c r="G9" s="11"/>
      <c r="H9" s="11"/>
      <c r="I9" s="11" t="s">
        <v>8</v>
      </c>
      <c r="J9" s="12">
        <v>0.17</v>
      </c>
      <c r="K9" s="11"/>
      <c r="L9" s="13" t="s">
        <v>9</v>
      </c>
    </row>
    <row r="10" spans="2:13" x14ac:dyDescent="0.2">
      <c r="B10" s="16" t="s">
        <v>3</v>
      </c>
      <c r="C10">
        <f>C2</f>
        <v>300000</v>
      </c>
      <c r="D10" s="18">
        <v>30</v>
      </c>
      <c r="E10">
        <f>C10/D10</f>
        <v>10000</v>
      </c>
      <c r="F10">
        <v>30</v>
      </c>
      <c r="I10">
        <f>E10*F10</f>
        <v>300000</v>
      </c>
      <c r="J10">
        <f>I10*J9</f>
        <v>51000.000000000007</v>
      </c>
      <c r="L10" s="8">
        <f>I10-J10</f>
        <v>249000</v>
      </c>
    </row>
    <row r="11" spans="2:13" ht="17" thickBot="1" x14ac:dyDescent="0.25">
      <c r="B11" s="5"/>
      <c r="C11" s="9"/>
      <c r="D11" s="9"/>
      <c r="E11" s="9"/>
      <c r="F11" s="9"/>
      <c r="G11" s="9"/>
      <c r="H11" s="9"/>
      <c r="I11" s="9"/>
      <c r="J11" s="9"/>
      <c r="K11" s="9"/>
      <c r="L11" s="10"/>
    </row>
    <row r="12" spans="2:13" ht="17" thickBot="1" x14ac:dyDescent="0.25"/>
    <row r="13" spans="2:13" x14ac:dyDescent="0.2">
      <c r="B13" s="1" t="s">
        <v>63</v>
      </c>
      <c r="C13" s="11" t="s">
        <v>13</v>
      </c>
      <c r="D13" s="11"/>
      <c r="E13" s="11" t="s">
        <v>12</v>
      </c>
      <c r="F13" s="7"/>
      <c r="G13" s="7"/>
      <c r="H13" s="7"/>
      <c r="I13" s="11" t="s">
        <v>8</v>
      </c>
      <c r="J13" s="12">
        <v>0.17</v>
      </c>
      <c r="K13" s="11"/>
      <c r="L13" s="13" t="s">
        <v>9</v>
      </c>
    </row>
    <row r="14" spans="2:13" x14ac:dyDescent="0.2">
      <c r="B14" s="16" t="s">
        <v>11</v>
      </c>
      <c r="C14">
        <f>C10/2</f>
        <v>150000</v>
      </c>
      <c r="E14">
        <v>120</v>
      </c>
      <c r="I14">
        <f>C15</f>
        <v>100000</v>
      </c>
      <c r="J14">
        <f>I14*J13</f>
        <v>17000</v>
      </c>
      <c r="L14" s="15">
        <f>I14-J14</f>
        <v>83000</v>
      </c>
    </row>
    <row r="15" spans="2:13" ht="17" thickBot="1" x14ac:dyDescent="0.25">
      <c r="B15" s="5"/>
      <c r="C15" s="9">
        <f>C14*E14/E15</f>
        <v>100000</v>
      </c>
      <c r="D15" s="9"/>
      <c r="E15" s="9">
        <v>180</v>
      </c>
      <c r="F15" s="9"/>
      <c r="G15" s="9"/>
      <c r="H15" s="9"/>
      <c r="I15" s="9"/>
      <c r="J15" s="9"/>
      <c r="K15" s="9"/>
      <c r="L15" s="10"/>
    </row>
    <row r="16" spans="2:13" ht="17" thickBot="1" x14ac:dyDescent="0.25"/>
    <row r="17" spans="2:13" x14ac:dyDescent="0.2">
      <c r="B17" s="1" t="s">
        <v>64</v>
      </c>
      <c r="C17" s="11"/>
      <c r="D17" s="11" t="s">
        <v>26</v>
      </c>
      <c r="E17" s="11" t="s">
        <v>45</v>
      </c>
      <c r="F17" s="11" t="s">
        <v>66</v>
      </c>
      <c r="G17" s="11"/>
      <c r="H17" s="11"/>
      <c r="I17" s="11" t="s">
        <v>28</v>
      </c>
      <c r="J17" s="12">
        <v>0.17</v>
      </c>
      <c r="K17" s="11"/>
      <c r="L17" s="11" t="s">
        <v>47</v>
      </c>
      <c r="M17" s="13" t="s">
        <v>48</v>
      </c>
    </row>
    <row r="18" spans="2:13" x14ac:dyDescent="0.2">
      <c r="B18" s="16" t="s">
        <v>25</v>
      </c>
      <c r="C18">
        <f>C10</f>
        <v>300000</v>
      </c>
      <c r="D18" s="18">
        <v>21</v>
      </c>
      <c r="E18" s="17">
        <f>D18*E14/360</f>
        <v>7</v>
      </c>
      <c r="F18" s="17">
        <f>D18*(E14+180)/360</f>
        <v>17.5</v>
      </c>
      <c r="I18">
        <f>C18/25</f>
        <v>12000</v>
      </c>
      <c r="J18" s="19" t="s">
        <v>30</v>
      </c>
      <c r="L18">
        <f>I18*E18</f>
        <v>84000</v>
      </c>
      <c r="M18" s="8">
        <f>I18*F18</f>
        <v>210000</v>
      </c>
    </row>
    <row r="19" spans="2:13" ht="17" thickBot="1" x14ac:dyDescent="0.25">
      <c r="B19" s="36" t="s">
        <v>42</v>
      </c>
      <c r="C19" s="9">
        <f>C10</f>
        <v>300000</v>
      </c>
      <c r="D19" s="34">
        <v>21</v>
      </c>
      <c r="E19" s="35">
        <f>D19*E14/360</f>
        <v>7</v>
      </c>
      <c r="F19" s="35">
        <f>D19*(E14+180)/360</f>
        <v>17.5</v>
      </c>
      <c r="G19" s="9"/>
      <c r="H19" s="9"/>
      <c r="I19" s="9">
        <f>C18/25</f>
        <v>12000</v>
      </c>
      <c r="J19" s="9">
        <f>I19*J17</f>
        <v>2040.0000000000002</v>
      </c>
      <c r="K19" s="9">
        <f>I19-J19</f>
        <v>9960</v>
      </c>
      <c r="L19" s="9">
        <f>I19*E19-(J19*E19)</f>
        <v>69720</v>
      </c>
      <c r="M19" s="10">
        <f>I19*F19-(J19*F19)</f>
        <v>174300</v>
      </c>
    </row>
    <row r="20" spans="2:13" ht="17" thickBot="1" x14ac:dyDescent="0.25"/>
    <row r="21" spans="2:13" ht="17" thickBot="1" x14ac:dyDescent="0.25">
      <c r="B21" s="33" t="s">
        <v>41</v>
      </c>
      <c r="C21" s="31"/>
      <c r="D21" s="31"/>
      <c r="E21" s="31"/>
      <c r="F21" s="31"/>
      <c r="G21" s="31"/>
      <c r="H21" s="31"/>
      <c r="I21" s="31"/>
      <c r="J21" s="31"/>
      <c r="K21" s="31"/>
      <c r="L21" s="32">
        <f>L10+L14+L18</f>
        <v>416000</v>
      </c>
      <c r="M21" s="39">
        <f>L10+L14+M18</f>
        <v>542000</v>
      </c>
    </row>
    <row r="22" spans="2:13" ht="17" thickBot="1" x14ac:dyDescent="0.25">
      <c r="B22" s="20"/>
      <c r="L22" s="14"/>
    </row>
    <row r="23" spans="2:13" ht="17" thickBot="1" x14ac:dyDescent="0.25">
      <c r="B23" s="33" t="s">
        <v>40</v>
      </c>
      <c r="C23" s="31"/>
      <c r="D23" s="31"/>
      <c r="E23" s="31"/>
      <c r="F23" s="31"/>
      <c r="G23" s="31"/>
      <c r="H23" s="31"/>
      <c r="I23" s="31"/>
      <c r="J23" s="31"/>
      <c r="K23" s="31"/>
      <c r="L23" s="32">
        <f>L10+L14+L19</f>
        <v>401720</v>
      </c>
      <c r="M23" s="39">
        <f>L10+L14+M19</f>
        <v>506300</v>
      </c>
    </row>
    <row r="25" spans="2:13" ht="17" thickBot="1" x14ac:dyDescent="0.25">
      <c r="B25" s="21" t="s">
        <v>32</v>
      </c>
      <c r="J25" s="28">
        <v>0.17</v>
      </c>
    </row>
    <row r="26" spans="2:13" x14ac:dyDescent="0.2">
      <c r="B26" s="22" t="s">
        <v>59</v>
      </c>
      <c r="C26" s="25" t="s">
        <v>34</v>
      </c>
      <c r="D26" s="7">
        <f>C10</f>
        <v>300000</v>
      </c>
      <c r="E26" s="7">
        <v>5</v>
      </c>
      <c r="F26" s="7"/>
      <c r="G26" s="7"/>
      <c r="H26" s="7"/>
      <c r="I26" s="7"/>
      <c r="J26" s="29" t="s">
        <v>30</v>
      </c>
      <c r="K26" s="7"/>
      <c r="L26" s="2">
        <f>D26*E26</f>
        <v>1500000</v>
      </c>
    </row>
    <row r="27" spans="2:13" x14ac:dyDescent="0.2">
      <c r="B27" s="23" t="s">
        <v>59</v>
      </c>
      <c r="C27" s="26" t="s">
        <v>35</v>
      </c>
      <c r="D27">
        <f>C10</f>
        <v>300000</v>
      </c>
      <c r="E27">
        <v>2</v>
      </c>
      <c r="J27" s="19" t="s">
        <v>30</v>
      </c>
      <c r="L27" s="8">
        <f>D27*E27</f>
        <v>600000</v>
      </c>
    </row>
    <row r="28" spans="2:13" ht="17" thickBot="1" x14ac:dyDescent="0.25">
      <c r="B28" s="24" t="s">
        <v>59</v>
      </c>
      <c r="C28" s="27" t="s">
        <v>36</v>
      </c>
      <c r="D28" s="9">
        <f>C10</f>
        <v>300000</v>
      </c>
      <c r="E28" s="9" t="s">
        <v>37</v>
      </c>
      <c r="F28" s="9">
        <f>D28/30</f>
        <v>10000</v>
      </c>
      <c r="G28" s="9"/>
      <c r="H28" s="9">
        <v>0</v>
      </c>
      <c r="I28" s="9" t="s">
        <v>38</v>
      </c>
      <c r="J28" s="30" t="s">
        <v>30</v>
      </c>
      <c r="K28" s="9"/>
      <c r="L28" s="10">
        <f>F28*H28</f>
        <v>0</v>
      </c>
    </row>
    <row r="29" spans="2:13" x14ac:dyDescent="0.2">
      <c r="H29" t="s">
        <v>56</v>
      </c>
    </row>
    <row r="30" spans="2:13" ht="17" thickBot="1" x14ac:dyDescent="0.25">
      <c r="H30" t="s">
        <v>57</v>
      </c>
    </row>
    <row r="31" spans="2:13" ht="17" thickBot="1" x14ac:dyDescent="0.25">
      <c r="B31" s="40" t="s">
        <v>58</v>
      </c>
      <c r="C31" s="31"/>
      <c r="D31" s="31"/>
      <c r="E31" s="31"/>
      <c r="F31" s="31"/>
      <c r="G31" s="31"/>
      <c r="H31" s="31"/>
      <c r="I31" s="31"/>
      <c r="J31" s="31"/>
      <c r="K31" s="31"/>
      <c r="L31" s="41">
        <f>L26+L27+L28</f>
        <v>2100000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CB0-BE9F-334A-9FDD-151099358C79}">
  <dimension ref="B1:M31"/>
  <sheetViews>
    <sheetView tabSelected="1" zoomScale="130" zoomScaleNormal="130" workbookViewId="0">
      <selection sqref="A1:M31"/>
    </sheetView>
  </sheetViews>
  <sheetFormatPr baseColWidth="10" defaultRowHeight="16" x14ac:dyDescent="0.2"/>
  <cols>
    <col min="2" max="2" width="33.5" customWidth="1"/>
    <col min="3" max="3" width="22.83203125" customWidth="1"/>
    <col min="4" max="4" width="12.6640625" customWidth="1"/>
    <col min="5" max="6" width="18.6640625" customWidth="1"/>
    <col min="7" max="7" width="17.5" customWidth="1"/>
    <col min="9" max="9" width="18.5" customWidth="1"/>
    <col min="12" max="12" width="21" customWidth="1"/>
    <col min="13" max="13" width="20.83203125" customWidth="1"/>
  </cols>
  <sheetData>
    <row r="1" spans="2:13" ht="17" thickBot="1" x14ac:dyDescent="0.25"/>
    <row r="2" spans="2:13" ht="17" thickBot="1" x14ac:dyDescent="0.25">
      <c r="B2" s="1" t="s">
        <v>0</v>
      </c>
      <c r="C2" s="2">
        <v>600000</v>
      </c>
      <c r="E2" t="s">
        <v>3</v>
      </c>
      <c r="G2" t="s">
        <v>43</v>
      </c>
      <c r="H2" t="s">
        <v>44</v>
      </c>
      <c r="L2" s="37" t="s">
        <v>49</v>
      </c>
      <c r="M2" s="38" t="s">
        <v>50</v>
      </c>
    </row>
    <row r="3" spans="2:13" x14ac:dyDescent="0.2">
      <c r="B3" s="1" t="s">
        <v>60</v>
      </c>
      <c r="C3" s="2">
        <f>C2/100*83</f>
        <v>498000</v>
      </c>
      <c r="E3" t="s">
        <v>3</v>
      </c>
    </row>
    <row r="4" spans="2:13" x14ac:dyDescent="0.2">
      <c r="B4" s="3" t="s">
        <v>1</v>
      </c>
      <c r="C4" s="4">
        <v>43525</v>
      </c>
      <c r="E4" t="s">
        <v>4</v>
      </c>
      <c r="G4" t="s">
        <v>61</v>
      </c>
      <c r="H4" s="14">
        <f>(C5-C4)/365</f>
        <v>3.8876712328767122</v>
      </c>
    </row>
    <row r="5" spans="2:13" ht="17" thickBot="1" x14ac:dyDescent="0.25">
      <c r="B5" s="5" t="s">
        <v>2</v>
      </c>
      <c r="C5" s="6">
        <v>44944</v>
      </c>
      <c r="E5" t="s">
        <v>5</v>
      </c>
      <c r="F5" t="s">
        <v>62</v>
      </c>
    </row>
    <row r="6" spans="2:13" x14ac:dyDescent="0.2">
      <c r="C6" t="s">
        <v>69</v>
      </c>
    </row>
    <row r="8" spans="2:13" ht="17" thickBot="1" x14ac:dyDescent="0.25">
      <c r="B8" s="21" t="s">
        <v>31</v>
      </c>
      <c r="J8" t="s">
        <v>10</v>
      </c>
    </row>
    <row r="9" spans="2:13" x14ac:dyDescent="0.2">
      <c r="B9" s="1" t="s">
        <v>65</v>
      </c>
      <c r="C9" s="11" t="s">
        <v>0</v>
      </c>
      <c r="D9" s="11" t="s">
        <v>6</v>
      </c>
      <c r="E9" s="11" t="s">
        <v>7</v>
      </c>
      <c r="F9" s="11" t="s">
        <v>39</v>
      </c>
      <c r="G9" s="11"/>
      <c r="H9" s="11"/>
      <c r="I9" s="11" t="s">
        <v>8</v>
      </c>
      <c r="J9" s="12">
        <v>0.17</v>
      </c>
      <c r="K9" s="11"/>
      <c r="L9" s="13" t="s">
        <v>9</v>
      </c>
    </row>
    <row r="10" spans="2:13" x14ac:dyDescent="0.2">
      <c r="B10" s="16" t="s">
        <v>3</v>
      </c>
      <c r="C10">
        <f>C2</f>
        <v>600000</v>
      </c>
      <c r="D10" s="18">
        <v>30</v>
      </c>
      <c r="E10">
        <f>C10/D10</f>
        <v>20000</v>
      </c>
      <c r="F10">
        <v>18</v>
      </c>
      <c r="I10">
        <f>E10*F10</f>
        <v>360000</v>
      </c>
      <c r="J10">
        <f>I10*J9</f>
        <v>61200.000000000007</v>
      </c>
      <c r="L10" s="8">
        <f>I10-J10</f>
        <v>298800</v>
      </c>
    </row>
    <row r="11" spans="2:13" ht="17" thickBot="1" x14ac:dyDescent="0.25">
      <c r="B11" s="5"/>
      <c r="C11" s="9"/>
      <c r="D11" s="9"/>
      <c r="E11" s="9"/>
      <c r="F11" s="9"/>
      <c r="G11" s="9"/>
      <c r="H11" s="9"/>
      <c r="I11" s="9"/>
      <c r="J11" s="9"/>
      <c r="K11" s="9"/>
      <c r="L11" s="10"/>
    </row>
    <row r="12" spans="2:13" ht="17" thickBot="1" x14ac:dyDescent="0.25"/>
    <row r="13" spans="2:13" x14ac:dyDescent="0.2">
      <c r="B13" s="1" t="s">
        <v>63</v>
      </c>
      <c r="C13" s="11" t="s">
        <v>13</v>
      </c>
      <c r="D13" s="11"/>
      <c r="E13" s="11" t="s">
        <v>12</v>
      </c>
      <c r="F13" s="7"/>
      <c r="G13" s="7"/>
      <c r="H13" s="7"/>
      <c r="I13" s="11" t="s">
        <v>8</v>
      </c>
      <c r="J13" s="12">
        <v>0.17</v>
      </c>
      <c r="K13" s="11"/>
      <c r="L13" s="13" t="s">
        <v>9</v>
      </c>
    </row>
    <row r="14" spans="2:13" x14ac:dyDescent="0.2">
      <c r="B14" s="16" t="s">
        <v>11</v>
      </c>
      <c r="C14">
        <f>C10/2</f>
        <v>300000</v>
      </c>
      <c r="E14">
        <v>18</v>
      </c>
      <c r="I14">
        <f>C15</f>
        <v>30000</v>
      </c>
      <c r="J14">
        <f>I14*J13</f>
        <v>5100</v>
      </c>
      <c r="L14" s="15">
        <f>I14-J14</f>
        <v>24900</v>
      </c>
    </row>
    <row r="15" spans="2:13" ht="17" thickBot="1" x14ac:dyDescent="0.25">
      <c r="B15" s="5"/>
      <c r="C15" s="9">
        <f>C14*E14/E15</f>
        <v>30000</v>
      </c>
      <c r="D15" s="9"/>
      <c r="E15" s="9">
        <v>180</v>
      </c>
      <c r="F15" s="9"/>
      <c r="G15" s="9"/>
      <c r="H15" s="9"/>
      <c r="I15" s="9"/>
      <c r="J15" s="9"/>
      <c r="K15" s="9"/>
      <c r="L15" s="10"/>
    </row>
    <row r="16" spans="2:13" ht="17" thickBot="1" x14ac:dyDescent="0.25"/>
    <row r="17" spans="2:13" x14ac:dyDescent="0.2">
      <c r="B17" s="1" t="s">
        <v>67</v>
      </c>
      <c r="C17" s="11"/>
      <c r="D17" s="11" t="s">
        <v>26</v>
      </c>
      <c r="E17" s="11" t="s">
        <v>45</v>
      </c>
      <c r="F17" s="11" t="s">
        <v>66</v>
      </c>
      <c r="G17" s="11"/>
      <c r="H17" s="11"/>
      <c r="I17" s="11" t="s">
        <v>28</v>
      </c>
      <c r="J17" s="12">
        <v>0.17</v>
      </c>
      <c r="K17" s="11"/>
      <c r="L17" s="11" t="s">
        <v>47</v>
      </c>
      <c r="M17" s="13" t="s">
        <v>48</v>
      </c>
    </row>
    <row r="18" spans="2:13" x14ac:dyDescent="0.2">
      <c r="B18" s="16" t="s">
        <v>25</v>
      </c>
      <c r="C18">
        <f>C10</f>
        <v>600000</v>
      </c>
      <c r="D18" s="18">
        <f>IF(H4&lt;5,14,21)</f>
        <v>14</v>
      </c>
      <c r="E18" s="17">
        <f>D18*E14/360</f>
        <v>0.7</v>
      </c>
      <c r="F18" s="17">
        <f>D18*(E14+E15)/360</f>
        <v>7.7</v>
      </c>
      <c r="I18">
        <f>C18/25</f>
        <v>24000</v>
      </c>
      <c r="J18" s="19" t="s">
        <v>30</v>
      </c>
      <c r="L18">
        <f>I18*E18</f>
        <v>16800</v>
      </c>
      <c r="M18" s="8">
        <f>I18*F18</f>
        <v>184800</v>
      </c>
    </row>
    <row r="19" spans="2:13" ht="17" thickBot="1" x14ac:dyDescent="0.25">
      <c r="B19" s="36" t="s">
        <v>42</v>
      </c>
      <c r="C19" s="9">
        <f>C10</f>
        <v>600000</v>
      </c>
      <c r="D19" s="34">
        <f>IF(H4&lt;5,14,21)</f>
        <v>14</v>
      </c>
      <c r="E19" s="35">
        <f>D19*E14/360</f>
        <v>0.7</v>
      </c>
      <c r="F19" s="35">
        <f>D19*(E14+180)/360</f>
        <v>7.7</v>
      </c>
      <c r="G19" s="9"/>
      <c r="H19" s="9"/>
      <c r="I19" s="9">
        <f>C18/25</f>
        <v>24000</v>
      </c>
      <c r="J19" s="9">
        <f>I19*J17</f>
        <v>4080.0000000000005</v>
      </c>
      <c r="K19" s="9">
        <f>I19-J19</f>
        <v>19920</v>
      </c>
      <c r="L19" s="9">
        <f>I19*E19-(J19*E19)</f>
        <v>13944</v>
      </c>
      <c r="M19" s="10">
        <f>I19*F19-(J19*F19)</f>
        <v>153384</v>
      </c>
    </row>
    <row r="20" spans="2:13" ht="17" thickBot="1" x14ac:dyDescent="0.25"/>
    <row r="21" spans="2:13" ht="17" thickBot="1" x14ac:dyDescent="0.25">
      <c r="B21" s="33" t="s">
        <v>41</v>
      </c>
      <c r="C21" s="31"/>
      <c r="D21" s="31"/>
      <c r="E21" s="31"/>
      <c r="F21" s="31"/>
      <c r="G21" s="31"/>
      <c r="H21" s="31"/>
      <c r="I21" s="31"/>
      <c r="J21" s="31"/>
      <c r="K21" s="31"/>
      <c r="L21" s="32">
        <f>L10+L14+L18</f>
        <v>340500</v>
      </c>
      <c r="M21" s="39">
        <f>L10+L14+M18</f>
        <v>508500</v>
      </c>
    </row>
    <row r="22" spans="2:13" ht="17" thickBot="1" x14ac:dyDescent="0.25">
      <c r="B22" s="20"/>
      <c r="L22" s="14"/>
    </row>
    <row r="23" spans="2:13" ht="17" thickBot="1" x14ac:dyDescent="0.25">
      <c r="B23" s="33" t="s">
        <v>40</v>
      </c>
      <c r="C23" s="31"/>
      <c r="D23" s="31"/>
      <c r="E23" s="31"/>
      <c r="F23" s="31"/>
      <c r="G23" s="31"/>
      <c r="H23" s="31"/>
      <c r="I23" s="31"/>
      <c r="J23" s="31"/>
      <c r="K23" s="31"/>
      <c r="L23" s="32">
        <f>L10+L14+L19</f>
        <v>337644</v>
      </c>
      <c r="M23" s="39">
        <f>L10+L14+M19</f>
        <v>477084</v>
      </c>
    </row>
    <row r="25" spans="2:13" ht="17" thickBot="1" x14ac:dyDescent="0.25">
      <c r="B25" s="21" t="s">
        <v>32</v>
      </c>
      <c r="J25" s="28">
        <v>0.17</v>
      </c>
    </row>
    <row r="26" spans="2:13" x14ac:dyDescent="0.2">
      <c r="B26" s="22" t="s">
        <v>59</v>
      </c>
      <c r="C26" s="25" t="s">
        <v>34</v>
      </c>
      <c r="D26" s="7">
        <f>C10</f>
        <v>600000</v>
      </c>
      <c r="E26" s="42">
        <f>ROUND(H4,0)</f>
        <v>4</v>
      </c>
      <c r="F26" s="7"/>
      <c r="G26" s="7"/>
      <c r="H26" s="7"/>
      <c r="I26" s="7"/>
      <c r="J26" s="29" t="s">
        <v>30</v>
      </c>
      <c r="K26" s="7"/>
      <c r="L26" s="2">
        <f>D26*E26</f>
        <v>2400000</v>
      </c>
    </row>
    <row r="27" spans="2:13" x14ac:dyDescent="0.2">
      <c r="B27" s="23" t="s">
        <v>59</v>
      </c>
      <c r="C27" s="26" t="s">
        <v>35</v>
      </c>
      <c r="D27">
        <f>C10</f>
        <v>600000</v>
      </c>
      <c r="E27" s="43">
        <f>IF(H4&lt;5,1,2)</f>
        <v>1</v>
      </c>
      <c r="J27" s="19" t="s">
        <v>30</v>
      </c>
      <c r="L27" s="8">
        <f>D27*E27</f>
        <v>600000</v>
      </c>
    </row>
    <row r="28" spans="2:13" ht="17" thickBot="1" x14ac:dyDescent="0.25">
      <c r="B28" s="24" t="s">
        <v>59</v>
      </c>
      <c r="C28" s="27" t="s">
        <v>36</v>
      </c>
      <c r="D28" s="9">
        <f>C10</f>
        <v>600000</v>
      </c>
      <c r="E28" s="9" t="s">
        <v>37</v>
      </c>
      <c r="F28" s="9">
        <f>D28/30</f>
        <v>20000</v>
      </c>
      <c r="G28" s="9"/>
      <c r="H28" s="9">
        <v>12</v>
      </c>
      <c r="I28" s="9" t="s">
        <v>38</v>
      </c>
      <c r="J28" s="30" t="s">
        <v>30</v>
      </c>
      <c r="K28" s="9"/>
      <c r="L28" s="10">
        <f>F28*H28</f>
        <v>240000</v>
      </c>
    </row>
    <row r="29" spans="2:13" x14ac:dyDescent="0.2">
      <c r="H29" t="s">
        <v>56</v>
      </c>
    </row>
    <row r="30" spans="2:13" ht="17" thickBot="1" x14ac:dyDescent="0.25">
      <c r="H30" t="s">
        <v>68</v>
      </c>
    </row>
    <row r="31" spans="2:13" ht="17" thickBot="1" x14ac:dyDescent="0.25">
      <c r="B31" s="40" t="s">
        <v>58</v>
      </c>
      <c r="C31" s="31"/>
      <c r="D31" s="31"/>
      <c r="E31" s="31"/>
      <c r="F31" s="31"/>
      <c r="G31" s="31"/>
      <c r="H31" s="31"/>
      <c r="I31" s="31"/>
      <c r="J31" s="31"/>
      <c r="K31" s="31"/>
      <c r="L31" s="41">
        <f>L26+L27+L28</f>
        <v>3240000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Agustin Rivas</dc:creator>
  <cp:lastModifiedBy>Matias Agustin Rivas</cp:lastModifiedBy>
  <dcterms:created xsi:type="dcterms:W3CDTF">2025-04-10T00:56:48Z</dcterms:created>
  <dcterms:modified xsi:type="dcterms:W3CDTF">2025-05-08T00:57:06Z</dcterms:modified>
</cp:coreProperties>
</file>